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tcdud-my.sharepoint.com/personal/mannioli_tcd_ie/Documents/Desktop/Mannion et al. - Files/Supplimentary Materials/"/>
    </mc:Choice>
  </mc:AlternateContent>
  <xr:revisionPtr revIDLastSave="91" documentId="8_{ED1188DA-2DB8-4900-9A1B-AFDCFA7FBBD4}" xr6:coauthVersionLast="47" xr6:coauthVersionMax="47" xr10:uidLastSave="{BA231E62-8E13-4780-9B42-496341DE5EFB}"/>
  <bookViews>
    <workbookView xWindow="-120" yWindow="-120" windowWidth="51840" windowHeight="21120" tabRatio="877" firstSheet="2" activeTab="4" xr2:uid="{00000000-000D-0000-FFFF-FFFF00000000}"/>
  </bookViews>
  <sheets>
    <sheet name="TCD Internal" sheetId="1" r:id="rId1"/>
    <sheet name="Fish Definition &amp; Particulars" sheetId="2" r:id="rId2"/>
    <sheet name="Data &amp; References" sheetId="3" r:id="rId3"/>
    <sheet name="Assumptions" sheetId="5" r:id="rId4"/>
    <sheet name="Fuel Production" sheetId="24" r:id="rId5"/>
    <sheet name="FuelProd1" sheetId="32" r:id="rId6"/>
    <sheet name="FuelProd2" sheetId="33" r:id="rId7"/>
    <sheet name="FuelProd3" sheetId="34" r:id="rId8"/>
    <sheet name="FuelProd4" sheetId="35" r:id="rId9"/>
    <sheet name="FuelProd5" sheetId="37" r:id="rId10"/>
    <sheet name="Sheet1" sheetId="38" r:id="rId11"/>
  </sheets>
  <definedNames>
    <definedName name="AircraftSeats">'Data &amp; References'!#REF!</definedName>
    <definedName name="AirportCountry">#REF!</definedName>
    <definedName name="AlternatorEfficiency">'Data &amp; References'!#REF!</definedName>
    <definedName name="BlendingCountry">#REF!</definedName>
    <definedName name="BlendingTankCapacity">'Data &amp; References'!#REF!</definedName>
    <definedName name="Diesel_CH4EmissionFactor">'Data &amp; References'!$I$14</definedName>
    <definedName name="Diesel_CO2eEmissionsFactor">'Data &amp; References'!$L$14</definedName>
    <definedName name="Diesel_CO2EmissionFactor">'Data &amp; References'!$G$14</definedName>
    <definedName name="Diesel_Density">'Data &amp; References'!$D$14</definedName>
    <definedName name="Diesel_EmissionFactor">'Data &amp; References'!$G$14</definedName>
    <definedName name="Diesel_EnergyDensity">'Data &amp; References'!$E$14</definedName>
    <definedName name="Diesel_N2OEmissionFactor">'Data &amp; References'!$K$14</definedName>
    <definedName name="DieselEngineThermalEff">'Data &amp; References'!#REF!</definedName>
    <definedName name="DieselThermalEff">'Data &amp; References'!#REF!</definedName>
    <definedName name="DistanceTravelled">'Data &amp; References'!#REF!</definedName>
    <definedName name="ElecCO2e_Belgium">'Data &amp; References'!$I$35</definedName>
    <definedName name="ElecCO2e_China">'Data &amp; References'!$F$35</definedName>
    <definedName name="ElecCO2e_Finland">'Data &amp; References'!$D$35</definedName>
    <definedName name="ElecCO2e_Germany">'Data &amp; References'!$H$35</definedName>
    <definedName name="ElecCO2e_Indonesia">'Data &amp; References'!$E$35</definedName>
    <definedName name="ElecCO2e_Netherlands">'Data &amp; References'!$C$35</definedName>
    <definedName name="ElecCO2e_USA">'Data &amp; References'!$G$35</definedName>
    <definedName name="FeedstockCountry">#REF!</definedName>
    <definedName name="FuelProdCountry">#REF!</definedName>
    <definedName name="FuelTankCapacity">'Data &amp; References'!#REF!</definedName>
    <definedName name="FuelTruck_Capacity">'Data &amp; References'!#REF!</definedName>
    <definedName name="g">'Data &amp; References'!#REF!</definedName>
    <definedName name="GWP_CH4">'Data &amp; References'!$D$30</definedName>
    <definedName name="GWP_CO2">'Data &amp; References'!$C$30</definedName>
    <definedName name="GWP_N2O">'Data &amp; References'!$E$30</definedName>
    <definedName name="HGV_Local_Fuel_Economy">'Data &amp; References'!#REF!</definedName>
    <definedName name="HGV_Motorway_Fuel_Economy">'Data &amp; References'!#REF!</definedName>
    <definedName name="HGVAirport_FuelEconomy">'Data &amp; References'!#REF!</definedName>
    <definedName name="Jet_CH4EmissionFactor">'Data &amp; References'!$I$20</definedName>
    <definedName name="Jet_CO2eEmissionFactor">'Data &amp; References'!$L$20</definedName>
    <definedName name="Jet_CO2EmissionFactor">'Data &amp; References'!$G$20</definedName>
    <definedName name="Jet_Density">'Data &amp; References'!$D$20</definedName>
    <definedName name="Jet_DynVis">'Data &amp; References'!$O$20</definedName>
    <definedName name="Jet_EnergyDensity">'Data &amp; References'!$E$20</definedName>
    <definedName name="Jet_KinVis">'Data &amp; References'!$N$20</definedName>
    <definedName name="Jet_LCA89">'Data &amp; References'!$P$20</definedName>
    <definedName name="Jet_N2OEmissionFactor">'Data &amp; References'!$K$20</definedName>
    <definedName name="LoadFactor">'Data &amp; References'!#REF!</definedName>
    <definedName name="LuggageVehicle_DieselEconomy">'Data &amp; References'!#REF!</definedName>
    <definedName name="LuggageVehicle_ElecEconomy">'Data &amp; References'!#REF!</definedName>
    <definedName name="MarineFuel_CH4EmissionFactor">'Data &amp; References'!$I$16</definedName>
    <definedName name="MarineFuel_CO2eEmissionsFactor">'Data &amp; References'!$L$16</definedName>
    <definedName name="MarineFuel_CO2EmissionFactor">'Data &amp; References'!$G$16</definedName>
    <definedName name="MarineFuel_Density">'Data &amp; References'!$D$16</definedName>
    <definedName name="MarineFuel_EnergyDensity">'Data &amp; References'!$E$16</definedName>
    <definedName name="MarineFuel_N2OEmissionFactor">'Data &amp; References'!$K$16</definedName>
    <definedName name="neatHEFASAF_Density">'Data &amp; References'!$D$22</definedName>
    <definedName name="neatHEFASAF_DynVis">'Data &amp; References'!$O$22</definedName>
    <definedName name="neatHEFASAF_EnergyDensity">'Data &amp; References'!$E$22</definedName>
    <definedName name="neatHEFASAF_KinVis">'Data &amp; References'!$N$22</definedName>
    <definedName name="Pumping_kecf_Aircraft">'Data &amp; References'!$E$58</definedName>
    <definedName name="Pumping_kecf_BlendingFacility">'Data &amp; References'!$E$54</definedName>
    <definedName name="Pumping_kecf_CollectionReservoir">'Data &amp; References'!$E$46</definedName>
    <definedName name="Pumping_kecf_Refinery">'Data &amp; References'!$E$56</definedName>
    <definedName name="Pumping_kecf_Ship">'Data &amp; References'!$E$52</definedName>
    <definedName name="Pumping_kecf_StorageTank">'Data &amp; References'!$E$50</definedName>
    <definedName name="Pumping_kecf_Truck">'Data &amp; References'!$E$48</definedName>
    <definedName name="Pumping_Loss_Elbow">'Data &amp; References'!$C$67</definedName>
    <definedName name="Pumping_Loss_Entrance">'Data &amp; References'!$C$63</definedName>
    <definedName name="Pumping_Loss_Exit">'Data &amp; References'!$C$69</definedName>
    <definedName name="Pumping_Loss_Valve">'Data &amp; References'!$C$65</definedName>
    <definedName name="Pumping_p_Aircraft">'Data &amp; References'!$C$58</definedName>
    <definedName name="Pumping_p_BlendingFacility">'Data &amp; References'!$C$54</definedName>
    <definedName name="Pumping_p_CollectionReservoir">'Data &amp; References'!$C$46</definedName>
    <definedName name="Pumping_p_Refinery">'Data &amp; References'!$C$56</definedName>
    <definedName name="Pumping_p_Ship">'Data &amp; References'!$C$52</definedName>
    <definedName name="Pumping_p_StorageTank">'Data &amp; References'!$C$50</definedName>
    <definedName name="Pumping_p_Truck">'Data &amp; References'!$C$48</definedName>
    <definedName name="Pumping_v_Aircraft">'Data &amp; References'!$D$58</definedName>
    <definedName name="Pumping_v_BlendingFacility">'Data &amp; References'!$D$54</definedName>
    <definedName name="Pumping_v_CollectionReservoir">'Data &amp; References'!$D$46</definedName>
    <definedName name="Pumping_v_Refinery">'Data &amp; References'!$D$56</definedName>
    <definedName name="Pumping_v_Ship">'Data &amp; References'!$D$52</definedName>
    <definedName name="Pumping_v_StorageTank">'Data &amp; References'!$D$50</definedName>
    <definedName name="Pumping_v_Truck">'Data &amp; References'!$D$48</definedName>
    <definedName name="Pumping_z_Aircraft">'Data &amp; References'!$F$58</definedName>
    <definedName name="Pumping_z_BlendingFacility">'Data &amp; References'!$F$54</definedName>
    <definedName name="Pumping_z_CollectionReservoir">'Data &amp; References'!$F$46</definedName>
    <definedName name="Pumping_z_Refinery">'Data &amp; References'!$F$56</definedName>
    <definedName name="Pumping_z_Ship">'Data &amp; References'!$F$52</definedName>
    <definedName name="Pumping_z_StorageTank">'Data &amp; References'!$F$50</definedName>
    <definedName name="Pumping_z_Truck">'Data &amp; References'!$F$48</definedName>
    <definedName name="PumpMotorEfficiency">'Data &amp; References'!#REF!</definedName>
    <definedName name="SAF_LCAResult">#REF!</definedName>
    <definedName name="SAFBlend">#REF!</definedName>
    <definedName name="SAFYield">'Data &amp; References'!$C$41</definedName>
    <definedName name="Tanker_Capacity_L">'Data &amp; References'!#REF!</definedName>
    <definedName name="Tanker_CO2eEF">'Data &amp; References'!#REF!</definedName>
    <definedName name="Tanker_FuelEfficiency_kgperkm">'Data &amp; References'!#REF!</definedName>
    <definedName name="Tanker_SAFTransported_kg">'Data &amp; References'!$J$131</definedName>
    <definedName name="Tanker_SAFTransported_MJ">'Data &amp; References'!$J$132</definedName>
    <definedName name="Tanker_Speed">'Data &amp; References'!#REF!</definedName>
    <definedName name="Tanker_UCOSAFeTransported_MJ">'Data &amp; References'!$J$135</definedName>
    <definedName name="Tug_DieselEconomy">'Data &amp; References'!#REF!</definedName>
    <definedName name="Tug_ElecEconomy">'Data &amp; References'!#REF!</definedName>
    <definedName name="UCO_Density">'Data &amp; References'!$D$18</definedName>
    <definedName name="UCO_DynVis">'Data &amp; References'!$O$18</definedName>
    <definedName name="UCO_KinVis">'Data &amp; References'!$N$18</definedName>
  </definedNames>
  <calcPr calcId="191029" calcMode="manual" iterate="1" iterateCount="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3" i="33" l="1"/>
  <c r="AK18" i="33" s="1"/>
  <c r="AI18" i="33"/>
  <c r="AJ15" i="33"/>
  <c r="AL15" i="33"/>
  <c r="AZ121" i="34"/>
  <c r="AZ136" i="34"/>
  <c r="BA136" i="34"/>
  <c r="AS132" i="34"/>
  <c r="AS131" i="34"/>
  <c r="AS130" i="34"/>
  <c r="AS129" i="34"/>
  <c r="AS128" i="34"/>
  <c r="AS127" i="34"/>
  <c r="AS126" i="34"/>
  <c r="AS125" i="34"/>
  <c r="AS124" i="34"/>
  <c r="AS123" i="34"/>
  <c r="AS122" i="34"/>
  <c r="AS121" i="34"/>
  <c r="AS120" i="34"/>
  <c r="AZ119" i="34" s="1"/>
  <c r="AJ13" i="33"/>
  <c r="AJ12" i="33"/>
  <c r="AK12" i="33" s="1"/>
  <c r="AJ11" i="33"/>
  <c r="AK11" i="33" s="1"/>
  <c r="DH246" i="34"/>
  <c r="DH243" i="34"/>
  <c r="DK260" i="34"/>
  <c r="DK257" i="34"/>
  <c r="DK248" i="34"/>
  <c r="DK242" i="34"/>
  <c r="BN217" i="34"/>
  <c r="BN208" i="34"/>
  <c r="CA219" i="34"/>
  <c r="BN220" i="34"/>
  <c r="BN202" i="34"/>
  <c r="DG231" i="34"/>
  <c r="DG228" i="34"/>
  <c r="DG225" i="34"/>
  <c r="DG222" i="34"/>
  <c r="DN221" i="34"/>
  <c r="DG219" i="34"/>
  <c r="DG216" i="34"/>
  <c r="DN215" i="34"/>
  <c r="DO234" i="34" s="1"/>
  <c r="DG213" i="34"/>
  <c r="AJ346" i="24"/>
  <c r="AJ345" i="24"/>
  <c r="AJ344" i="24"/>
  <c r="AJ343" i="24"/>
  <c r="AL16" i="33" l="1"/>
  <c r="DO235" i="34"/>
  <c r="DO236" i="34" s="1"/>
  <c r="AL10" i="38"/>
  <c r="AA10" i="38"/>
  <c r="AB10" i="38"/>
  <c r="AE10" i="38"/>
  <c r="AI10" i="38"/>
  <c r="AJ10" i="38"/>
  <c r="AK9" i="38"/>
  <c r="AK10" i="38" s="1"/>
  <c r="AJ9" i="38"/>
  <c r="AI9" i="38"/>
  <c r="AH9" i="38"/>
  <c r="AH10" i="38" s="1"/>
  <c r="AG9" i="38"/>
  <c r="AG10" i="38" s="1"/>
  <c r="AF9" i="38"/>
  <c r="AF10" i="38" s="1"/>
  <c r="AE9" i="38"/>
  <c r="AD9" i="38"/>
  <c r="AD10" i="38" s="1"/>
  <c r="AC9" i="38"/>
  <c r="AC10" i="38" s="1"/>
  <c r="AB9" i="38"/>
  <c r="Z9" i="38"/>
  <c r="Z10" i="38" s="1"/>
  <c r="AA9" i="38"/>
  <c r="Z14" i="38"/>
  <c r="C164" i="34"/>
  <c r="F153" i="34"/>
  <c r="F152" i="34"/>
  <c r="F151" i="34"/>
  <c r="F150" i="34"/>
  <c r="H150" i="34" s="1"/>
  <c r="E164" i="34"/>
  <c r="BZ99" i="34"/>
  <c r="BZ100" i="34" s="1"/>
  <c r="K39" i="38"/>
  <c r="K38" i="38"/>
  <c r="J39" i="38"/>
  <c r="J38" i="38"/>
  <c r="K33" i="38"/>
  <c r="J33" i="38"/>
  <c r="U34" i="38" s="1"/>
  <c r="BG206" i="34"/>
  <c r="BG203" i="34"/>
  <c r="BY205" i="34"/>
  <c r="BY211" i="34"/>
  <c r="BY207" i="34"/>
  <c r="CA211" i="34"/>
  <c r="CA210" i="34"/>
  <c r="BY210" i="34"/>
  <c r="CA209" i="34"/>
  <c r="BY209" i="34"/>
  <c r="CA208" i="34"/>
  <c r="BY208" i="34"/>
  <c r="CA207" i="34"/>
  <c r="CA206" i="34"/>
  <c r="BY206" i="34"/>
  <c r="CA205" i="34"/>
  <c r="BO149" i="34"/>
  <c r="G24" i="38"/>
  <c r="BN181" i="34"/>
  <c r="BN195" i="34" s="1"/>
  <c r="BN175" i="34"/>
  <c r="Z151" i="34"/>
  <c r="Z156" i="34"/>
  <c r="Z149" i="34"/>
  <c r="Z164" i="34" s="1"/>
  <c r="DN230" i="34" l="1"/>
  <c r="DN224" i="34"/>
  <c r="DN218" i="34"/>
  <c r="J34" i="38"/>
  <c r="P34" i="38"/>
  <c r="N34" i="38"/>
  <c r="R34" i="38"/>
  <c r="O34" i="38"/>
  <c r="V34" i="38"/>
  <c r="W34" i="38"/>
  <c r="Q34" i="38"/>
  <c r="K34" i="38"/>
  <c r="S34" i="38"/>
  <c r="L34" i="38"/>
  <c r="T34" i="38"/>
  <c r="M34" i="38"/>
  <c r="CA215" i="34"/>
  <c r="BY217" i="34"/>
  <c r="CA214" i="34"/>
  <c r="CA216" i="34"/>
  <c r="CA221" i="34"/>
  <c r="CA217" i="34"/>
  <c r="CA218" i="34"/>
  <c r="BY214" i="34"/>
  <c r="CA212" i="34"/>
  <c r="BY221" i="34"/>
  <c r="BY218" i="34"/>
  <c r="BY216" i="34"/>
  <c r="CC216" i="34" s="1"/>
  <c r="CH187" i="34" s="1"/>
  <c r="BY215" i="34"/>
  <c r="BN194" i="34"/>
  <c r="BN196" i="34" s="1"/>
  <c r="G14" i="3"/>
  <c r="I14" i="3"/>
  <c r="K14" i="3"/>
  <c r="G16" i="3"/>
  <c r="I16" i="3"/>
  <c r="K16" i="3"/>
  <c r="N18" i="3"/>
  <c r="O18" i="3" s="1"/>
  <c r="D20" i="3"/>
  <c r="G20" i="3"/>
  <c r="I20" i="3"/>
  <c r="K20" i="3"/>
  <c r="N20" i="3"/>
  <c r="Q20" i="3"/>
  <c r="D22" i="3"/>
  <c r="O22" i="3" s="1"/>
  <c r="E24" i="3"/>
  <c r="C58" i="3"/>
  <c r="CC221" i="34" l="1"/>
  <c r="CH173" i="34" s="1"/>
  <c r="CC218" i="34"/>
  <c r="CH191" i="34" s="1"/>
  <c r="CC217" i="34"/>
  <c r="CH183" i="34" s="1"/>
  <c r="L14" i="3"/>
  <c r="AA34" i="38"/>
  <c r="AB34" i="38" s="1"/>
  <c r="CC214" i="34"/>
  <c r="CH174" i="34" s="1"/>
  <c r="CC215" i="34"/>
  <c r="CH175" i="34" s="1"/>
  <c r="BN190" i="34"/>
  <c r="BN184" i="34"/>
  <c r="BN178" i="34"/>
  <c r="D24" i="3"/>
  <c r="O20" i="3"/>
  <c r="L16" i="3"/>
  <c r="L20" i="3"/>
  <c r="AT54" i="35"/>
  <c r="AT55" i="35"/>
  <c r="AT53" i="35"/>
  <c r="BY219" i="34" l="1"/>
  <c r="CC219" i="34" l="1"/>
  <c r="CH190" i="34" s="1"/>
  <c r="H86" i="34"/>
  <c r="H85" i="34"/>
  <c r="H84" i="34"/>
  <c r="N168" i="34" l="1"/>
  <c r="N167" i="34"/>
  <c r="N169" i="34"/>
  <c r="CF63" i="33" l="1"/>
  <c r="CF65" i="33"/>
  <c r="D141" i="33"/>
  <c r="G66" i="24" s="1"/>
  <c r="N170" i="34"/>
  <c r="AE58" i="35"/>
  <c r="AC58" i="35"/>
  <c r="AE57" i="35"/>
  <c r="AC61" i="35"/>
  <c r="AC57" i="35" s="1"/>
  <c r="AC56" i="35"/>
  <c r="AC55" i="35"/>
  <c r="AE55" i="35"/>
  <c r="T60" i="35" l="1"/>
  <c r="AF217" i="34" l="1"/>
  <c r="AF216" i="34"/>
  <c r="AF215" i="34"/>
  <c r="AF214" i="34"/>
  <c r="AI217" i="34"/>
  <c r="AI216" i="34"/>
  <c r="AI215" i="34"/>
  <c r="AI214" i="34"/>
  <c r="AH217" i="34"/>
  <c r="AH216" i="34"/>
  <c r="AH215" i="34"/>
  <c r="AH214" i="34"/>
  <c r="AG217" i="34"/>
  <c r="AG216" i="34"/>
  <c r="AG215" i="34"/>
  <c r="AG214" i="34"/>
  <c r="AJ217" i="34"/>
  <c r="AJ216" i="34"/>
  <c r="AJ215" i="34"/>
  <c r="AJ214" i="34"/>
  <c r="C63" i="24" l="1"/>
  <c r="C93" i="24"/>
  <c r="CG65" i="33" l="1"/>
  <c r="CG63" i="33"/>
  <c r="CD43" i="34" l="1"/>
  <c r="CB42" i="34" s="1"/>
  <c r="CB43" i="34" s="1"/>
  <c r="AV183" i="35" l="1"/>
  <c r="AV182" i="35"/>
  <c r="AV181" i="35"/>
  <c r="AV180" i="35"/>
  <c r="AS180" i="35"/>
  <c r="AV179" i="35"/>
  <c r="AS179" i="35"/>
  <c r="AV178" i="35"/>
  <c r="AS178" i="35"/>
  <c r="AV177" i="35"/>
  <c r="AS177" i="35"/>
  <c r="AV176" i="35"/>
  <c r="AV175" i="35"/>
  <c r="AV186" i="35" s="1"/>
  <c r="AV174" i="35"/>
  <c r="AM199" i="34"/>
  <c r="AI170" i="34" s="1"/>
  <c r="U168" i="34"/>
  <c r="J23" i="37"/>
  <c r="I23" i="37"/>
  <c r="G23" i="37"/>
  <c r="F23" i="37"/>
  <c r="G22" i="37"/>
  <c r="J22" i="37"/>
  <c r="I22" i="37"/>
  <c r="F22" i="37" s="1"/>
  <c r="G21" i="37"/>
  <c r="J21" i="37"/>
  <c r="I21" i="37"/>
  <c r="F21" i="37"/>
  <c r="G20" i="37"/>
  <c r="J20" i="37"/>
  <c r="I20" i="37"/>
  <c r="F20" i="37"/>
  <c r="J19" i="37"/>
  <c r="I19" i="37"/>
  <c r="G19" i="37"/>
  <c r="F19" i="37"/>
  <c r="AV184" i="35" l="1"/>
  <c r="AI175" i="34"/>
  <c r="AI171" i="34"/>
  <c r="AI172" i="34"/>
  <c r="AI173" i="34"/>
  <c r="AI174" i="34"/>
  <c r="AI168" i="34"/>
  <c r="AI169" i="34"/>
  <c r="N23" i="37"/>
  <c r="M23" i="37"/>
  <c r="L23" i="37"/>
  <c r="N22" i="37"/>
  <c r="L22" i="37"/>
  <c r="M22" i="37"/>
  <c r="N21" i="37"/>
  <c r="M21" i="37"/>
  <c r="L21" i="37"/>
  <c r="N20" i="37"/>
  <c r="L20" i="37"/>
  <c r="M20" i="37"/>
  <c r="N19" i="37"/>
  <c r="M19" i="37"/>
  <c r="L19" i="37"/>
  <c r="J18" i="37"/>
  <c r="G18" i="37"/>
  <c r="I18" i="37"/>
  <c r="N18" i="37"/>
  <c r="F18" i="37"/>
  <c r="N17" i="37"/>
  <c r="J17" i="37"/>
  <c r="G17" i="37"/>
  <c r="F17" i="37"/>
  <c r="L17" i="37" s="1"/>
  <c r="N16" i="37"/>
  <c r="J16" i="37"/>
  <c r="G16" i="37"/>
  <c r="F16" i="37"/>
  <c r="L16" i="37" s="1"/>
  <c r="K15" i="37"/>
  <c r="N15" i="37" s="1"/>
  <c r="J15" i="37"/>
  <c r="G15" i="37"/>
  <c r="M15" i="37" s="1"/>
  <c r="F15" i="37"/>
  <c r="L15" i="37" s="1"/>
  <c r="K14" i="37"/>
  <c r="N14" i="37" s="1"/>
  <c r="J14" i="37"/>
  <c r="G14" i="37"/>
  <c r="F14" i="37"/>
  <c r="L14" i="37" s="1"/>
  <c r="K13" i="37"/>
  <c r="N13" i="37" s="1"/>
  <c r="J13" i="37"/>
  <c r="G13" i="37"/>
  <c r="F13" i="37"/>
  <c r="L13" i="37" s="1"/>
  <c r="N12" i="37"/>
  <c r="K12" i="37"/>
  <c r="J12" i="37"/>
  <c r="I12" i="37"/>
  <c r="L12" i="37" s="1"/>
  <c r="G12" i="37"/>
  <c r="M12" i="37" s="1"/>
  <c r="K11" i="37"/>
  <c r="N11" i="37" s="1"/>
  <c r="J11" i="37"/>
  <c r="I11" i="37"/>
  <c r="L11" i="37" s="1"/>
  <c r="G11" i="37"/>
  <c r="K10" i="37"/>
  <c r="N10" i="37" s="1"/>
  <c r="J10" i="37"/>
  <c r="I10" i="37"/>
  <c r="G10" i="37"/>
  <c r="F10" i="37"/>
  <c r="N9" i="37"/>
  <c r="M9" i="37"/>
  <c r="I9" i="37"/>
  <c r="L9" i="37" s="1"/>
  <c r="N8" i="37"/>
  <c r="M8" i="37"/>
  <c r="I8" i="37"/>
  <c r="F8" i="37"/>
  <c r="N7" i="37"/>
  <c r="M7" i="37"/>
  <c r="I7" i="37"/>
  <c r="L7" i="37" s="1"/>
  <c r="N6" i="37"/>
  <c r="L6" i="37"/>
  <c r="G6" i="37"/>
  <c r="M6" i="37" s="1"/>
  <c r="N5" i="37"/>
  <c r="L5" i="37"/>
  <c r="G5" i="37"/>
  <c r="M5" i="37" s="1"/>
  <c r="K4" i="37"/>
  <c r="N4" i="37" s="1"/>
  <c r="J4" i="37"/>
  <c r="I4" i="37"/>
  <c r="L4" i="37" s="1"/>
  <c r="G4" i="37"/>
  <c r="K3" i="37"/>
  <c r="N3" i="37" s="1"/>
  <c r="J3" i="37"/>
  <c r="I3" i="37"/>
  <c r="L3" i="37" s="1"/>
  <c r="G3" i="37"/>
  <c r="K2" i="37"/>
  <c r="N2" i="37" s="1"/>
  <c r="J2" i="37"/>
  <c r="I2" i="37"/>
  <c r="L2" i="37" s="1"/>
  <c r="G2" i="37"/>
  <c r="M17" i="37" l="1"/>
  <c r="M11" i="37"/>
  <c r="L10" i="37"/>
  <c r="M10" i="37"/>
  <c r="M13" i="37"/>
  <c r="M3" i="37"/>
  <c r="L18" i="37"/>
  <c r="M2" i="37"/>
  <c r="L8" i="37"/>
  <c r="M4" i="37"/>
  <c r="M14" i="37"/>
  <c r="M16" i="37"/>
  <c r="M18" i="37"/>
  <c r="BF29" i="34"/>
  <c r="BF26" i="34"/>
  <c r="BF28" i="34" l="1"/>
  <c r="C105" i="24" l="1"/>
  <c r="C200" i="24"/>
  <c r="AJ106" i="33" l="1"/>
  <c r="Y73" i="3" l="1"/>
  <c r="AC73" i="3"/>
  <c r="G242" i="24"/>
  <c r="BR44" i="34"/>
  <c r="BQ44" i="34"/>
  <c r="BR43" i="34"/>
  <c r="BQ43" i="34"/>
  <c r="BR42" i="34"/>
  <c r="BQ42" i="34"/>
  <c r="BR41" i="34"/>
  <c r="BQ41" i="34"/>
  <c r="BR40" i="34"/>
  <c r="BQ40" i="34"/>
  <c r="BR39" i="34"/>
  <c r="BQ39" i="34"/>
  <c r="BR38" i="34"/>
  <c r="BQ38" i="34"/>
  <c r="BR37" i="34"/>
  <c r="BQ37" i="34"/>
  <c r="BR36" i="34"/>
  <c r="BQ36" i="34"/>
  <c r="BR35" i="34"/>
  <c r="BQ35" i="34"/>
  <c r="BR34" i="34"/>
  <c r="BQ34" i="34"/>
  <c r="BR33" i="34"/>
  <c r="BQ33" i="34"/>
  <c r="BR32" i="34"/>
  <c r="BQ32" i="34"/>
  <c r="BR31" i="34"/>
  <c r="BQ31" i="34"/>
  <c r="BR30" i="34"/>
  <c r="BQ30" i="34"/>
  <c r="BT25" i="34"/>
  <c r="CU54" i="34"/>
  <c r="CQ63" i="34" l="1"/>
  <c r="CQ65" i="34" s="1"/>
  <c r="C276" i="24"/>
  <c r="CO62" i="34" s="1"/>
  <c r="CO59" i="34"/>
  <c r="CO58" i="34"/>
  <c r="CO63" i="34"/>
  <c r="CO65" i="34" s="1"/>
  <c r="CM63" i="34"/>
  <c r="CM65" i="34" s="1"/>
  <c r="CK63" i="34"/>
  <c r="CK65" i="34" s="1"/>
  <c r="CG63" i="34"/>
  <c r="CG65" i="34" s="1"/>
  <c r="CE63" i="34"/>
  <c r="CE65" i="34" s="1"/>
  <c r="CU63" i="34"/>
  <c r="CU65" i="34" s="1"/>
  <c r="CU59" i="34"/>
  <c r="CU58" i="34"/>
  <c r="C254" i="24"/>
  <c r="CU62" i="34" s="1"/>
  <c r="CS63" i="34"/>
  <c r="CS65" i="34" s="1"/>
  <c r="CS59" i="34"/>
  <c r="CS58" i="34"/>
  <c r="C227" i="24"/>
  <c r="CS62" i="34" s="1"/>
  <c r="CQ59" i="34"/>
  <c r="CQ58" i="34"/>
  <c r="C207" i="24"/>
  <c r="CQ62" i="34" s="1"/>
  <c r="CM59" i="34"/>
  <c r="CM58" i="34"/>
  <c r="C177" i="24"/>
  <c r="CM62" i="34" s="1"/>
  <c r="C157" i="24"/>
  <c r="CK62" i="34" s="1"/>
  <c r="CK59" i="34"/>
  <c r="CK58" i="34"/>
  <c r="C120" i="24"/>
  <c r="CG62" i="34" s="1"/>
  <c r="CG59" i="34"/>
  <c r="CG58" i="34"/>
  <c r="C112" i="24"/>
  <c r="CE62" i="34" s="1"/>
  <c r="CE59" i="34"/>
  <c r="CE58" i="34"/>
  <c r="CI59" i="34"/>
  <c r="AK6" i="33"/>
  <c r="CI62" i="34"/>
  <c r="CI58" i="34"/>
  <c r="CI63" i="34"/>
  <c r="CI65" i="34" s="1"/>
  <c r="CB65" i="34"/>
  <c r="CB62" i="34"/>
  <c r="CB61" i="34"/>
  <c r="CO61" i="34" l="1"/>
  <c r="CQ61" i="34"/>
  <c r="CU61" i="34"/>
  <c r="CS61" i="34"/>
  <c r="CM61" i="34"/>
  <c r="CK61" i="34"/>
  <c r="CG61" i="34"/>
  <c r="CE61" i="34"/>
  <c r="CI61" i="34"/>
  <c r="BT26" i="34"/>
  <c r="BR26" i="34"/>
  <c r="CC6" i="34"/>
  <c r="CB6" i="34"/>
  <c r="CC5" i="34"/>
  <c r="CC4" i="34"/>
  <c r="D38" i="32"/>
  <c r="CH11" i="34"/>
  <c r="CH12" i="34" s="1"/>
  <c r="CH13" i="34" s="1"/>
  <c r="BR25" i="34"/>
  <c r="C269" i="24"/>
  <c r="BI55" i="34"/>
  <c r="C170" i="24"/>
  <c r="BI56" i="34" s="1"/>
  <c r="BJ40" i="34"/>
  <c r="BJ39" i="34"/>
  <c r="BI25" i="34"/>
  <c r="BI24" i="34"/>
  <c r="BI27" i="34"/>
  <c r="G119" i="24"/>
  <c r="BM50" i="34"/>
  <c r="F25" i="32"/>
  <c r="F19" i="32"/>
  <c r="F18" i="32"/>
  <c r="F17" i="32"/>
  <c r="F16" i="32"/>
  <c r="M19" i="33" s="1"/>
  <c r="F15" i="32"/>
  <c r="F14" i="32"/>
  <c r="F13" i="32"/>
  <c r="F12" i="32"/>
  <c r="C102" i="24"/>
  <c r="D15" i="32" s="1"/>
  <c r="C101" i="24"/>
  <c r="D14" i="32" s="1"/>
  <c r="C100" i="24"/>
  <c r="D13" i="32" s="1"/>
  <c r="C99" i="24"/>
  <c r="D12" i="32" s="1"/>
  <c r="CS66" i="34" l="1"/>
  <c r="CG66" i="34"/>
  <c r="CE66" i="34"/>
  <c r="G100" i="24" s="1"/>
  <c r="CK66" i="34"/>
  <c r="CC80" i="34" s="1"/>
  <c r="CM66" i="34"/>
  <c r="CU66" i="34"/>
  <c r="CQ66" i="34"/>
  <c r="U91" i="33" s="1"/>
  <c r="W91" i="33" s="1"/>
  <c r="CI66" i="34"/>
  <c r="AA67" i="33" s="1"/>
  <c r="AC67" i="33" s="1"/>
  <c r="CO66" i="34"/>
  <c r="CB49" i="34"/>
  <c r="CB55" i="34" s="1"/>
  <c r="CB66" i="34"/>
  <c r="Z141" i="33" l="1"/>
  <c r="U122" i="33"/>
  <c r="CU70" i="34"/>
  <c r="CV70" i="34" s="1"/>
  <c r="AA129" i="35" l="1"/>
  <c r="Z129" i="35"/>
  <c r="Y129" i="35"/>
  <c r="AA127" i="35"/>
  <c r="Z127" i="35"/>
  <c r="Y127" i="35"/>
  <c r="AO121" i="35"/>
  <c r="AN121" i="35"/>
  <c r="AM121" i="35"/>
  <c r="AL121" i="35"/>
  <c r="AA120" i="35"/>
  <c r="Z120" i="35"/>
  <c r="Y120" i="35"/>
  <c r="AA118" i="35"/>
  <c r="Z118" i="35"/>
  <c r="Z119" i="35" s="1"/>
  <c r="Y118" i="35"/>
  <c r="AA117" i="35"/>
  <c r="Z117" i="35"/>
  <c r="Y117" i="35"/>
  <c r="AM114" i="35"/>
  <c r="AL114" i="35"/>
  <c r="AK114" i="35"/>
  <c r="AJ114" i="35"/>
  <c r="AF94" i="35"/>
  <c r="AE94" i="35"/>
  <c r="AD94" i="35"/>
  <c r="AC94" i="35"/>
  <c r="AJ90" i="35"/>
  <c r="AQ84" i="35"/>
  <c r="AP84" i="35"/>
  <c r="AO84" i="35"/>
  <c r="AN84" i="35"/>
  <c r="AM84" i="35"/>
  <c r="AL84" i="35"/>
  <c r="AK84" i="35"/>
  <c r="AJ84" i="35"/>
  <c r="AO83" i="35"/>
  <c r="AN83" i="35"/>
  <c r="AM83" i="35"/>
  <c r="AL83" i="35"/>
  <c r="AK83" i="35"/>
  <c r="AJ83" i="35"/>
  <c r="AJ80" i="35"/>
  <c r="AJ81" i="35" s="1"/>
  <c r="AE80" i="35"/>
  <c r="AD80" i="35"/>
  <c r="AC80" i="35"/>
  <c r="AB80" i="35"/>
  <c r="AA80" i="35"/>
  <c r="Z80" i="35"/>
  <c r="Y80" i="35"/>
  <c r="AJ79" i="35"/>
  <c r="AE75" i="35"/>
  <c r="AQ79" i="35" s="1"/>
  <c r="AD75" i="35"/>
  <c r="AP79" i="35" s="1"/>
  <c r="AC75" i="35"/>
  <c r="AO79" i="35" s="1"/>
  <c r="AB75" i="35"/>
  <c r="AN79" i="35" s="1"/>
  <c r="AA75" i="35"/>
  <c r="AM79" i="35" s="1"/>
  <c r="Z75" i="35"/>
  <c r="AL79" i="35" s="1"/>
  <c r="Y75" i="35"/>
  <c r="AK79" i="35" s="1"/>
  <c r="AA34" i="35"/>
  <c r="X25" i="35"/>
  <c r="X23" i="35"/>
  <c r="AA22" i="35"/>
  <c r="Z22" i="35"/>
  <c r="Y22" i="35"/>
  <c r="X21" i="35"/>
  <c r="Y20" i="35"/>
  <c r="Y24" i="35" s="1"/>
  <c r="X20" i="35"/>
  <c r="D15" i="35"/>
  <c r="S14" i="35"/>
  <c r="S13" i="35"/>
  <c r="D13" i="35"/>
  <c r="S12" i="35"/>
  <c r="D12" i="35"/>
  <c r="S11" i="35"/>
  <c r="G6" i="35"/>
  <c r="AG157" i="34"/>
  <c r="AH152" i="34" s="1"/>
  <c r="AH171" i="34" s="1"/>
  <c r="AK162" i="34"/>
  <c r="AL161" i="34" s="1"/>
  <c r="BD133" i="34"/>
  <c r="V103" i="33" s="1"/>
  <c r="BC133" i="34"/>
  <c r="V102" i="33" s="1"/>
  <c r="BB133" i="34"/>
  <c r="V101" i="33" s="1"/>
  <c r="AZ132" i="34"/>
  <c r="BY99" i="34"/>
  <c r="BY100" i="34" s="1"/>
  <c r="BX99" i="34"/>
  <c r="BX100" i="34" s="1"/>
  <c r="BW99" i="34"/>
  <c r="BA131" i="34" s="1"/>
  <c r="BV99" i="34"/>
  <c r="AZ130" i="34" s="1"/>
  <c r="BU99" i="34"/>
  <c r="AZ129" i="34" s="1"/>
  <c r="BT99" i="34"/>
  <c r="BT100" i="34" s="1"/>
  <c r="BG173" i="34" s="1"/>
  <c r="BS99" i="34"/>
  <c r="BA127" i="34" s="1"/>
  <c r="BR99" i="34"/>
  <c r="AZ126" i="34" s="1"/>
  <c r="BQ99" i="34"/>
  <c r="AZ125" i="34" s="1"/>
  <c r="BP99" i="34"/>
  <c r="AZ124" i="34" s="1"/>
  <c r="BO99" i="34"/>
  <c r="BA123" i="34" s="1"/>
  <c r="AH120" i="34"/>
  <c r="N120" i="34"/>
  <c r="BA119" i="34"/>
  <c r="BI100" i="34"/>
  <c r="BJ100" i="34"/>
  <c r="BK99" i="34"/>
  <c r="BL99" i="34"/>
  <c r="BM99" i="34"/>
  <c r="BN99" i="34"/>
  <c r="AI115" i="34"/>
  <c r="AE115" i="34"/>
  <c r="Y115" i="34"/>
  <c r="U115" i="34"/>
  <c r="O115" i="34"/>
  <c r="K115" i="34"/>
  <c r="AI114" i="34"/>
  <c r="AE114" i="34"/>
  <c r="Y114" i="34"/>
  <c r="U114" i="34"/>
  <c r="O114" i="34"/>
  <c r="K114" i="34"/>
  <c r="AI113" i="34"/>
  <c r="AE113" i="34"/>
  <c r="Y113" i="34"/>
  <c r="U113" i="34"/>
  <c r="O113" i="34"/>
  <c r="K113" i="34"/>
  <c r="BD113" i="34"/>
  <c r="AN102" i="33" s="1"/>
  <c r="BB113" i="34"/>
  <c r="AN100" i="33" s="1"/>
  <c r="BD110" i="34"/>
  <c r="AN81" i="33" s="1"/>
  <c r="BB110" i="34"/>
  <c r="AN79" i="33" s="1"/>
  <c r="AJ107" i="34"/>
  <c r="AI107" i="34"/>
  <c r="AF107" i="34"/>
  <c r="AE107" i="34"/>
  <c r="Z107" i="34"/>
  <c r="Y107" i="34"/>
  <c r="V107" i="34"/>
  <c r="U107" i="34"/>
  <c r="P107" i="34"/>
  <c r="O107" i="34"/>
  <c r="L107" i="34"/>
  <c r="K107" i="34"/>
  <c r="AK106" i="34"/>
  <c r="AG106" i="34"/>
  <c r="AA106" i="34"/>
  <c r="W106" i="34"/>
  <c r="Q106" i="34"/>
  <c r="M106" i="34"/>
  <c r="AK105" i="34"/>
  <c r="AG105" i="34"/>
  <c r="AA105" i="34"/>
  <c r="W105" i="34"/>
  <c r="Q105" i="34"/>
  <c r="M105" i="34"/>
  <c r="AK104" i="34"/>
  <c r="AG104" i="34"/>
  <c r="AA104" i="34"/>
  <c r="W104" i="34"/>
  <c r="Q104" i="34"/>
  <c r="M104" i="34"/>
  <c r="AS98" i="34"/>
  <c r="AS100" i="34" s="1"/>
  <c r="AH96" i="34"/>
  <c r="N96" i="34"/>
  <c r="AS95" i="34"/>
  <c r="BC94" i="34" s="1"/>
  <c r="BD95" i="34"/>
  <c r="V82" i="33" s="1"/>
  <c r="BB95" i="34"/>
  <c r="V80" i="33" s="1"/>
  <c r="AS94" i="34"/>
  <c r="AS93" i="34"/>
  <c r="AS92" i="34"/>
  <c r="AZ91" i="34" s="1"/>
  <c r="AS91" i="34"/>
  <c r="AI91" i="34"/>
  <c r="AE91" i="34"/>
  <c r="Y91" i="34"/>
  <c r="U91" i="34"/>
  <c r="O91" i="34"/>
  <c r="K91" i="34"/>
  <c r="AS90" i="34"/>
  <c r="AI90" i="34"/>
  <c r="AE90" i="34"/>
  <c r="Y90" i="34"/>
  <c r="U90" i="34"/>
  <c r="O90" i="34"/>
  <c r="K90" i="34"/>
  <c r="AI89" i="34"/>
  <c r="AE89" i="34"/>
  <c r="Y89" i="34"/>
  <c r="U89" i="34"/>
  <c r="O89" i="34"/>
  <c r="K89" i="34"/>
  <c r="AS84" i="34"/>
  <c r="AK83" i="34"/>
  <c r="AJ83" i="34"/>
  <c r="AI83" i="34"/>
  <c r="AF83" i="34"/>
  <c r="AE83" i="34"/>
  <c r="AA83" i="34"/>
  <c r="Z83" i="34"/>
  <c r="Y83" i="34"/>
  <c r="V83" i="34"/>
  <c r="U83" i="34"/>
  <c r="Q83" i="34"/>
  <c r="P83" i="34"/>
  <c r="O83" i="34"/>
  <c r="L83" i="34"/>
  <c r="K83" i="34"/>
  <c r="AL82" i="34"/>
  <c r="AG82" i="34"/>
  <c r="AB82" i="34"/>
  <c r="W82" i="34"/>
  <c r="R82" i="34"/>
  <c r="M82" i="34"/>
  <c r="AS81" i="34"/>
  <c r="AL81" i="34"/>
  <c r="AG81" i="34"/>
  <c r="AB81" i="34"/>
  <c r="W81" i="34"/>
  <c r="R81" i="34"/>
  <c r="M81" i="34"/>
  <c r="AL80" i="34"/>
  <c r="AG80" i="34"/>
  <c r="AB80" i="34"/>
  <c r="W80" i="34"/>
  <c r="R80" i="34"/>
  <c r="M80" i="34"/>
  <c r="BD79" i="34"/>
  <c r="AV74" i="34" s="1"/>
  <c r="AE77" i="33" s="1"/>
  <c r="BB79" i="34"/>
  <c r="AV72" i="34" s="1"/>
  <c r="AE75" i="33" s="1"/>
  <c r="BC78" i="34"/>
  <c r="BA78" i="34"/>
  <c r="AZ78" i="34"/>
  <c r="BC77" i="34"/>
  <c r="BA77" i="34"/>
  <c r="AZ77" i="34"/>
  <c r="BC74" i="34"/>
  <c r="BA74" i="34"/>
  <c r="AZ74" i="34"/>
  <c r="AH72" i="34"/>
  <c r="N72" i="34"/>
  <c r="AI67" i="34"/>
  <c r="AE67" i="34"/>
  <c r="Y67" i="34"/>
  <c r="U67" i="34"/>
  <c r="O67" i="34"/>
  <c r="K67" i="34"/>
  <c r="AI66" i="34"/>
  <c r="AE66" i="34"/>
  <c r="Y66" i="34"/>
  <c r="U66" i="34"/>
  <c r="O66" i="34"/>
  <c r="K66" i="34"/>
  <c r="AI65" i="34"/>
  <c r="AE65" i="34"/>
  <c r="Y65" i="34"/>
  <c r="U65" i="34"/>
  <c r="O65" i="34"/>
  <c r="K65" i="34"/>
  <c r="AV63" i="34"/>
  <c r="AE57" i="33" s="1"/>
  <c r="AV61" i="34"/>
  <c r="AE55" i="33" s="1"/>
  <c r="AJ59" i="34"/>
  <c r="AI59" i="34"/>
  <c r="AF59" i="34"/>
  <c r="AE59" i="34"/>
  <c r="Z59" i="34"/>
  <c r="Y59" i="34"/>
  <c r="V59" i="34"/>
  <c r="U59" i="34"/>
  <c r="P59" i="34"/>
  <c r="O59" i="34"/>
  <c r="L59" i="34"/>
  <c r="K59" i="34"/>
  <c r="AK58" i="34"/>
  <c r="AG58" i="34"/>
  <c r="AA58" i="34"/>
  <c r="W58" i="34"/>
  <c r="Q58" i="34"/>
  <c r="M58" i="34"/>
  <c r="AK57" i="34"/>
  <c r="AG57" i="34"/>
  <c r="AA57" i="34"/>
  <c r="W57" i="34"/>
  <c r="Q57" i="34"/>
  <c r="M57" i="34"/>
  <c r="AK56" i="34"/>
  <c r="AG56" i="34"/>
  <c r="AA56" i="34"/>
  <c r="W56" i="34"/>
  <c r="Q56" i="34"/>
  <c r="M56" i="34"/>
  <c r="X48" i="34"/>
  <c r="N48" i="34"/>
  <c r="AV46" i="34"/>
  <c r="AE34" i="33" s="1"/>
  <c r="AS45" i="34"/>
  <c r="AV44" i="34"/>
  <c r="AE32" i="33" s="1"/>
  <c r="Y43" i="34"/>
  <c r="O43" i="34"/>
  <c r="K43" i="34"/>
  <c r="Y42" i="34"/>
  <c r="O42" i="34"/>
  <c r="K42" i="34"/>
  <c r="Y41" i="34"/>
  <c r="O41" i="34"/>
  <c r="K41" i="34"/>
  <c r="BZ113" i="34"/>
  <c r="BY113" i="34"/>
  <c r="BZ112" i="34"/>
  <c r="BY112" i="34"/>
  <c r="Z35" i="34"/>
  <c r="Y35" i="34"/>
  <c r="V35" i="34"/>
  <c r="P35" i="34"/>
  <c r="O35" i="34"/>
  <c r="L35" i="34"/>
  <c r="K35" i="34"/>
  <c r="AA34" i="34"/>
  <c r="U34" i="34"/>
  <c r="Q34" i="34"/>
  <c r="M34" i="34"/>
  <c r="BT110" i="34"/>
  <c r="BS110" i="34"/>
  <c r="BR110" i="34"/>
  <c r="BR113" i="34" s="1"/>
  <c r="BQ110" i="34"/>
  <c r="BQ112" i="34" s="1"/>
  <c r="BP110" i="34"/>
  <c r="BP113" i="34" s="1"/>
  <c r="BO110" i="34"/>
  <c r="BO111" i="34" s="1"/>
  <c r="BK18" i="34" s="1"/>
  <c r="BN110" i="34"/>
  <c r="BN113" i="34" s="1"/>
  <c r="BM110" i="34"/>
  <c r="BM113" i="34" s="1"/>
  <c r="BL110" i="34"/>
  <c r="BL111" i="34" s="1"/>
  <c r="BK16" i="34" s="1"/>
  <c r="BK110" i="34"/>
  <c r="BK111" i="34" s="1"/>
  <c r="BJ110" i="34"/>
  <c r="BJ113" i="34" s="1"/>
  <c r="BI110" i="34"/>
  <c r="AA33" i="34"/>
  <c r="U33" i="34"/>
  <c r="U42" i="34" s="1"/>
  <c r="Q33" i="34"/>
  <c r="M33" i="34"/>
  <c r="C21" i="34"/>
  <c r="AA32" i="34"/>
  <c r="U32" i="34"/>
  <c r="W32" i="34" s="1"/>
  <c r="Q32" i="34"/>
  <c r="M32" i="34"/>
  <c r="C19" i="34"/>
  <c r="X120" i="34" s="1"/>
  <c r="AH24" i="34"/>
  <c r="X24" i="34"/>
  <c r="N24" i="34"/>
  <c r="BA23" i="34"/>
  <c r="AZ23" i="34"/>
  <c r="AY23" i="34"/>
  <c r="AX23" i="34"/>
  <c r="AW23" i="34"/>
  <c r="CB5" i="34"/>
  <c r="CB4" i="34"/>
  <c r="AE19" i="34"/>
  <c r="U19" i="34"/>
  <c r="K19" i="34"/>
  <c r="AE18" i="34"/>
  <c r="U18" i="34"/>
  <c r="K18" i="34"/>
  <c r="AE17" i="34"/>
  <c r="U17" i="34"/>
  <c r="K17" i="34"/>
  <c r="AI11" i="34"/>
  <c r="AF11" i="34"/>
  <c r="AE11" i="34"/>
  <c r="Y11" i="34"/>
  <c r="V11" i="34"/>
  <c r="U11" i="34"/>
  <c r="O11" i="34"/>
  <c r="L11" i="34"/>
  <c r="K11" i="34"/>
  <c r="AJ10" i="34"/>
  <c r="AG10" i="34"/>
  <c r="Z10" i="34"/>
  <c r="Y19" i="34" s="1"/>
  <c r="W10" i="34"/>
  <c r="P10" i="34"/>
  <c r="O19" i="34" s="1"/>
  <c r="M10" i="34"/>
  <c r="AJ9" i="34"/>
  <c r="AK9" i="34" s="1"/>
  <c r="AG9" i="34"/>
  <c r="Z9" i="34"/>
  <c r="AA9" i="34" s="1"/>
  <c r="W9" i="34"/>
  <c r="P9" i="34"/>
  <c r="Q9" i="34" s="1"/>
  <c r="M9" i="34"/>
  <c r="AJ8" i="34"/>
  <c r="AI17" i="34" s="1"/>
  <c r="AG8" i="34"/>
  <c r="Z8" i="34"/>
  <c r="AA8" i="34" s="1"/>
  <c r="W8" i="34"/>
  <c r="P8" i="34"/>
  <c r="Q8" i="34" s="1"/>
  <c r="M8" i="34"/>
  <c r="CD17" i="34"/>
  <c r="CC17" i="34"/>
  <c r="CB17" i="34"/>
  <c r="CA17" i="34"/>
  <c r="AM169" i="33"/>
  <c r="Q150" i="33"/>
  <c r="Q149" i="33"/>
  <c r="Q148" i="33"/>
  <c r="I140" i="33"/>
  <c r="H140" i="33"/>
  <c r="I139" i="33"/>
  <c r="H139" i="33"/>
  <c r="I138" i="33"/>
  <c r="H138" i="33"/>
  <c r="Y137" i="33"/>
  <c r="Y138" i="33" s="1"/>
  <c r="I137" i="33"/>
  <c r="H137" i="33"/>
  <c r="F137" i="33"/>
  <c r="E137" i="33"/>
  <c r="I136" i="33"/>
  <c r="H136" i="33"/>
  <c r="F136" i="33"/>
  <c r="E136" i="33"/>
  <c r="S119" i="33"/>
  <c r="P94" i="33"/>
  <c r="AV81" i="33"/>
  <c r="AV79" i="33"/>
  <c r="AA55" i="33"/>
  <c r="G138" i="24" s="1"/>
  <c r="AX44" i="33"/>
  <c r="AU44" i="33"/>
  <c r="AS44" i="33"/>
  <c r="AR44" i="33"/>
  <c r="AQ44" i="33"/>
  <c r="AX43" i="33"/>
  <c r="AV43" i="33"/>
  <c r="AU43" i="33"/>
  <c r="AT43" i="33"/>
  <c r="AS43" i="33"/>
  <c r="AR43" i="33"/>
  <c r="AQ43" i="33"/>
  <c r="AF43" i="33"/>
  <c r="AE43" i="33"/>
  <c r="AX42" i="33"/>
  <c r="AV42" i="33"/>
  <c r="AU42" i="33"/>
  <c r="AT42" i="33"/>
  <c r="AS42" i="33"/>
  <c r="AR42" i="33"/>
  <c r="AQ42" i="33"/>
  <c r="AX41" i="33"/>
  <c r="AV41" i="33"/>
  <c r="AU41" i="33"/>
  <c r="AT41" i="33"/>
  <c r="AS41" i="33"/>
  <c r="AR41" i="33"/>
  <c r="AQ41" i="33"/>
  <c r="AS23" i="33"/>
  <c r="G63" i="24" s="1"/>
  <c r="AI22" i="33"/>
  <c r="C52" i="34" s="1"/>
  <c r="AF20" i="33"/>
  <c r="Q19" i="33"/>
  <c r="N17" i="33"/>
  <c r="M17" i="33" s="1"/>
  <c r="AA18" i="33" s="1"/>
  <c r="G97" i="24" s="1"/>
  <c r="N16" i="33"/>
  <c r="M16" i="33" s="1"/>
  <c r="AA17" i="33" s="1"/>
  <c r="G96" i="24" s="1"/>
  <c r="N15" i="33"/>
  <c r="M15" i="33" s="1"/>
  <c r="AA16" i="33" s="1"/>
  <c r="G95" i="24" s="1"/>
  <c r="P13" i="33"/>
  <c r="P12" i="33"/>
  <c r="P11" i="33"/>
  <c r="P10" i="33"/>
  <c r="BE8" i="33"/>
  <c r="BE7" i="33"/>
  <c r="I42" i="32"/>
  <c r="AV44" i="33" s="1"/>
  <c r="F33" i="32"/>
  <c r="E33" i="32"/>
  <c r="I33" i="32" s="1"/>
  <c r="CB13" i="34" s="1"/>
  <c r="F32" i="32"/>
  <c r="E32" i="32"/>
  <c r="I32" i="32" s="1"/>
  <c r="CB12" i="34" s="1"/>
  <c r="F31" i="32"/>
  <c r="E31" i="32"/>
  <c r="BE10" i="33"/>
  <c r="BE9" i="33"/>
  <c r="N10" i="33"/>
  <c r="G11" i="35" l="1"/>
  <c r="AB22" i="35"/>
  <c r="AT44" i="33"/>
  <c r="Z128" i="35"/>
  <c r="I31" i="32"/>
  <c r="CB11" i="34" s="1"/>
  <c r="F141" i="33"/>
  <c r="E141" i="33"/>
  <c r="H14" i="32"/>
  <c r="T58" i="35" s="1"/>
  <c r="W58" i="35" s="1"/>
  <c r="AN82" i="35"/>
  <c r="AN85" i="35" s="1"/>
  <c r="AB82" i="35" s="1"/>
  <c r="AB81" i="35" s="1"/>
  <c r="AA119" i="35"/>
  <c r="Y119" i="35"/>
  <c r="AJ82" i="35"/>
  <c r="AJ85" i="35" s="1"/>
  <c r="Y128" i="35"/>
  <c r="AM82" i="35"/>
  <c r="AM85" i="35" s="1"/>
  <c r="AA82" i="35" s="1"/>
  <c r="AA81" i="35" s="1"/>
  <c r="AA128" i="35"/>
  <c r="I141" i="33"/>
  <c r="AS64" i="33"/>
  <c r="AT64" i="33" s="1"/>
  <c r="BC90" i="34"/>
  <c r="BA91" i="34"/>
  <c r="P19" i="33"/>
  <c r="BS111" i="34"/>
  <c r="AZ107" i="34"/>
  <c r="BI113" i="34"/>
  <c r="BI112" i="34"/>
  <c r="BK100" i="34"/>
  <c r="BX112" i="34"/>
  <c r="BA122" i="34"/>
  <c r="BU112" i="34"/>
  <c r="AZ120" i="34"/>
  <c r="BW112" i="34"/>
  <c r="BA121" i="34"/>
  <c r="BV112" i="34"/>
  <c r="CD5" i="34"/>
  <c r="C65" i="24" s="1"/>
  <c r="BU113" i="34"/>
  <c r="BC91" i="34"/>
  <c r="W59" i="34"/>
  <c r="V61" i="34" s="1"/>
  <c r="Q107" i="34"/>
  <c r="P109" i="34" s="1"/>
  <c r="AL150" i="34"/>
  <c r="BC69" i="34"/>
  <c r="AL159" i="34"/>
  <c r="U41" i="34"/>
  <c r="AG107" i="34"/>
  <c r="AF109" i="34" s="1"/>
  <c r="U118" i="34"/>
  <c r="V115" i="34" s="1"/>
  <c r="AE22" i="34"/>
  <c r="AF19" i="34" s="1"/>
  <c r="AH153" i="34"/>
  <c r="CD6" i="34"/>
  <c r="C66" i="24" s="1"/>
  <c r="W11" i="34"/>
  <c r="V13" i="34" s="1"/>
  <c r="Q59" i="34"/>
  <c r="O61" i="34" s="1"/>
  <c r="M35" i="34"/>
  <c r="K37" i="34" s="1"/>
  <c r="BW113" i="34"/>
  <c r="AL151" i="34"/>
  <c r="AZ94" i="34"/>
  <c r="K118" i="34"/>
  <c r="L114" i="34" s="1"/>
  <c r="AL153" i="34"/>
  <c r="BA75" i="34"/>
  <c r="O94" i="34"/>
  <c r="P92" i="34" s="1"/>
  <c r="AZ93" i="34"/>
  <c r="AL155" i="34"/>
  <c r="U22" i="34"/>
  <c r="V20" i="34" s="1"/>
  <c r="BC76" i="34"/>
  <c r="AL158" i="34"/>
  <c r="BQ113" i="34"/>
  <c r="O18" i="34"/>
  <c r="BV113" i="34"/>
  <c r="M11" i="34"/>
  <c r="L13" i="34" s="1"/>
  <c r="Y46" i="34"/>
  <c r="Z44" i="34" s="1"/>
  <c r="AW24" i="33"/>
  <c r="AL156" i="34"/>
  <c r="O17" i="34"/>
  <c r="Q35" i="34"/>
  <c r="O37" i="34" s="1"/>
  <c r="AK59" i="34"/>
  <c r="AJ61" i="34" s="1"/>
  <c r="AZ73" i="34"/>
  <c r="AE118" i="34"/>
  <c r="AF113" i="34" s="1"/>
  <c r="AL157" i="34"/>
  <c r="AA10" i="34"/>
  <c r="BM111" i="34"/>
  <c r="BN111" i="34"/>
  <c r="BK17" i="34" s="1"/>
  <c r="BK19" i="34" s="1"/>
  <c r="BN19" i="34" s="1"/>
  <c r="AZ90" i="34"/>
  <c r="AA35" i="34"/>
  <c r="Z37" i="34" s="1"/>
  <c r="BA90" i="34"/>
  <c r="M107" i="34"/>
  <c r="L109" i="34" s="1"/>
  <c r="BA124" i="34"/>
  <c r="CD4" i="34"/>
  <c r="C64" i="24" s="1"/>
  <c r="BP112" i="34"/>
  <c r="AZ75" i="34"/>
  <c r="M83" i="34"/>
  <c r="K85" i="34" s="1"/>
  <c r="K94" i="34"/>
  <c r="L93" i="34" s="1"/>
  <c r="BR100" i="34"/>
  <c r="BG179" i="34" s="1"/>
  <c r="AL152" i="34"/>
  <c r="AH151" i="34"/>
  <c r="AH172" i="34" s="1"/>
  <c r="O14" i="35"/>
  <c r="Z11" i="34"/>
  <c r="AA11" i="34" s="1"/>
  <c r="Y13" i="34" s="1"/>
  <c r="Q10" i="34"/>
  <c r="Y17" i="34"/>
  <c r="Y18" i="34"/>
  <c r="BR111" i="34"/>
  <c r="AE94" i="34"/>
  <c r="AF93" i="34" s="1"/>
  <c r="U94" i="34"/>
  <c r="V91" i="34" s="1"/>
  <c r="W33" i="34"/>
  <c r="BX113" i="34"/>
  <c r="BA73" i="34"/>
  <c r="AZ76" i="34"/>
  <c r="BN100" i="34"/>
  <c r="BG191" i="34" s="1"/>
  <c r="BA126" i="34"/>
  <c r="P11" i="34"/>
  <c r="Q11" i="34" s="1"/>
  <c r="O13" i="34" s="1"/>
  <c r="AI18" i="34"/>
  <c r="BM112" i="34"/>
  <c r="BC73" i="34"/>
  <c r="BA76" i="34"/>
  <c r="BM100" i="34"/>
  <c r="AZ128" i="34"/>
  <c r="AH154" i="34"/>
  <c r="AH169" i="34" s="1"/>
  <c r="BI111" i="34"/>
  <c r="AH148" i="34"/>
  <c r="AH175" i="34" s="1"/>
  <c r="BJ111" i="34"/>
  <c r="BO100" i="34"/>
  <c r="BG188" i="34" s="1"/>
  <c r="BA130" i="34"/>
  <c r="AH149" i="34"/>
  <c r="AH174" i="34" s="1"/>
  <c r="AH155" i="34"/>
  <c r="AH168" i="34" s="1"/>
  <c r="BC106" i="34"/>
  <c r="AH150" i="34"/>
  <c r="AH173" i="34" s="1"/>
  <c r="AJ11" i="34"/>
  <c r="R83" i="34"/>
  <c r="O85" i="34" s="1"/>
  <c r="BA94" i="34"/>
  <c r="AZ123" i="34"/>
  <c r="BV100" i="34"/>
  <c r="BW100" i="34"/>
  <c r="AA41" i="33"/>
  <c r="G126" i="24" s="1"/>
  <c r="N19" i="33"/>
  <c r="M10" i="33"/>
  <c r="AA9" i="33" s="1"/>
  <c r="AA10" i="33" s="1"/>
  <c r="BE11" i="33"/>
  <c r="O70" i="34"/>
  <c r="W83" i="34"/>
  <c r="U85" i="34" s="1"/>
  <c r="AI118" i="34"/>
  <c r="AJ113" i="34" s="1"/>
  <c r="AK8" i="34"/>
  <c r="AI19" i="34"/>
  <c r="AK10" i="34"/>
  <c r="BC71" i="34"/>
  <c r="BC44" i="34"/>
  <c r="BA44" i="34"/>
  <c r="AI70" i="34"/>
  <c r="AJ65" i="34" s="1"/>
  <c r="BK113" i="34"/>
  <c r="AL83" i="34"/>
  <c r="AK85" i="34" s="1"/>
  <c r="K22" i="34"/>
  <c r="L18" i="34" s="1"/>
  <c r="BO112" i="34"/>
  <c r="BO113" i="34"/>
  <c r="U43" i="34"/>
  <c r="W34" i="34"/>
  <c r="U35" i="34"/>
  <c r="W35" i="34" s="1"/>
  <c r="V37" i="34" s="1"/>
  <c r="K46" i="34"/>
  <c r="L41" i="34" s="1"/>
  <c r="BK112" i="34"/>
  <c r="AZ44" i="34"/>
  <c r="AA59" i="34"/>
  <c r="Y61" i="34" s="1"/>
  <c r="AS61" i="34"/>
  <c r="Y70" i="34"/>
  <c r="Z65" i="34" s="1"/>
  <c r="X96" i="34"/>
  <c r="X72" i="34"/>
  <c r="AG11" i="34"/>
  <c r="AF13" i="34" s="1"/>
  <c r="AW22" i="33"/>
  <c r="BC107" i="34"/>
  <c r="BA114" i="34"/>
  <c r="AV78" i="33" s="1"/>
  <c r="BA107" i="34"/>
  <c r="AZ71" i="34"/>
  <c r="BA71" i="34"/>
  <c r="BS113" i="34"/>
  <c r="BS112" i="34"/>
  <c r="BC108" i="34"/>
  <c r="BA108" i="34"/>
  <c r="AZ108" i="34"/>
  <c r="BT111" i="34"/>
  <c r="BT113" i="34"/>
  <c r="BT112" i="34"/>
  <c r="BL112" i="34"/>
  <c r="BL113" i="34"/>
  <c r="U70" i="34"/>
  <c r="V65" i="34" s="1"/>
  <c r="M59" i="34"/>
  <c r="L61" i="34" s="1"/>
  <c r="AE70" i="34"/>
  <c r="AF65" i="34" s="1"/>
  <c r="BC93" i="34"/>
  <c r="BA93" i="34"/>
  <c r="AS96" i="34"/>
  <c r="AT93" i="34" s="1"/>
  <c r="O118" i="34"/>
  <c r="P115" i="34" s="1"/>
  <c r="AQ82" i="35"/>
  <c r="AQ85" i="35" s="1"/>
  <c r="AE82" i="35" s="1"/>
  <c r="AE81" i="35" s="1"/>
  <c r="AZ109" i="34"/>
  <c r="BP111" i="34"/>
  <c r="AG59" i="34"/>
  <c r="AF61" i="34" s="1"/>
  <c r="O46" i="34"/>
  <c r="P43" i="34" s="1"/>
  <c r="K70" i="34"/>
  <c r="L65" i="34" s="1"/>
  <c r="BC75" i="34"/>
  <c r="BA72" i="34"/>
  <c r="BA120" i="34"/>
  <c r="BA137" i="34" s="1"/>
  <c r="AC159" i="33" s="1"/>
  <c r="AZ72" i="34"/>
  <c r="BL100" i="34"/>
  <c r="BC89" i="34"/>
  <c r="BC72" i="34"/>
  <c r="BA89" i="34"/>
  <c r="BC105" i="34"/>
  <c r="BA105" i="34"/>
  <c r="AZ105" i="34"/>
  <c r="BA69" i="34"/>
  <c r="AZ69" i="34"/>
  <c r="BQ111" i="34"/>
  <c r="AA107" i="34"/>
  <c r="Y109" i="34" s="1"/>
  <c r="H141" i="33"/>
  <c r="BJ112" i="34"/>
  <c r="BR112" i="34"/>
  <c r="AB83" i="34"/>
  <c r="Y85" i="34" s="1"/>
  <c r="BA125" i="34"/>
  <c r="BQ100" i="34"/>
  <c r="BG182" i="34" s="1"/>
  <c r="AO82" i="35"/>
  <c r="AO85" i="35" s="1"/>
  <c r="AC82" i="35" s="1"/>
  <c r="AC81" i="35" s="1"/>
  <c r="BC92" i="34"/>
  <c r="Y118" i="34"/>
  <c r="Z115" i="34" s="1"/>
  <c r="AP82" i="35"/>
  <c r="AP85" i="35" s="1"/>
  <c r="AD82" i="35" s="1"/>
  <c r="AD81" i="35" s="1"/>
  <c r="BA106" i="34"/>
  <c r="AZ106" i="34"/>
  <c r="BA70" i="34"/>
  <c r="AZ70" i="34"/>
  <c r="BN112" i="34"/>
  <c r="BC70" i="34"/>
  <c r="AG83" i="34"/>
  <c r="AF85" i="34" s="1"/>
  <c r="AZ89" i="34"/>
  <c r="W107" i="34"/>
  <c r="V109" i="34" s="1"/>
  <c r="BU100" i="34"/>
  <c r="BA129" i="34"/>
  <c r="AK82" i="35"/>
  <c r="AK85" i="35" s="1"/>
  <c r="Y82" i="35" s="1"/>
  <c r="Y81" i="35" s="1"/>
  <c r="AL82" i="35"/>
  <c r="AL85" i="35" s="1"/>
  <c r="Z82" i="35" s="1"/>
  <c r="Z81" i="35" s="1"/>
  <c r="Y94" i="34"/>
  <c r="Z89" i="34" s="1"/>
  <c r="BP100" i="34"/>
  <c r="BG185" i="34" s="1"/>
  <c r="BA128" i="34"/>
  <c r="AZ131" i="34"/>
  <c r="AZ134" i="34" s="1"/>
  <c r="Q126" i="33" s="1"/>
  <c r="AL149" i="34"/>
  <c r="AI94" i="34"/>
  <c r="AJ89" i="34" s="1"/>
  <c r="AK107" i="34"/>
  <c r="AI109" i="34" s="1"/>
  <c r="AL154" i="34"/>
  <c r="AL160" i="34"/>
  <c r="AZ92" i="34"/>
  <c r="BS100" i="34"/>
  <c r="BG176" i="34" s="1"/>
  <c r="BA92" i="34"/>
  <c r="AZ122" i="34"/>
  <c r="AZ127" i="34"/>
  <c r="AZ137" i="34" l="1"/>
  <c r="AC158" i="33" s="1"/>
  <c r="AZ135" i="34"/>
  <c r="T158" i="33"/>
  <c r="W166" i="33" s="1"/>
  <c r="X166" i="33" s="1"/>
  <c r="CA220" i="34"/>
  <c r="BY220" i="34"/>
  <c r="CC220" i="34" s="1"/>
  <c r="CH177" i="34" s="1"/>
  <c r="O13" i="35"/>
  <c r="AH170" i="34"/>
  <c r="AY64" i="33"/>
  <c r="CF62" i="33"/>
  <c r="CG62" i="33" s="1"/>
  <c r="CH62" i="33" s="1"/>
  <c r="AB10" i="33"/>
  <c r="L116" i="34"/>
  <c r="U13" i="34"/>
  <c r="AA11" i="33"/>
  <c r="AE12" i="34" s="1"/>
  <c r="AA12" i="33"/>
  <c r="U12" i="34" s="1"/>
  <c r="L37" i="34"/>
  <c r="AF20" i="34"/>
  <c r="CB112" i="34"/>
  <c r="CB113" i="34"/>
  <c r="V21" i="34"/>
  <c r="Z13" i="34"/>
  <c r="AB13" i="34" s="1"/>
  <c r="V17" i="34"/>
  <c r="AF21" i="34"/>
  <c r="AF114" i="34"/>
  <c r="O109" i="34"/>
  <c r="R109" i="34" s="1"/>
  <c r="Z42" i="34"/>
  <c r="AF17" i="34"/>
  <c r="U61" i="34"/>
  <c r="P89" i="34"/>
  <c r="AF18" i="34"/>
  <c r="U46" i="34"/>
  <c r="V41" i="34" s="1"/>
  <c r="V113" i="34"/>
  <c r="L85" i="34"/>
  <c r="AF92" i="34"/>
  <c r="K109" i="34"/>
  <c r="V92" i="34"/>
  <c r="V114" i="34"/>
  <c r="AE109" i="34"/>
  <c r="V117" i="34"/>
  <c r="AF90" i="34"/>
  <c r="V116" i="34"/>
  <c r="AF117" i="34"/>
  <c r="AF115" i="34"/>
  <c r="AJ109" i="34"/>
  <c r="AL109" i="34" s="1"/>
  <c r="AF116" i="34"/>
  <c r="L92" i="34"/>
  <c r="L117" i="34"/>
  <c r="L115" i="34"/>
  <c r="L113" i="34"/>
  <c r="P61" i="34"/>
  <c r="R61" i="34" s="1"/>
  <c r="V18" i="34"/>
  <c r="Z45" i="34"/>
  <c r="AF89" i="34"/>
  <c r="Z61" i="34"/>
  <c r="AB61" i="34" s="1"/>
  <c r="O15" i="35"/>
  <c r="AT90" i="34"/>
  <c r="Z41" i="34"/>
  <c r="Z43" i="34"/>
  <c r="Y37" i="34"/>
  <c r="L89" i="34"/>
  <c r="L90" i="34"/>
  <c r="AI61" i="34"/>
  <c r="AL61" i="34" s="1"/>
  <c r="V19" i="34"/>
  <c r="O22" i="34"/>
  <c r="P18" i="34" s="1"/>
  <c r="P91" i="34"/>
  <c r="V85" i="34"/>
  <c r="P93" i="34"/>
  <c r="Y22" i="34"/>
  <c r="Z18" i="34" s="1"/>
  <c r="AJ66" i="34"/>
  <c r="K13" i="34"/>
  <c r="P37" i="34"/>
  <c r="L91" i="34"/>
  <c r="AI22" i="34"/>
  <c r="AJ19" i="34" s="1"/>
  <c r="AF91" i="34"/>
  <c r="P90" i="34"/>
  <c r="O17" i="35"/>
  <c r="P85" i="34"/>
  <c r="P114" i="34"/>
  <c r="AT94" i="34"/>
  <c r="BA134" i="34"/>
  <c r="Q127" i="33" s="1"/>
  <c r="Q134" i="33" s="1"/>
  <c r="R127" i="33" s="1"/>
  <c r="R147" i="33" s="1"/>
  <c r="P113" i="34"/>
  <c r="V89" i="34"/>
  <c r="O16" i="35"/>
  <c r="V93" i="34"/>
  <c r="Q85" i="34"/>
  <c r="AJ114" i="34"/>
  <c r="Z109" i="34"/>
  <c r="AB109" i="34" s="1"/>
  <c r="AE13" i="34"/>
  <c r="O18" i="35"/>
  <c r="V90" i="34"/>
  <c r="AZ133" i="34"/>
  <c r="V99" i="33" s="1"/>
  <c r="AI85" i="34"/>
  <c r="BC79" i="34"/>
  <c r="AV73" i="34" s="1"/>
  <c r="AE76" i="33" s="1"/>
  <c r="AE85" i="34"/>
  <c r="BC95" i="34"/>
  <c r="V81" i="33" s="1"/>
  <c r="O11" i="35"/>
  <c r="T159" i="33"/>
  <c r="W167" i="33" s="1"/>
  <c r="X167" i="33" s="1"/>
  <c r="P13" i="34"/>
  <c r="R13" i="34" s="1"/>
  <c r="O12" i="35"/>
  <c r="AZ95" i="34"/>
  <c r="V78" i="33" s="1"/>
  <c r="AJ85" i="34"/>
  <c r="AK11" i="34"/>
  <c r="AI13" i="34" s="1"/>
  <c r="Q146" i="33"/>
  <c r="AA85" i="34"/>
  <c r="Z85" i="34"/>
  <c r="BC110" i="34"/>
  <c r="AN80" i="33" s="1"/>
  <c r="BC113" i="34"/>
  <c r="AN101" i="33" s="1"/>
  <c r="AF69" i="34"/>
  <c r="AF66" i="34"/>
  <c r="AF67" i="34"/>
  <c r="AF68" i="34"/>
  <c r="L21" i="34"/>
  <c r="L20" i="34"/>
  <c r="L17" i="34"/>
  <c r="L19" i="34"/>
  <c r="AC163" i="33"/>
  <c r="AD158" i="33" s="1"/>
  <c r="AJ92" i="34"/>
  <c r="AJ93" i="34"/>
  <c r="AJ90" i="34"/>
  <c r="L69" i="34"/>
  <c r="L68" i="34"/>
  <c r="L67" i="34"/>
  <c r="L66" i="34"/>
  <c r="P117" i="34"/>
  <c r="P116" i="34"/>
  <c r="BC61" i="34"/>
  <c r="BA61" i="34"/>
  <c r="AZ61" i="34"/>
  <c r="L44" i="34"/>
  <c r="L45" i="34"/>
  <c r="L43" i="34"/>
  <c r="L42" i="34"/>
  <c r="AC125" i="33"/>
  <c r="AT92" i="34"/>
  <c r="AT91" i="34"/>
  <c r="AT95" i="34"/>
  <c r="U37" i="34"/>
  <c r="AJ67" i="34"/>
  <c r="AJ68" i="34"/>
  <c r="AJ69" i="34"/>
  <c r="P67" i="34"/>
  <c r="P69" i="34"/>
  <c r="P68" i="34"/>
  <c r="P65" i="34"/>
  <c r="AE61" i="34"/>
  <c r="Z68" i="34"/>
  <c r="Z67" i="34"/>
  <c r="Z69" i="34"/>
  <c r="Z93" i="34"/>
  <c r="Z92" i="34"/>
  <c r="Z90" i="34"/>
  <c r="Z91" i="34"/>
  <c r="AZ79" i="34"/>
  <c r="AV70" i="34" s="1"/>
  <c r="AE73" i="33" s="1"/>
  <c r="BA133" i="34"/>
  <c r="V100" i="33" s="1"/>
  <c r="BA135" i="34"/>
  <c r="AC126" i="33" s="1"/>
  <c r="Z113" i="34"/>
  <c r="AJ115" i="34"/>
  <c r="BA79" i="34"/>
  <c r="AV71" i="34" s="1"/>
  <c r="AE74" i="33" s="1"/>
  <c r="P45" i="34"/>
  <c r="P41" i="34"/>
  <c r="P44" i="34"/>
  <c r="K61" i="34"/>
  <c r="P42" i="34"/>
  <c r="P66" i="34"/>
  <c r="Z116" i="34"/>
  <c r="Z117" i="34"/>
  <c r="Z114" i="34"/>
  <c r="AZ110" i="34"/>
  <c r="AN77" i="33" s="1"/>
  <c r="AZ113" i="34"/>
  <c r="AN98" i="33" s="1"/>
  <c r="AJ116" i="34"/>
  <c r="AJ117" i="34"/>
  <c r="AJ91" i="34"/>
  <c r="BA110" i="34"/>
  <c r="AN78" i="33" s="1"/>
  <c r="BA113" i="34"/>
  <c r="AN99" i="33" s="1"/>
  <c r="BA95" i="34"/>
  <c r="V79" i="33" s="1"/>
  <c r="U109" i="34"/>
  <c r="Z66" i="34"/>
  <c r="V69" i="34"/>
  <c r="V68" i="34"/>
  <c r="V67" i="34"/>
  <c r="V66" i="34"/>
  <c r="X169" i="33" l="1"/>
  <c r="BJ12" i="34"/>
  <c r="BK12" i="34" s="1"/>
  <c r="BK31" i="34"/>
  <c r="AC10" i="33"/>
  <c r="K14" i="34"/>
  <c r="K12" i="34"/>
  <c r="L12" i="34" s="1"/>
  <c r="L14" i="34" s="1"/>
  <c r="G90" i="24"/>
  <c r="U14" i="34"/>
  <c r="AB11" i="33"/>
  <c r="AC11" i="33"/>
  <c r="AC12" i="33"/>
  <c r="AE14" i="34"/>
  <c r="BK32" i="34"/>
  <c r="AA13" i="33"/>
  <c r="AA15" i="33" s="1"/>
  <c r="G94" i="24" s="1"/>
  <c r="BK33" i="34"/>
  <c r="BJ14" i="34"/>
  <c r="BK14" i="34" s="1"/>
  <c r="G92" i="24"/>
  <c r="BJ13" i="34"/>
  <c r="BK13" i="34" s="1"/>
  <c r="G91" i="24"/>
  <c r="AB12" i="33"/>
  <c r="V42" i="34"/>
  <c r="V43" i="34"/>
  <c r="P17" i="34"/>
  <c r="V44" i="34"/>
  <c r="V45" i="34"/>
  <c r="AJ17" i="34"/>
  <c r="AC135" i="33"/>
  <c r="Q147" i="33"/>
  <c r="AW21" i="33" s="1"/>
  <c r="AJ20" i="34"/>
  <c r="AJ18" i="34"/>
  <c r="AJ21" i="34"/>
  <c r="P19" i="34"/>
  <c r="P21" i="34"/>
  <c r="P20" i="34"/>
  <c r="Z19" i="34"/>
  <c r="Z20" i="34"/>
  <c r="Z17" i="34"/>
  <c r="AT96" i="34"/>
  <c r="Z21" i="34"/>
  <c r="V116" i="33"/>
  <c r="R85" i="34"/>
  <c r="AD159" i="33"/>
  <c r="AD163" i="33" s="1"/>
  <c r="AB85" i="34"/>
  <c r="AL85" i="34"/>
  <c r="AJ13" i="34"/>
  <c r="AL13" i="34" s="1"/>
  <c r="AF12" i="34"/>
  <c r="AF14" i="34" s="1"/>
  <c r="AH25" i="34"/>
  <c r="R129" i="33"/>
  <c r="R149" i="33" s="1"/>
  <c r="R130" i="33"/>
  <c r="R150" i="33" s="1"/>
  <c r="R128" i="33"/>
  <c r="R148" i="33" s="1"/>
  <c r="R126" i="33"/>
  <c r="R146" i="33" s="1"/>
  <c r="AN103" i="33"/>
  <c r="AO99" i="33" s="1"/>
  <c r="V12" i="34"/>
  <c r="V14" i="34" s="1"/>
  <c r="X25" i="34"/>
  <c r="AN82" i="33"/>
  <c r="AO78" i="33" s="1"/>
  <c r="V84" i="33"/>
  <c r="W79" i="33" s="1"/>
  <c r="AE83" i="33"/>
  <c r="AF73" i="33" s="1"/>
  <c r="T168" i="33"/>
  <c r="U158" i="33" s="1"/>
  <c r="BN25" i="34" l="1"/>
  <c r="BK28" i="34"/>
  <c r="BG31" i="34"/>
  <c r="P14" i="34"/>
  <c r="BF33" i="34"/>
  <c r="BG33" i="34"/>
  <c r="BN27" i="34"/>
  <c r="BF32" i="34"/>
  <c r="BG32" i="34"/>
  <c r="BN26" i="34"/>
  <c r="BF31" i="34"/>
  <c r="N25" i="34"/>
  <c r="Z14" i="34"/>
  <c r="AA19" i="33"/>
  <c r="AB13" i="33"/>
  <c r="AC13" i="33"/>
  <c r="BK15" i="34"/>
  <c r="BN15" i="34" s="1"/>
  <c r="BN21" i="34" s="1"/>
  <c r="Q151" i="33"/>
  <c r="AO80" i="33"/>
  <c r="AO101" i="33"/>
  <c r="AJ14" i="34"/>
  <c r="Y14" i="34"/>
  <c r="AO77" i="33"/>
  <c r="R151" i="33"/>
  <c r="O14" i="34"/>
  <c r="AF74" i="33"/>
  <c r="AO79" i="33"/>
  <c r="AO81" i="33"/>
  <c r="U162" i="33"/>
  <c r="U160" i="33"/>
  <c r="U161" i="33"/>
  <c r="U159" i="33"/>
  <c r="AI14" i="34"/>
  <c r="AO102" i="33"/>
  <c r="AO100" i="33"/>
  <c r="AF77" i="33"/>
  <c r="AF75" i="33"/>
  <c r="AF76" i="33"/>
  <c r="AO98" i="33"/>
  <c r="W80" i="33"/>
  <c r="W82" i="33"/>
  <c r="W78" i="33"/>
  <c r="W81" i="33"/>
  <c r="BN28" i="34" l="1"/>
  <c r="BN30" i="34" s="1"/>
  <c r="AA22" i="33" s="1"/>
  <c r="AC22" i="33" s="1"/>
  <c r="BF34" i="34"/>
  <c r="BF35" i="34" s="1"/>
  <c r="BG34" i="34"/>
  <c r="BG35" i="34" s="1"/>
  <c r="AE62" i="34"/>
  <c r="AE110" i="34"/>
  <c r="AE86" i="34"/>
  <c r="K38" i="34"/>
  <c r="U62" i="34"/>
  <c r="U110" i="34"/>
  <c r="U86" i="34"/>
  <c r="AA31" i="33"/>
  <c r="G117" i="24" s="1"/>
  <c r="AB15" i="33"/>
  <c r="U36" i="34"/>
  <c r="V36" i="34" s="1"/>
  <c r="V38" i="34" s="1"/>
  <c r="U38" i="34"/>
  <c r="AB18" i="33"/>
  <c r="AA20" i="33"/>
  <c r="AE9" i="33" s="1"/>
  <c r="AB17" i="33"/>
  <c r="AB16" i="33"/>
  <c r="AA32" i="33"/>
  <c r="AO103" i="33"/>
  <c r="AA30" i="33"/>
  <c r="AF83" i="33"/>
  <c r="W84" i="33"/>
  <c r="BG36" i="34" l="1"/>
  <c r="AS63" i="33"/>
  <c r="AS57" i="33"/>
  <c r="AS43" i="34"/>
  <c r="AZ42" i="34" s="1"/>
  <c r="AA53" i="33"/>
  <c r="AS55" i="33"/>
  <c r="AT55" i="33" s="1"/>
  <c r="AY55" i="33" s="1"/>
  <c r="AS62" i="33"/>
  <c r="AS61" i="33"/>
  <c r="X49" i="34"/>
  <c r="G99" i="24"/>
  <c r="AE11" i="33"/>
  <c r="AE10" i="33"/>
  <c r="AC15" i="33"/>
  <c r="AC9" i="33"/>
  <c r="AC20" i="33" s="1"/>
  <c r="AE12" i="33"/>
  <c r="AS44" i="34"/>
  <c r="AZ43" i="34" s="1"/>
  <c r="G118" i="24"/>
  <c r="BI52" i="34"/>
  <c r="G116" i="24"/>
  <c r="Y38" i="34"/>
  <c r="AA54" i="33"/>
  <c r="AJ53" i="33"/>
  <c r="AS42" i="34"/>
  <c r="BA41" i="34" s="1"/>
  <c r="Z38" i="34"/>
  <c r="U108" i="34" l="1"/>
  <c r="X121" i="34" s="1"/>
  <c r="BC42" i="34"/>
  <c r="AS59" i="34"/>
  <c r="AZ59" i="34" s="1"/>
  <c r="BA42" i="34"/>
  <c r="BK34" i="34"/>
  <c r="U84" i="34"/>
  <c r="V84" i="34" s="1"/>
  <c r="V86" i="34" s="1"/>
  <c r="Y86" i="34" s="1"/>
  <c r="G136" i="24"/>
  <c r="U60" i="34"/>
  <c r="V60" i="34" s="1"/>
  <c r="V62" i="34" s="1"/>
  <c r="K36" i="34"/>
  <c r="N49" i="34" s="1"/>
  <c r="AE84" i="34"/>
  <c r="AF84" i="34" s="1"/>
  <c r="AF86" i="34" s="1"/>
  <c r="AE108" i="34"/>
  <c r="AF108" i="34" s="1"/>
  <c r="AF110" i="34" s="1"/>
  <c r="AE60" i="34"/>
  <c r="AF60" i="34" s="1"/>
  <c r="AF62" i="34" s="1"/>
  <c r="CF53" i="33"/>
  <c r="CG53" i="33" s="1"/>
  <c r="CH53" i="33" s="1"/>
  <c r="V13" i="33"/>
  <c r="V11" i="33" s="1"/>
  <c r="AS54" i="33" s="1"/>
  <c r="AT54" i="33" s="1"/>
  <c r="AE20" i="33"/>
  <c r="BC43" i="34"/>
  <c r="BA43" i="34"/>
  <c r="AS60" i="34"/>
  <c r="BC60" i="34" s="1"/>
  <c r="G137" i="24"/>
  <c r="BK35" i="34"/>
  <c r="AZ41" i="34"/>
  <c r="BC41" i="34"/>
  <c r="V108" i="34" l="1"/>
  <c r="V110" i="34" s="1"/>
  <c r="Y110" i="34" s="1"/>
  <c r="H39" i="34" s="1"/>
  <c r="AA81" i="33" s="1"/>
  <c r="G158" i="24" s="1"/>
  <c r="BC59" i="34"/>
  <c r="BA59" i="34"/>
  <c r="X97" i="34"/>
  <c r="L36" i="34"/>
  <c r="L38" i="34" s="1"/>
  <c r="X73" i="34"/>
  <c r="AY54" i="33"/>
  <c r="AZ60" i="34"/>
  <c r="BA60" i="34"/>
  <c r="AH121" i="34"/>
  <c r="AH97" i="34"/>
  <c r="AH73" i="34"/>
  <c r="AK110" i="34"/>
  <c r="AI110" i="34"/>
  <c r="H38" i="34" s="1"/>
  <c r="AA80" i="33" s="1"/>
  <c r="G157" i="24" s="1"/>
  <c r="AJ110" i="34"/>
  <c r="AK86" i="34"/>
  <c r="AJ86" i="34"/>
  <c r="AI86" i="34"/>
  <c r="AI62" i="34"/>
  <c r="AJ62" i="34"/>
  <c r="Y62" i="34"/>
  <c r="Z62" i="34"/>
  <c r="AA86" i="34"/>
  <c r="Z86" i="34"/>
  <c r="Z110" i="34" l="1"/>
  <c r="AA110" i="34"/>
  <c r="P38" i="34"/>
  <c r="C37" i="34"/>
  <c r="O38" i="34"/>
  <c r="K110" i="34" s="1"/>
  <c r="CF52" i="33"/>
  <c r="CG52" i="33" s="1"/>
  <c r="CH52" i="33" s="1"/>
  <c r="H35" i="34"/>
  <c r="AA77" i="33" s="1"/>
  <c r="G154" i="24" s="1"/>
  <c r="M149" i="34"/>
  <c r="S82" i="33"/>
  <c r="G207" i="24" s="1"/>
  <c r="H37" i="34"/>
  <c r="AA79" i="33" s="1"/>
  <c r="G156" i="24" s="1"/>
  <c r="M146" i="34"/>
  <c r="S83" i="33"/>
  <c r="G208" i="24" s="1"/>
  <c r="C53" i="34" l="1"/>
  <c r="C54" i="34" s="1"/>
  <c r="AA34" i="33"/>
  <c r="G120" i="24" s="1"/>
  <c r="K62" i="34"/>
  <c r="K86" i="34"/>
  <c r="M150" i="34"/>
  <c r="O150" i="34" s="1"/>
  <c r="S81" i="33"/>
  <c r="G206" i="24" s="1"/>
  <c r="O149" i="34"/>
  <c r="BS12" i="34"/>
  <c r="M148" i="34"/>
  <c r="S79" i="33"/>
  <c r="G204" i="24" s="1"/>
  <c r="BS14" i="34"/>
  <c r="BU14" i="34" s="1"/>
  <c r="AA35" i="33" l="1"/>
  <c r="AA36" i="33" s="1"/>
  <c r="AB35" i="33" s="1"/>
  <c r="AA39" i="33"/>
  <c r="G124" i="24" s="1"/>
  <c r="AA42" i="33"/>
  <c r="G127" i="24" s="1"/>
  <c r="AA38" i="33"/>
  <c r="G123" i="24" s="1"/>
  <c r="AS46" i="34"/>
  <c r="BA45" i="34" s="1"/>
  <c r="X31" i="33"/>
  <c r="X34" i="33"/>
  <c r="AA56" i="33"/>
  <c r="X32" i="33"/>
  <c r="X33" i="33"/>
  <c r="AA40" i="33"/>
  <c r="G125" i="24" s="1"/>
  <c r="BU12" i="34"/>
  <c r="BT12" i="34"/>
  <c r="BS10" i="34"/>
  <c r="X144" i="34"/>
  <c r="A146" i="34" s="1"/>
  <c r="Q136" i="34"/>
  <c r="BS13" i="34"/>
  <c r="BU13" i="34" s="1"/>
  <c r="X147" i="34"/>
  <c r="Q139" i="34"/>
  <c r="A149" i="34" l="1"/>
  <c r="D146" i="34"/>
  <c r="D147" i="34"/>
  <c r="D145" i="34"/>
  <c r="G139" i="24"/>
  <c r="K108" i="34"/>
  <c r="L108" i="34" s="1"/>
  <c r="L110" i="34" s="1"/>
  <c r="AS47" i="34"/>
  <c r="G121" i="24"/>
  <c r="BC45" i="34"/>
  <c r="P163" i="34"/>
  <c r="S163" i="34" s="1"/>
  <c r="U163" i="34" s="1"/>
  <c r="P162" i="34"/>
  <c r="S162" i="34" s="1"/>
  <c r="U162" i="34" s="1"/>
  <c r="AS62" i="34"/>
  <c r="BA62" i="34" s="1"/>
  <c r="AZ45" i="34"/>
  <c r="BK36" i="34"/>
  <c r="AB34" i="33"/>
  <c r="AB32" i="33"/>
  <c r="K60" i="34"/>
  <c r="N73" i="34" s="1"/>
  <c r="AA43" i="33"/>
  <c r="AB41" i="33" s="1"/>
  <c r="K84" i="34"/>
  <c r="L84" i="34" s="1"/>
  <c r="L86" i="34" s="1"/>
  <c r="O86" i="34" s="1"/>
  <c r="AB30" i="33"/>
  <c r="AB31" i="33"/>
  <c r="AB33" i="33"/>
  <c r="AJ54" i="33"/>
  <c r="BI53" i="34" s="1"/>
  <c r="AA44" i="33"/>
  <c r="AC42" i="33" s="1"/>
  <c r="AA60" i="33"/>
  <c r="AA145" i="34"/>
  <c r="AA144" i="34"/>
  <c r="Z184" i="34"/>
  <c r="AA143" i="34"/>
  <c r="L162" i="34" s="1"/>
  <c r="T138" i="34"/>
  <c r="T140" i="34"/>
  <c r="T139" i="34"/>
  <c r="BT10" i="34"/>
  <c r="BU10" i="34"/>
  <c r="T135" i="34"/>
  <c r="T137" i="34"/>
  <c r="T136" i="34"/>
  <c r="AA148" i="34"/>
  <c r="AA147" i="34"/>
  <c r="Z185" i="34"/>
  <c r="AA146" i="34"/>
  <c r="H163" i="34" s="1"/>
  <c r="AJ58" i="33" l="1"/>
  <c r="AJ80" i="33" s="1"/>
  <c r="BI64" i="34" s="1"/>
  <c r="BN65" i="34" s="1"/>
  <c r="AJ92" i="33" s="1"/>
  <c r="AL92" i="33" s="1"/>
  <c r="AS59" i="33" s="1"/>
  <c r="AC39" i="33"/>
  <c r="D150" i="34"/>
  <c r="D149" i="34"/>
  <c r="D148" i="34"/>
  <c r="L163" i="34"/>
  <c r="AC40" i="33"/>
  <c r="BC46" i="34"/>
  <c r="BC47" i="34" s="1"/>
  <c r="AV45" i="34" s="1"/>
  <c r="AE33" i="33" s="1"/>
  <c r="AS63" i="34"/>
  <c r="AZ46" i="34"/>
  <c r="AZ47" i="34" s="1"/>
  <c r="AV42" i="34" s="1"/>
  <c r="BA46" i="34"/>
  <c r="BA47" i="34" s="1"/>
  <c r="AV43" i="34" s="1"/>
  <c r="AE31" i="33" s="1"/>
  <c r="C38" i="34"/>
  <c r="N121" i="34"/>
  <c r="AZ62" i="34"/>
  <c r="BC62" i="34"/>
  <c r="N97" i="34"/>
  <c r="L60" i="34"/>
  <c r="L62" i="34" s="1"/>
  <c r="P62" i="34" s="1"/>
  <c r="H31" i="34" s="1"/>
  <c r="AC31" i="33"/>
  <c r="AB42" i="33"/>
  <c r="AB40" i="33"/>
  <c r="AB39" i="33"/>
  <c r="AB38" i="33"/>
  <c r="AC35" i="33"/>
  <c r="AC30" i="33"/>
  <c r="AC32" i="33"/>
  <c r="AC38" i="33"/>
  <c r="AC41" i="33"/>
  <c r="AC33" i="33"/>
  <c r="AC34" i="33"/>
  <c r="BM52" i="34"/>
  <c r="BM53" i="34" s="1"/>
  <c r="AA47" i="33" s="1"/>
  <c r="AC47" i="33" s="1"/>
  <c r="AS56" i="33" s="1"/>
  <c r="AJ98" i="33"/>
  <c r="Q86" i="34"/>
  <c r="P86" i="34"/>
  <c r="H32" i="34" s="1"/>
  <c r="O110" i="34"/>
  <c r="H36" i="34" s="1"/>
  <c r="AA78" i="33" s="1"/>
  <c r="G155" i="24" s="1"/>
  <c r="Q110" i="34"/>
  <c r="P110" i="34"/>
  <c r="BI46" i="34" l="1"/>
  <c r="G173" i="24"/>
  <c r="AE30" i="33"/>
  <c r="AE36" i="33" s="1"/>
  <c r="AF32" i="33" s="1"/>
  <c r="AV48" i="34"/>
  <c r="C55" i="34"/>
  <c r="C56" i="34" s="1"/>
  <c r="BA63" i="34"/>
  <c r="BA64" i="34" s="1"/>
  <c r="AV60" i="34" s="1"/>
  <c r="AE54" i="33" s="1"/>
  <c r="BC63" i="34"/>
  <c r="BC64" i="34" s="1"/>
  <c r="AV62" i="34" s="1"/>
  <c r="AE56" i="33" s="1"/>
  <c r="AZ63" i="34"/>
  <c r="AZ64" i="34" s="1"/>
  <c r="AV59" i="34" s="1"/>
  <c r="AS64" i="34"/>
  <c r="D43" i="34"/>
  <c r="O62" i="34"/>
  <c r="H34" i="34" s="1"/>
  <c r="AA76" i="33" s="1"/>
  <c r="AC43" i="33"/>
  <c r="AC36" i="33"/>
  <c r="G178" i="24"/>
  <c r="AT59" i="33"/>
  <c r="AY59" i="33" s="1"/>
  <c r="C39" i="34"/>
  <c r="AT56" i="33"/>
  <c r="G129" i="24"/>
  <c r="C32" i="34"/>
  <c r="H33" i="34"/>
  <c r="AA75" i="33" s="1"/>
  <c r="G152" i="24" s="1"/>
  <c r="M145" i="34"/>
  <c r="O147" i="34" s="1"/>
  <c r="S80" i="33"/>
  <c r="G205" i="24" s="1"/>
  <c r="AS25" i="33"/>
  <c r="G65" i="24" s="1"/>
  <c r="AC148" i="34" s="1"/>
  <c r="AE148" i="34" s="1"/>
  <c r="AA73" i="33"/>
  <c r="G150" i="24" s="1"/>
  <c r="AA74" i="33"/>
  <c r="AC44" i="33" l="1"/>
  <c r="AF31" i="33"/>
  <c r="AF33" i="33"/>
  <c r="AF30" i="33"/>
  <c r="AF34" i="33"/>
  <c r="AV64" i="34"/>
  <c r="AE53" i="33"/>
  <c r="AE58" i="33" s="1"/>
  <c r="AF53" i="33" s="1"/>
  <c r="AA57" i="33"/>
  <c r="AA58" i="33" s="1"/>
  <c r="AY56" i="33"/>
  <c r="CF57" i="33"/>
  <c r="CG57" i="33" s="1"/>
  <c r="CH57" i="33" s="1"/>
  <c r="CF54" i="33"/>
  <c r="CG54" i="33" s="1"/>
  <c r="CH54" i="33" s="1"/>
  <c r="T59" i="35"/>
  <c r="G151" i="24"/>
  <c r="AJ78" i="33"/>
  <c r="AJ79" i="33"/>
  <c r="G172" i="24" s="1"/>
  <c r="G153" i="24"/>
  <c r="H41" i="34"/>
  <c r="H16" i="32"/>
  <c r="BS11" i="34"/>
  <c r="BU11" i="34" s="1"/>
  <c r="M147" i="34"/>
  <c r="O148" i="34" s="1"/>
  <c r="S78" i="33"/>
  <c r="G203" i="24" s="1"/>
  <c r="X128" i="34"/>
  <c r="L128" i="34"/>
  <c r="Q128" i="34"/>
  <c r="AJ77" i="33"/>
  <c r="A130" i="34" l="1"/>
  <c r="AF36" i="33"/>
  <c r="F55" i="34"/>
  <c r="C45" i="34" s="1"/>
  <c r="AB96" i="33"/>
  <c r="P160" i="34"/>
  <c r="AD57" i="35"/>
  <c r="AF57" i="35" s="1"/>
  <c r="AA128" i="34"/>
  <c r="G171" i="24"/>
  <c r="G170" i="24"/>
  <c r="BS9" i="34"/>
  <c r="BU9" i="34" s="1"/>
  <c r="S84" i="33"/>
  <c r="T78" i="33" s="1"/>
  <c r="N128" i="34"/>
  <c r="AF57" i="33"/>
  <c r="AF55" i="33"/>
  <c r="AF56" i="33"/>
  <c r="AF54" i="33"/>
  <c r="BI44" i="34"/>
  <c r="AS77" i="33"/>
  <c r="CB72" i="34" s="1"/>
  <c r="AA129" i="34"/>
  <c r="Z182" i="34"/>
  <c r="AA127" i="34"/>
  <c r="AC126" i="34" s="1"/>
  <c r="BI43" i="34"/>
  <c r="BM43" i="34" s="1"/>
  <c r="W59" i="35"/>
  <c r="T127" i="34"/>
  <c r="T129" i="34"/>
  <c r="T128" i="34"/>
  <c r="X133" i="34"/>
  <c r="L129" i="34"/>
  <c r="Q131" i="34"/>
  <c r="D130" i="34" l="1"/>
  <c r="D129" i="34"/>
  <c r="F128" i="34" s="1"/>
  <c r="D131" i="34"/>
  <c r="A135" i="34"/>
  <c r="L160" i="34"/>
  <c r="H160" i="34"/>
  <c r="P161" i="34"/>
  <c r="S165" i="34"/>
  <c r="U165" i="34" s="1"/>
  <c r="CC72" i="34"/>
  <c r="G184" i="24"/>
  <c r="AF58" i="33"/>
  <c r="V126" i="34"/>
  <c r="T130" i="34"/>
  <c r="V127" i="34" s="1"/>
  <c r="T133" i="34"/>
  <c r="T131" i="34"/>
  <c r="T134" i="34"/>
  <c r="T132" i="34"/>
  <c r="AA131" i="34"/>
  <c r="Z186" i="34"/>
  <c r="AA130" i="34"/>
  <c r="H165" i="34" s="1"/>
  <c r="BS15" i="34"/>
  <c r="BQ8" i="34" s="1"/>
  <c r="T82" i="33"/>
  <c r="T83" i="33"/>
  <c r="T81" i="33"/>
  <c r="T79" i="33"/>
  <c r="T80" i="33"/>
  <c r="N129" i="34"/>
  <c r="AA135" i="34"/>
  <c r="AA133" i="34"/>
  <c r="AA137" i="34"/>
  <c r="AA142" i="34"/>
  <c r="AC139" i="34" s="1"/>
  <c r="AA136" i="34"/>
  <c r="AA139" i="34"/>
  <c r="AA134" i="34"/>
  <c r="AA140" i="34"/>
  <c r="AA132" i="34"/>
  <c r="Z183" i="34"/>
  <c r="AA141" i="34"/>
  <c r="AA138" i="34"/>
  <c r="L165" i="34" l="1"/>
  <c r="L161" i="34"/>
  <c r="H161" i="34"/>
  <c r="D142" i="34"/>
  <c r="F142" i="34" s="1"/>
  <c r="D134" i="34"/>
  <c r="D140" i="34"/>
  <c r="D139" i="34"/>
  <c r="D138" i="34"/>
  <c r="D137" i="34"/>
  <c r="D141" i="34"/>
  <c r="D144" i="34"/>
  <c r="F141" i="34" s="1"/>
  <c r="D136" i="34"/>
  <c r="D143" i="34"/>
  <c r="D135" i="34"/>
  <c r="AC140" i="34"/>
  <c r="T84" i="33"/>
  <c r="AC127" i="34"/>
  <c r="F129" i="34" l="1"/>
  <c r="AB54" i="33"/>
  <c r="AB53" i="33"/>
  <c r="AB55" i="33"/>
  <c r="AB57" i="33"/>
  <c r="AB56" i="33"/>
  <c r="AB60" i="33"/>
  <c r="G142" i="24"/>
  <c r="AA61" i="33" l="1"/>
  <c r="C57" i="34"/>
  <c r="C58" i="34" s="1"/>
  <c r="AA63" i="33" l="1"/>
  <c r="AC55" i="33" s="1"/>
  <c r="G140" i="24"/>
  <c r="AA82" i="33"/>
  <c r="AC97" i="33" s="1"/>
  <c r="AC56" i="33" l="1"/>
  <c r="AC57" i="33"/>
  <c r="AC60" i="33"/>
  <c r="AC53" i="33"/>
  <c r="AC54" i="33"/>
  <c r="G159" i="24"/>
  <c r="AA83" i="33"/>
  <c r="AC58" i="33" l="1"/>
  <c r="AC63" i="33" s="1"/>
  <c r="AB85" i="33"/>
  <c r="AA85" i="33" s="1"/>
  <c r="AB86" i="33"/>
  <c r="AA86" i="33" s="1"/>
  <c r="AB76" i="33"/>
  <c r="AB79" i="33"/>
  <c r="AB73" i="33"/>
  <c r="AB77" i="33"/>
  <c r="AB81" i="33"/>
  <c r="AB75" i="33"/>
  <c r="AB78" i="33"/>
  <c r="AB80" i="33"/>
  <c r="AB74" i="33"/>
  <c r="AB82" i="33"/>
  <c r="G55" i="34" l="1"/>
  <c r="C47" i="34" s="1"/>
  <c r="AC96" i="33"/>
  <c r="M151" i="34"/>
  <c r="S86" i="33"/>
  <c r="G210" i="24" s="1"/>
  <c r="G161" i="24"/>
  <c r="C59" i="34" l="1"/>
  <c r="C60" i="34" s="1"/>
  <c r="AA87" i="33"/>
  <c r="O151" i="34"/>
  <c r="X150" i="34" s="1"/>
  <c r="S87" i="33"/>
  <c r="BS17" i="34"/>
  <c r="D32" i="34"/>
  <c r="E32" i="34" s="1"/>
  <c r="C41" i="34"/>
  <c r="A152" i="34" l="1"/>
  <c r="P164" i="34"/>
  <c r="AA152" i="34"/>
  <c r="AC135" i="34" s="1"/>
  <c r="AA150" i="34"/>
  <c r="AA154" i="34"/>
  <c r="AA153" i="34"/>
  <c r="AC134" i="34" s="1"/>
  <c r="AA151" i="34"/>
  <c r="AC136" i="34" s="1"/>
  <c r="AA149" i="34"/>
  <c r="AA88" i="33"/>
  <c r="AJ86" i="33" s="1"/>
  <c r="G162" i="24"/>
  <c r="G176" i="24"/>
  <c r="AJ81" i="33"/>
  <c r="BT17" i="34"/>
  <c r="BT21" i="34" s="1"/>
  <c r="BU17" i="34"/>
  <c r="S88" i="33"/>
  <c r="BS18" i="34"/>
  <c r="Q142" i="34"/>
  <c r="O152" i="34"/>
  <c r="D159" i="34" l="1"/>
  <c r="F132" i="34" s="1"/>
  <c r="D153" i="34"/>
  <c r="F138" i="34" s="1"/>
  <c r="D161" i="34"/>
  <c r="F130" i="34" s="1"/>
  <c r="D160" i="34"/>
  <c r="F131" i="34" s="1"/>
  <c r="D158" i="34"/>
  <c r="F133" i="34" s="1"/>
  <c r="D152" i="34"/>
  <c r="F139" i="34" s="1"/>
  <c r="D157" i="34"/>
  <c r="F134" i="34" s="1"/>
  <c r="D154" i="34"/>
  <c r="F137" i="34" s="1"/>
  <c r="D155" i="34"/>
  <c r="F136" i="34" s="1"/>
  <c r="D156" i="34"/>
  <c r="F135" i="34" s="1"/>
  <c r="D151" i="34"/>
  <c r="AC138" i="34"/>
  <c r="S164" i="34"/>
  <c r="U164" i="34" s="1"/>
  <c r="P165" i="34"/>
  <c r="AC137" i="34"/>
  <c r="AA89" i="33"/>
  <c r="CI42" i="34" s="1"/>
  <c r="CK42" i="34" s="1"/>
  <c r="CL42" i="34" s="1"/>
  <c r="AJ87" i="33"/>
  <c r="AS78" i="33" s="1"/>
  <c r="AJ85" i="33"/>
  <c r="BK43" i="34" s="1"/>
  <c r="AJ102" i="33"/>
  <c r="AS28" i="33" s="1"/>
  <c r="G68" i="24" s="1"/>
  <c r="BK44" i="34"/>
  <c r="G174" i="24"/>
  <c r="AJ82" i="33"/>
  <c r="CI43" i="34"/>
  <c r="CK43" i="34" s="1"/>
  <c r="CL43" i="34" s="1"/>
  <c r="BS19" i="34"/>
  <c r="K146" i="34"/>
  <c r="T144" i="34"/>
  <c r="H162" i="34" s="1"/>
  <c r="T143" i="34"/>
  <c r="T145" i="34"/>
  <c r="T141" i="34"/>
  <c r="T142" i="34"/>
  <c r="AA157" i="34"/>
  <c r="AC130" i="34" s="1"/>
  <c r="Z187" i="34"/>
  <c r="Z188" i="34" s="1"/>
  <c r="Z189" i="34" s="1"/>
  <c r="Z191" i="34" s="1"/>
  <c r="AA159" i="34"/>
  <c r="AC128" i="34" s="1"/>
  <c r="AA155" i="34"/>
  <c r="AC132" i="34" s="1"/>
  <c r="AA158" i="34"/>
  <c r="AC129" i="34" s="1"/>
  <c r="AA156" i="34"/>
  <c r="BI47" i="34"/>
  <c r="AJ100" i="33"/>
  <c r="CB75" i="34" s="1"/>
  <c r="AA160" i="34" l="1"/>
  <c r="AA161" i="34" s="1"/>
  <c r="F145" i="34"/>
  <c r="F140" i="34"/>
  <c r="F144" i="34" s="1"/>
  <c r="D162" i="34"/>
  <c r="D163" i="34" s="1"/>
  <c r="H164" i="34"/>
  <c r="H166" i="34" s="1"/>
  <c r="H168" i="34" s="1"/>
  <c r="H170" i="34" s="1"/>
  <c r="L164" i="34"/>
  <c r="L166" i="34" s="1"/>
  <c r="L168" i="34" s="1"/>
  <c r="AC131" i="34"/>
  <c r="AC77" i="33"/>
  <c r="Z192" i="34"/>
  <c r="Z193" i="34" s="1"/>
  <c r="AC86" i="33"/>
  <c r="AC81" i="33"/>
  <c r="AC73" i="33"/>
  <c r="AC76" i="33"/>
  <c r="AC74" i="33"/>
  <c r="AC82" i="33"/>
  <c r="AC79" i="33"/>
  <c r="AC75" i="33"/>
  <c r="AC80" i="33"/>
  <c r="AC78" i="33"/>
  <c r="AC85" i="33"/>
  <c r="CB77" i="34"/>
  <c r="G189" i="24" s="1"/>
  <c r="AJ101" i="33"/>
  <c r="AS27" i="33" s="1"/>
  <c r="AJ88" i="33"/>
  <c r="AJ89" i="33" s="1"/>
  <c r="AL82" i="33" s="1"/>
  <c r="H19" i="32"/>
  <c r="AK81" i="33"/>
  <c r="AK79" i="33"/>
  <c r="CC75" i="34"/>
  <c r="G187" i="24"/>
  <c r="CM43" i="34"/>
  <c r="CN43" i="34" s="1"/>
  <c r="BQ7" i="34" s="1"/>
  <c r="CM42" i="34"/>
  <c r="V128" i="34"/>
  <c r="V129" i="34"/>
  <c r="V130" i="34"/>
  <c r="V131" i="34"/>
  <c r="AC133" i="34"/>
  <c r="V135" i="34"/>
  <c r="L140" i="34"/>
  <c r="V136" i="34"/>
  <c r="L136" i="34"/>
  <c r="L139" i="34"/>
  <c r="V138" i="34"/>
  <c r="V133" i="34"/>
  <c r="L135" i="34"/>
  <c r="V134" i="34"/>
  <c r="V137" i="34"/>
  <c r="L137" i="34"/>
  <c r="L138" i="34"/>
  <c r="L132" i="34"/>
  <c r="L131" i="34"/>
  <c r="L134" i="34"/>
  <c r="L130" i="34"/>
  <c r="L133" i="34"/>
  <c r="V132" i="34"/>
  <c r="T146" i="34"/>
  <c r="AK78" i="33"/>
  <c r="AK80" i="33"/>
  <c r="AK77" i="33"/>
  <c r="G131" i="34" l="1"/>
  <c r="H131" i="34" s="1"/>
  <c r="G134" i="34"/>
  <c r="H134" i="34" s="1"/>
  <c r="G138" i="34"/>
  <c r="H138" i="34" s="1"/>
  <c r="G137" i="34"/>
  <c r="H137" i="34" s="1"/>
  <c r="G135" i="34"/>
  <c r="H135" i="34" s="1"/>
  <c r="G136" i="34"/>
  <c r="H136" i="34" s="1"/>
  <c r="G128" i="34"/>
  <c r="G142" i="34"/>
  <c r="H142" i="34" s="1"/>
  <c r="G141" i="34"/>
  <c r="H141" i="34" s="1"/>
  <c r="G129" i="34"/>
  <c r="H129" i="34" s="1"/>
  <c r="G130" i="34"/>
  <c r="H130" i="34" s="1"/>
  <c r="G133" i="34"/>
  <c r="H133" i="34" s="1"/>
  <c r="G132" i="34"/>
  <c r="H132" i="34" s="1"/>
  <c r="G140" i="34"/>
  <c r="H140" i="34" s="1"/>
  <c r="G139" i="34"/>
  <c r="H139" i="34" s="1"/>
  <c r="L170" i="34"/>
  <c r="M173" i="34" s="1"/>
  <c r="AC143" i="34"/>
  <c r="AG168" i="34" s="1"/>
  <c r="AL168" i="34" s="1"/>
  <c r="G283" i="24"/>
  <c r="G67" i="24"/>
  <c r="AG170" i="34"/>
  <c r="AL170" i="34" s="1"/>
  <c r="AC142" i="34"/>
  <c r="AD128" i="34" s="1"/>
  <c r="AC88" i="33"/>
  <c r="AJ103" i="33"/>
  <c r="AK98" i="33" s="1"/>
  <c r="AC83" i="33"/>
  <c r="CC77" i="34"/>
  <c r="CB76" i="34"/>
  <c r="CC76" i="34" s="1"/>
  <c r="H18" i="32"/>
  <c r="AK82" i="33"/>
  <c r="CB73" i="34"/>
  <c r="CC73" i="34" s="1"/>
  <c r="AS32" i="33"/>
  <c r="BV17" i="34"/>
  <c r="BV9" i="34"/>
  <c r="BV13" i="34"/>
  <c r="BV14" i="34"/>
  <c r="BV11" i="34"/>
  <c r="CN42" i="34"/>
  <c r="V139" i="34"/>
  <c r="AS114" i="34"/>
  <c r="AS82" i="33"/>
  <c r="AL77" i="33"/>
  <c r="AL80" i="33"/>
  <c r="AL79" i="33"/>
  <c r="AL78" i="33"/>
  <c r="AL88" i="33"/>
  <c r="AL81" i="33"/>
  <c r="L141" i="34"/>
  <c r="M131" i="34" s="1"/>
  <c r="AG171" i="34" l="1"/>
  <c r="AL171" i="34" s="1"/>
  <c r="CH65" i="33"/>
  <c r="H152" i="34"/>
  <c r="H128" i="34"/>
  <c r="G144" i="34"/>
  <c r="H151" i="34"/>
  <c r="C61" i="34"/>
  <c r="C62" i="34" s="1"/>
  <c r="P167" i="34"/>
  <c r="AG172" i="34"/>
  <c r="AL172" i="34" s="1"/>
  <c r="AG169" i="34"/>
  <c r="AL169" i="34" s="1"/>
  <c r="AG175" i="34"/>
  <c r="AL175" i="34" s="1"/>
  <c r="AG174" i="34"/>
  <c r="AL174" i="34" s="1"/>
  <c r="AG173" i="34"/>
  <c r="AL173" i="34" s="1"/>
  <c r="AZ67" i="33"/>
  <c r="AD137" i="34"/>
  <c r="AD138" i="34"/>
  <c r="AD130" i="34"/>
  <c r="AD131" i="34"/>
  <c r="AD140" i="34"/>
  <c r="AD133" i="34"/>
  <c r="AD132" i="34"/>
  <c r="AD135" i="34"/>
  <c r="AD134" i="34"/>
  <c r="AD139" i="34"/>
  <c r="AD129" i="34"/>
  <c r="AD126" i="34"/>
  <c r="AE126" i="34" s="1"/>
  <c r="AD127" i="34"/>
  <c r="AD136" i="34"/>
  <c r="AC89" i="33"/>
  <c r="AJ107" i="33"/>
  <c r="AL106" i="33" s="1"/>
  <c r="AK101" i="33"/>
  <c r="AK100" i="33"/>
  <c r="BN33" i="34"/>
  <c r="BN35" i="34"/>
  <c r="BN34" i="34"/>
  <c r="AK102" i="33"/>
  <c r="AK99" i="33"/>
  <c r="G188" i="24"/>
  <c r="G185" i="24"/>
  <c r="BV21" i="34"/>
  <c r="M136" i="34"/>
  <c r="M135" i="34"/>
  <c r="BI45" i="34"/>
  <c r="AS24" i="33"/>
  <c r="AT77" i="33"/>
  <c r="M138" i="34"/>
  <c r="AT78" i="33"/>
  <c r="M139" i="34"/>
  <c r="BC114" i="34"/>
  <c r="AV80" i="33" s="1"/>
  <c r="AW23" i="33" s="1"/>
  <c r="AZ114" i="34"/>
  <c r="AV77" i="33" s="1"/>
  <c r="M140" i="34"/>
  <c r="M134" i="34"/>
  <c r="M132" i="34"/>
  <c r="M133" i="34"/>
  <c r="AM149" i="34"/>
  <c r="M129" i="34"/>
  <c r="M128" i="34"/>
  <c r="L143" i="34"/>
  <c r="L142" i="34"/>
  <c r="M137" i="34"/>
  <c r="M130" i="34"/>
  <c r="H153" i="34" l="1"/>
  <c r="H154" i="34" s="1"/>
  <c r="H144" i="34"/>
  <c r="AL176" i="34"/>
  <c r="G64" i="24"/>
  <c r="AD142" i="34"/>
  <c r="G212" i="24"/>
  <c r="BV23" i="34"/>
  <c r="AK103" i="33"/>
  <c r="BN36" i="34"/>
  <c r="BM44" i="34"/>
  <c r="BM45" i="34" s="1"/>
  <c r="AW20" i="33"/>
  <c r="AV82" i="33"/>
  <c r="AS33" i="33"/>
  <c r="H23" i="32"/>
  <c r="H24" i="32" s="1"/>
  <c r="H15" i="32"/>
  <c r="AM160" i="34"/>
  <c r="N139" i="34" s="1"/>
  <c r="AM156" i="34"/>
  <c r="N135" i="34" s="1"/>
  <c r="AM154" i="34"/>
  <c r="N133" i="34" s="1"/>
  <c r="AM159" i="34"/>
  <c r="N138" i="34" s="1"/>
  <c r="AM152" i="34"/>
  <c r="N131" i="34" s="1"/>
  <c r="AM157" i="34"/>
  <c r="N136" i="34" s="1"/>
  <c r="AM161" i="34"/>
  <c r="N140" i="34" s="1"/>
  <c r="AM158" i="34"/>
  <c r="N137" i="34" s="1"/>
  <c r="AM151" i="34"/>
  <c r="N130" i="34" s="1"/>
  <c r="AM153" i="34"/>
  <c r="N132" i="34" s="1"/>
  <c r="AM150" i="34"/>
  <c r="AM155" i="34"/>
  <c r="N134" i="34" s="1"/>
  <c r="BM46" i="34" l="1"/>
  <c r="AB93" i="33" s="1"/>
  <c r="AD93" i="33" s="1"/>
  <c r="AS58" i="33" s="1"/>
  <c r="AT61" i="33"/>
  <c r="AY61" i="33" s="1"/>
  <c r="AM162" i="34"/>
  <c r="AW30" i="33"/>
  <c r="AX20" i="33" s="1"/>
  <c r="AL102" i="33"/>
  <c r="AL101" i="33"/>
  <c r="AL98" i="33"/>
  <c r="AL99" i="33"/>
  <c r="AL100" i="33"/>
  <c r="AL103" i="33"/>
  <c r="N141" i="34"/>
  <c r="O133" i="34" s="1"/>
  <c r="CF59" i="33" l="1"/>
  <c r="CG59" i="33" s="1"/>
  <c r="CH59" i="33" s="1"/>
  <c r="G164" i="24"/>
  <c r="AT58" i="33"/>
  <c r="AY58" i="33" s="1"/>
  <c r="AT57" i="33"/>
  <c r="O134" i="34"/>
  <c r="O138" i="34"/>
  <c r="O135" i="34"/>
  <c r="O137" i="34"/>
  <c r="O130" i="34"/>
  <c r="O136" i="34"/>
  <c r="O132" i="34"/>
  <c r="O131" i="34"/>
  <c r="AX21" i="33"/>
  <c r="AX22" i="33"/>
  <c r="AX24" i="33"/>
  <c r="AX23" i="33"/>
  <c r="O139" i="34"/>
  <c r="O129" i="34"/>
  <c r="O128" i="34"/>
  <c r="O140" i="34"/>
  <c r="AY57" i="33" l="1"/>
  <c r="CF56" i="33"/>
  <c r="CG56" i="33" s="1"/>
  <c r="CH56" i="33" s="1"/>
  <c r="CF55" i="33"/>
  <c r="CG55" i="33" s="1"/>
  <c r="CH55" i="33" s="1"/>
  <c r="G144" i="24"/>
  <c r="AX30" i="33"/>
  <c r="G244" i="24" l="1"/>
  <c r="AB141" i="33" l="1"/>
  <c r="G263" i="24"/>
  <c r="AT63" i="33" l="1"/>
  <c r="AY63" i="33" s="1"/>
  <c r="CF61" i="33" l="1"/>
  <c r="CG61" i="33" s="1"/>
  <c r="CH61" i="33" s="1"/>
  <c r="D8" i="35"/>
  <c r="D9" i="35" s="1"/>
  <c r="D10" i="35" l="1"/>
  <c r="G13" i="35" s="1"/>
  <c r="G9" i="35"/>
  <c r="U125" i="33"/>
  <c r="AT62" i="33"/>
  <c r="AD58" i="35"/>
  <c r="AF58" i="35" s="1"/>
  <c r="W60" i="35"/>
  <c r="CF60" i="33" l="1"/>
  <c r="CG60" i="33" s="1"/>
  <c r="CH60" i="33" s="1"/>
  <c r="AS26" i="33" l="1"/>
  <c r="H17" i="32" s="1"/>
  <c r="CB74" i="34"/>
  <c r="G186" i="24" s="1"/>
  <c r="CC74" i="34" l="1"/>
  <c r="CC79" i="34" s="1"/>
  <c r="AS92" i="33" s="1"/>
  <c r="AU92" i="33" s="1"/>
  <c r="AS66" i="33" s="1"/>
  <c r="G191" i="24" l="1"/>
  <c r="AT66" i="33"/>
  <c r="AY66" i="33" l="1"/>
  <c r="CF64" i="33"/>
  <c r="CG64" i="33" s="1"/>
  <c r="CH64" i="33" s="1"/>
  <c r="S114" i="33"/>
  <c r="H115" i="33" s="1"/>
  <c r="AS29" i="33" s="1"/>
  <c r="H20" i="32" s="1"/>
  <c r="S115" i="33"/>
  <c r="S99" i="33"/>
  <c r="AE127" i="34"/>
  <c r="S100" i="33" s="1"/>
  <c r="G225" i="24" s="1"/>
  <c r="AE128" i="34"/>
  <c r="AE129" i="34"/>
  <c r="S102" i="33" s="1"/>
  <c r="AE130" i="34"/>
  <c r="S103" i="33" s="1"/>
  <c r="AE131" i="34"/>
  <c r="S104" i="33" s="1"/>
  <c r="AE132" i="34"/>
  <c r="AE133" i="34"/>
  <c r="BQ56" i="34" s="1"/>
  <c r="BR56" i="34" s="1"/>
  <c r="AE134" i="34"/>
  <c r="S107" i="33" s="1"/>
  <c r="AE135" i="34"/>
  <c r="S108" i="33" s="1"/>
  <c r="AE136" i="34"/>
  <c r="AE137" i="34"/>
  <c r="S110" i="33" s="1"/>
  <c r="AE138" i="34"/>
  <c r="S111" i="33" s="1"/>
  <c r="AE139" i="34"/>
  <c r="S112" i="33" s="1"/>
  <c r="AE140" i="34"/>
  <c r="S113" i="33" s="1"/>
  <c r="AP149" i="34"/>
  <c r="AV149" i="34" s="1"/>
  <c r="P168" i="34"/>
  <c r="Y99" i="33" s="1"/>
  <c r="P169" i="34"/>
  <c r="V57" i="24" s="1"/>
  <c r="Y101" i="33" l="1"/>
  <c r="AF126" i="33" s="1"/>
  <c r="Z161" i="33" s="1"/>
  <c r="Z163" i="33" s="1"/>
  <c r="AS22" i="33" s="1"/>
  <c r="G61" i="24"/>
  <c r="G240" i="24"/>
  <c r="D39" i="34"/>
  <c r="G287" i="24" s="1"/>
  <c r="AP146" i="34"/>
  <c r="AV146" i="34" s="1"/>
  <c r="AU146" i="34" s="1"/>
  <c r="BQ61" i="34"/>
  <c r="BR61" i="34" s="1"/>
  <c r="BQ62" i="34"/>
  <c r="BR62" i="34" s="1"/>
  <c r="BQ60" i="34"/>
  <c r="BR60" i="34" s="1"/>
  <c r="AP150" i="34"/>
  <c r="AV150" i="34" s="1"/>
  <c r="AU150" i="34" s="1"/>
  <c r="AU149" i="34"/>
  <c r="BQ49" i="34"/>
  <c r="BR49" i="34" s="1"/>
  <c r="BQ58" i="34"/>
  <c r="BR58" i="34" s="1"/>
  <c r="AP145" i="34"/>
  <c r="AV145" i="34" s="1"/>
  <c r="AU145" i="34" s="1"/>
  <c r="AP148" i="34"/>
  <c r="AV148" i="34" s="1"/>
  <c r="BQ53" i="34"/>
  <c r="BR53" i="34" s="1"/>
  <c r="H13" i="32"/>
  <c r="M128" i="33"/>
  <c r="G236" i="24"/>
  <c r="G237" i="24"/>
  <c r="M129" i="33"/>
  <c r="G229" i="24"/>
  <c r="Y130" i="33"/>
  <c r="G228" i="24"/>
  <c r="Y129" i="33"/>
  <c r="G235" i="24"/>
  <c r="M127" i="33"/>
  <c r="Y126" i="33"/>
  <c r="G227" i="24"/>
  <c r="Y128" i="33"/>
  <c r="AE149" i="34"/>
  <c r="BQ59" i="34"/>
  <c r="BR59" i="34" s="1"/>
  <c r="S109" i="33"/>
  <c r="BQ51" i="34"/>
  <c r="BR51" i="34" s="1"/>
  <c r="S101" i="33"/>
  <c r="AF125" i="33"/>
  <c r="Y134" i="33"/>
  <c r="G233" i="24"/>
  <c r="Y100" i="33"/>
  <c r="M132" i="33" s="1"/>
  <c r="G60" i="24"/>
  <c r="P171" i="34"/>
  <c r="G232" i="24"/>
  <c r="Y133" i="33"/>
  <c r="G69" i="24"/>
  <c r="S160" i="34"/>
  <c r="U160" i="34" s="1"/>
  <c r="G62" i="24"/>
  <c r="S161" i="34"/>
  <c r="U161" i="34" s="1"/>
  <c r="M130" i="33"/>
  <c r="G238" i="24"/>
  <c r="BQ55" i="34"/>
  <c r="BR55" i="34" s="1"/>
  <c r="S105" i="33"/>
  <c r="AE150" i="34"/>
  <c r="AP147" i="34"/>
  <c r="BQ63" i="34"/>
  <c r="BR63" i="34" s="1"/>
  <c r="Y125" i="33"/>
  <c r="G224" i="24"/>
  <c r="BQ57" i="34"/>
  <c r="BR57" i="34" s="1"/>
  <c r="BQ52" i="34"/>
  <c r="BR52" i="34" s="1"/>
  <c r="S106" i="33"/>
  <c r="G239" i="24"/>
  <c r="AP144" i="34"/>
  <c r="AE151" i="34"/>
  <c r="AE142" i="34"/>
  <c r="BQ54" i="34"/>
  <c r="BR54" i="34" s="1"/>
  <c r="BQ50" i="34"/>
  <c r="BR50" i="34" s="1"/>
  <c r="S60" i="24" l="1"/>
  <c r="AU148" i="34"/>
  <c r="U167" i="34"/>
  <c r="U169" i="34" s="1"/>
  <c r="G72" i="24"/>
  <c r="K283" i="24"/>
  <c r="R60" i="24"/>
  <c r="AV54" i="33"/>
  <c r="AW54" i="33" s="1"/>
  <c r="AV59" i="33"/>
  <c r="AV63" i="33"/>
  <c r="AV55" i="33"/>
  <c r="AV61" i="33"/>
  <c r="AC150" i="34"/>
  <c r="T56" i="35"/>
  <c r="AG57" i="35"/>
  <c r="AH57" i="35" s="1"/>
  <c r="AV58" i="33"/>
  <c r="AV66" i="33"/>
  <c r="AV56" i="33"/>
  <c r="AV62" i="33"/>
  <c r="AV64" i="33"/>
  <c r="AW64" i="33" s="1"/>
  <c r="K280" i="24" s="1"/>
  <c r="AG58" i="35"/>
  <c r="AH58" i="35" s="1"/>
  <c r="AV57" i="33"/>
  <c r="AE152" i="34"/>
  <c r="G256" i="24"/>
  <c r="Q160" i="33"/>
  <c r="Q161" i="33"/>
  <c r="G257" i="24"/>
  <c r="G271" i="24"/>
  <c r="BL58" i="34"/>
  <c r="M148" i="33"/>
  <c r="G255" i="24"/>
  <c r="Q159" i="33"/>
  <c r="G230" i="24"/>
  <c r="Y131" i="33"/>
  <c r="Q164" i="33"/>
  <c r="G260" i="24"/>
  <c r="Y135" i="33"/>
  <c r="CI45" i="34" s="1"/>
  <c r="CK45" i="34" s="1"/>
  <c r="CL45" i="34" s="1"/>
  <c r="CM45" i="34" s="1"/>
  <c r="CN45" i="34" s="1"/>
  <c r="BV26" i="34" s="1"/>
  <c r="BU52" i="34" s="1"/>
  <c r="BV52" i="34" s="1"/>
  <c r="Q166" i="33"/>
  <c r="Q168" i="33" s="1"/>
  <c r="AP151" i="34"/>
  <c r="BY175" i="34" s="1"/>
  <c r="AV144" i="34"/>
  <c r="G226" i="24"/>
  <c r="Y127" i="33"/>
  <c r="D136" i="33"/>
  <c r="G272" i="24"/>
  <c r="AV147" i="34"/>
  <c r="Z158" i="33"/>
  <c r="AA158" i="33" s="1"/>
  <c r="G252" i="24"/>
  <c r="G253" i="24"/>
  <c r="Z159" i="33"/>
  <c r="AA159" i="33" s="1"/>
  <c r="G70" i="24"/>
  <c r="AC149" i="34"/>
  <c r="T55" i="35"/>
  <c r="G261" i="24"/>
  <c r="Q165" i="33"/>
  <c r="G234" i="24"/>
  <c r="M126" i="33"/>
  <c r="G273" i="24"/>
  <c r="D137" i="33"/>
  <c r="G231" i="24"/>
  <c r="Y132" i="33"/>
  <c r="T60" i="24"/>
  <c r="U60" i="24"/>
  <c r="AC151" i="34"/>
  <c r="T57" i="35"/>
  <c r="M134" i="33"/>
  <c r="N129" i="33" s="1"/>
  <c r="M149" i="33"/>
  <c r="M151" i="33" s="1"/>
  <c r="G270" i="24"/>
  <c r="M147" i="33"/>
  <c r="BL57" i="34"/>
  <c r="S116" i="33"/>
  <c r="T109" i="33" s="1"/>
  <c r="G300" i="24" l="1"/>
  <c r="BU51" i="34"/>
  <c r="BV51" i="34" s="1"/>
  <c r="AV156" i="34"/>
  <c r="AU159" i="34"/>
  <c r="AV159" i="34"/>
  <c r="AU157" i="34"/>
  <c r="BY178" i="34"/>
  <c r="AC152" i="34"/>
  <c r="F154" i="34" s="1"/>
  <c r="BU57" i="34"/>
  <c r="BV57" i="34" s="1"/>
  <c r="BU55" i="34"/>
  <c r="BV55" i="34" s="1"/>
  <c r="BU50" i="34"/>
  <c r="BV50" i="34" s="1"/>
  <c r="AV153" i="34"/>
  <c r="BL59" i="34"/>
  <c r="BN60" i="34" s="1"/>
  <c r="L140" i="33" s="1"/>
  <c r="AS20" i="33"/>
  <c r="G259" i="24"/>
  <c r="Q163" i="33"/>
  <c r="R163" i="33" s="1"/>
  <c r="N16" i="35" s="1"/>
  <c r="O130" i="33"/>
  <c r="AD55" i="35"/>
  <c r="AF55" i="35" s="1"/>
  <c r="AG55" i="35" s="1"/>
  <c r="AH55" i="35" s="1"/>
  <c r="W55" i="35"/>
  <c r="T61" i="35"/>
  <c r="U55" i="35" s="1"/>
  <c r="AA163" i="33"/>
  <c r="G254" i="24"/>
  <c r="Q158" i="33"/>
  <c r="R158" i="33" s="1"/>
  <c r="R164" i="33"/>
  <c r="N17" i="35" s="1"/>
  <c r="O128" i="33"/>
  <c r="O148" i="33" s="1"/>
  <c r="AW62" i="33"/>
  <c r="K222" i="24" s="1"/>
  <c r="K312" i="24" s="1"/>
  <c r="AY62" i="33"/>
  <c r="G103" i="24"/>
  <c r="AW55" i="33"/>
  <c r="K89" i="24" s="1"/>
  <c r="K306" i="24" s="1"/>
  <c r="AW56" i="33"/>
  <c r="K115" i="24" s="1"/>
  <c r="K307" i="24" s="1"/>
  <c r="G131" i="24"/>
  <c r="O127" i="33"/>
  <c r="O147" i="33" s="1"/>
  <c r="W57" i="35"/>
  <c r="AD56" i="35"/>
  <c r="AF56" i="35" s="1"/>
  <c r="AG56" i="35" s="1"/>
  <c r="AH56" i="35" s="1"/>
  <c r="T106" i="33"/>
  <c r="N130" i="33"/>
  <c r="G258" i="24"/>
  <c r="Q162" i="33"/>
  <c r="R162" i="33" s="1"/>
  <c r="N15" i="35" s="1"/>
  <c r="G193" i="24"/>
  <c r="AW66" i="33"/>
  <c r="K183" i="24" s="1"/>
  <c r="AW59" i="33"/>
  <c r="K169" i="24" s="1"/>
  <c r="K310" i="24" s="1"/>
  <c r="G180" i="24"/>
  <c r="T101" i="33"/>
  <c r="AU147" i="34"/>
  <c r="AU156" i="34" s="1"/>
  <c r="AU54" i="33"/>
  <c r="AS21" i="33"/>
  <c r="AU57" i="33"/>
  <c r="G145" i="24" s="1"/>
  <c r="AU55" i="33"/>
  <c r="G102" i="24" s="1"/>
  <c r="AU61" i="33"/>
  <c r="G213" i="24" s="1"/>
  <c r="AU58" i="33"/>
  <c r="G165" i="24" s="1"/>
  <c r="AU66" i="33"/>
  <c r="G192" i="24" s="1"/>
  <c r="AU62" i="33"/>
  <c r="AU63" i="33"/>
  <c r="AU56" i="33"/>
  <c r="G130" i="24" s="1"/>
  <c r="AU64" i="33"/>
  <c r="AU59" i="33"/>
  <c r="G179" i="24" s="1"/>
  <c r="N128" i="33"/>
  <c r="N148" i="33" s="1"/>
  <c r="G166" i="24"/>
  <c r="AW58" i="33"/>
  <c r="K149" i="24" s="1"/>
  <c r="K83" i="24"/>
  <c r="K305" i="24" s="1"/>
  <c r="G246" i="24"/>
  <c r="AW63" i="33"/>
  <c r="K249" i="24" s="1"/>
  <c r="K313" i="24" s="1"/>
  <c r="G265" i="24"/>
  <c r="G277" i="24"/>
  <c r="N127" i="33"/>
  <c r="N147" i="33" s="1"/>
  <c r="N126" i="33"/>
  <c r="O126" i="33"/>
  <c r="M146" i="33"/>
  <c r="G269" i="24"/>
  <c r="BL56" i="34"/>
  <c r="O129" i="33"/>
  <c r="BU53" i="34"/>
  <c r="BV53" i="34" s="1"/>
  <c r="BU58" i="34"/>
  <c r="BV58" i="34" s="1"/>
  <c r="BU49" i="34"/>
  <c r="BV49" i="34" s="1"/>
  <c r="BV65" i="34" s="1"/>
  <c r="BU56" i="34"/>
  <c r="BV56" i="34" s="1"/>
  <c r="R159" i="33"/>
  <c r="N12" i="35" s="1"/>
  <c r="CI44" i="34"/>
  <c r="CK44" i="34" s="1"/>
  <c r="CL44" i="34" s="1"/>
  <c r="CM44" i="34" s="1"/>
  <c r="CN44" i="34" s="1"/>
  <c r="BV25" i="34" s="1"/>
  <c r="T100" i="33"/>
  <c r="T111" i="33"/>
  <c r="T113" i="33"/>
  <c r="T112" i="33"/>
  <c r="T108" i="33"/>
  <c r="T104" i="33"/>
  <c r="T107" i="33"/>
  <c r="T102" i="33"/>
  <c r="T99" i="33"/>
  <c r="T110" i="33"/>
  <c r="T103" i="33"/>
  <c r="T114" i="33"/>
  <c r="G146" i="24"/>
  <c r="AW57" i="33"/>
  <c r="K133" i="24" s="1"/>
  <c r="K308" i="24" s="1"/>
  <c r="R165" i="33"/>
  <c r="N18" i="35" s="1"/>
  <c r="AU144" i="34"/>
  <c r="AU153" i="34" s="1"/>
  <c r="BU54" i="34"/>
  <c r="BV54" i="34" s="1"/>
  <c r="R161" i="33"/>
  <c r="N14" i="35" s="1"/>
  <c r="AW67" i="33"/>
  <c r="K315" i="24"/>
  <c r="T105" i="33"/>
  <c r="W56" i="35"/>
  <c r="BY179" i="34"/>
  <c r="BY180" i="34"/>
  <c r="AV154" i="34"/>
  <c r="BY176" i="34"/>
  <c r="BY177" i="34"/>
  <c r="AV158" i="34"/>
  <c r="AU154" i="34"/>
  <c r="AV157" i="34"/>
  <c r="AU155" i="34"/>
  <c r="AU158" i="34"/>
  <c r="AV155" i="34"/>
  <c r="BY181" i="34"/>
  <c r="R160" i="33"/>
  <c r="N13" i="35" s="1"/>
  <c r="G214" i="24"/>
  <c r="AW61" i="33"/>
  <c r="K200" i="24" s="1"/>
  <c r="K311" i="24" s="1"/>
  <c r="C76" i="3"/>
  <c r="Y351" i="24" l="1"/>
  <c r="X351" i="24"/>
  <c r="AE351" i="24"/>
  <c r="W351" i="24"/>
  <c r="Z351" i="24"/>
  <c r="AD351" i="24"/>
  <c r="AC351" i="24"/>
  <c r="AG351" i="24"/>
  <c r="AB351" i="24"/>
  <c r="K309" i="24"/>
  <c r="CH63" i="33"/>
  <c r="AZ65" i="33"/>
  <c r="P58" i="24"/>
  <c r="G288" i="24"/>
  <c r="K287" i="24" s="1"/>
  <c r="U56" i="35"/>
  <c r="U57" i="35"/>
  <c r="BY190" i="34"/>
  <c r="CG177" i="34" s="1"/>
  <c r="BO148" i="34" s="1"/>
  <c r="BY187" i="34"/>
  <c r="CG183" i="34" s="1"/>
  <c r="BO150" i="34" s="1"/>
  <c r="AH59" i="35"/>
  <c r="AI351" i="24" s="1"/>
  <c r="BY185" i="34"/>
  <c r="CG175" i="34" s="1"/>
  <c r="BO147" i="34" s="1"/>
  <c r="BY184" i="34"/>
  <c r="CG174" i="34" s="1"/>
  <c r="BO146" i="34" s="1"/>
  <c r="BS56" i="34"/>
  <c r="BT56" i="34" s="1"/>
  <c r="BS60" i="34"/>
  <c r="BT60" i="34" s="1"/>
  <c r="BS61" i="34"/>
  <c r="BT61" i="34" s="1"/>
  <c r="BS53" i="34"/>
  <c r="BT53" i="34" s="1"/>
  <c r="BS49" i="34"/>
  <c r="BT49" i="34" s="1"/>
  <c r="BT65" i="34" s="1"/>
  <c r="BS58" i="34"/>
  <c r="BT58" i="34" s="1"/>
  <c r="BS62" i="34"/>
  <c r="BT62" i="34" s="1"/>
  <c r="BS54" i="34"/>
  <c r="BT54" i="34" s="1"/>
  <c r="BS63" i="34"/>
  <c r="BT63" i="34" s="1"/>
  <c r="BS59" i="34"/>
  <c r="BT59" i="34" s="1"/>
  <c r="BS55" i="34"/>
  <c r="BT55" i="34" s="1"/>
  <c r="BS51" i="34"/>
  <c r="BT51" i="34" s="1"/>
  <c r="BS52" i="34"/>
  <c r="BT52" i="34" s="1"/>
  <c r="BS50" i="34"/>
  <c r="BT50" i="34" s="1"/>
  <c r="BS57" i="34"/>
  <c r="BT57" i="34" s="1"/>
  <c r="W61" i="35"/>
  <c r="X57" i="35" s="1"/>
  <c r="BY188" i="34"/>
  <c r="CG191" i="34" s="1"/>
  <c r="BO153" i="34" s="1"/>
  <c r="BY186" i="34"/>
  <c r="CG187" i="34" s="1"/>
  <c r="BO151" i="34" s="1"/>
  <c r="R168" i="33"/>
  <c r="N11" i="35"/>
  <c r="BY191" i="34"/>
  <c r="CG173" i="34" s="1"/>
  <c r="BO145" i="34" s="1"/>
  <c r="BY189" i="34"/>
  <c r="CG190" i="34" s="1"/>
  <c r="BO152" i="34" s="1"/>
  <c r="O146" i="33"/>
  <c r="O151" i="33" s="1"/>
  <c r="O134" i="33"/>
  <c r="H12" i="32"/>
  <c r="U59" i="35"/>
  <c r="U60" i="35"/>
  <c r="U58" i="35"/>
  <c r="AS30" i="33"/>
  <c r="AT20" i="33" s="1"/>
  <c r="H11" i="32"/>
  <c r="T116" i="33"/>
  <c r="N134" i="33"/>
  <c r="N146" i="33"/>
  <c r="N151" i="33" s="1"/>
  <c r="G264" i="24"/>
  <c r="G245" i="24"/>
  <c r="N140" i="33"/>
  <c r="AU36" i="33"/>
  <c r="AA351" i="24" l="1"/>
  <c r="AT21" i="33"/>
  <c r="K316" i="24"/>
  <c r="AW65" i="33"/>
  <c r="U61" i="35"/>
  <c r="X55" i="35"/>
  <c r="AT24" i="33"/>
  <c r="AT28" i="33"/>
  <c r="AT25" i="33"/>
  <c r="AT26" i="33"/>
  <c r="AT23" i="33"/>
  <c r="AT27" i="33"/>
  <c r="AS34" i="33"/>
  <c r="AT22" i="33"/>
  <c r="AT29" i="33"/>
  <c r="AW36" i="33"/>
  <c r="AS60" i="33"/>
  <c r="X58" i="35"/>
  <c r="X59" i="35"/>
  <c r="X60" i="35"/>
  <c r="X56" i="35"/>
  <c r="H21" i="32"/>
  <c r="H25" i="32" s="1"/>
  <c r="AH351" i="24" l="1"/>
  <c r="AT30" i="33"/>
  <c r="AU23" i="33"/>
  <c r="AU27" i="33"/>
  <c r="AU32" i="33"/>
  <c r="AU25" i="33"/>
  <c r="AU24" i="33"/>
  <c r="AU26" i="33"/>
  <c r="AU28" i="33"/>
  <c r="AU22" i="33"/>
  <c r="AU29" i="33"/>
  <c r="AU21" i="33"/>
  <c r="AU20" i="33"/>
  <c r="AS68" i="33"/>
  <c r="AS69" i="33" s="1"/>
  <c r="G275" i="24"/>
  <c r="AT60" i="33"/>
  <c r="AT68" i="33" s="1"/>
  <c r="AT46" i="33"/>
  <c r="AU46" i="33"/>
  <c r="AW46" i="33"/>
  <c r="AX46" i="33"/>
  <c r="AQ46" i="33"/>
  <c r="H46" i="32" s="1"/>
  <c r="V42" i="35" s="1"/>
  <c r="AR47" i="33"/>
  <c r="I11" i="32"/>
  <c r="AS46" i="33"/>
  <c r="AS50" i="33"/>
  <c r="AR46" i="33"/>
  <c r="AR48" i="33"/>
  <c r="AV46" i="33"/>
  <c r="AU30" i="33"/>
  <c r="AV60" i="33" l="1"/>
  <c r="AW60" i="33" s="1"/>
  <c r="CF58" i="33"/>
  <c r="CG58" i="33" s="1"/>
  <c r="CH58" i="33" s="1"/>
  <c r="AU60" i="33"/>
  <c r="G276" i="24" s="1"/>
  <c r="AY60" i="33"/>
  <c r="AZ64" i="33" s="1"/>
  <c r="AZ68" i="33" s="1"/>
  <c r="AZ69" i="33" s="1"/>
  <c r="K268" i="24" l="1"/>
  <c r="AW68" i="33"/>
  <c r="K314" i="24" l="1"/>
  <c r="K290" i="24"/>
  <c r="K293" i="24" s="1"/>
  <c r="AF351" i="24" l="1"/>
  <c r="AJ351" i="24"/>
  <c r="O57" i="24"/>
  <c r="Z56" i="35"/>
  <c r="Z57" i="35"/>
  <c r="Z60" i="35"/>
  <c r="Z59" i="35"/>
  <c r="Z55" i="35"/>
  <c r="Z58" i="35"/>
  <c r="Y55" i="35"/>
  <c r="Y57" i="35"/>
  <c r="Y58" i="35"/>
  <c r="Y56" i="35"/>
  <c r="K292" i="24" s="1"/>
  <c r="Y59" i="35"/>
  <c r="Y60" i="35"/>
  <c r="K317" i="24"/>
  <c r="L316" i="24" l="1"/>
  <c r="AH349" i="24" s="1"/>
  <c r="L309" i="24"/>
  <c r="AA349" i="24" s="1"/>
  <c r="Z61" i="35"/>
  <c r="X42" i="35"/>
  <c r="K291" i="24"/>
  <c r="Y61" i="35"/>
  <c r="W42" i="35"/>
  <c r="Y350" i="24" l="1"/>
  <c r="Z350" i="24"/>
  <c r="AB350" i="24"/>
  <c r="X350" i="24"/>
  <c r="AC350" i="24"/>
  <c r="AD350" i="24"/>
  <c r="AE350" i="24"/>
  <c r="AG350" i="24"/>
  <c r="W350" i="24"/>
  <c r="AA350" i="24"/>
  <c r="AH350" i="24"/>
  <c r="AF350" i="24"/>
  <c r="O58" i="24"/>
  <c r="L307" i="24"/>
  <c r="Y349" i="24" s="1"/>
  <c r="S305" i="24"/>
  <c r="L306" i="24"/>
  <c r="X349" i="24" s="1"/>
  <c r="L313" i="24"/>
  <c r="AE349" i="24" s="1"/>
  <c r="L311" i="24"/>
  <c r="AC349" i="24" s="1"/>
  <c r="L305" i="24"/>
  <c r="W349" i="24" s="1"/>
  <c r="L312" i="24"/>
  <c r="AD349" i="24" s="1"/>
  <c r="L308" i="24"/>
  <c r="Z349" i="24" s="1"/>
  <c r="L315" i="24"/>
  <c r="AG349" i="24" s="1"/>
  <c r="L310" i="24"/>
  <c r="AB349" i="24" s="1"/>
  <c r="L314" i="24"/>
  <c r="AF349" i="24" s="1"/>
  <c r="AJ349" i="24" l="1"/>
  <c r="AJ350" i="24"/>
  <c r="W305" i="24"/>
  <c r="P305" i="24"/>
  <c r="U305" i="24"/>
  <c r="T305" i="24"/>
  <c r="Y305" i="24"/>
  <c r="Q305" i="24"/>
  <c r="V305" i="24"/>
  <c r="X305" i="24"/>
  <c r="R305" i="24"/>
  <c r="Z305" i="24"/>
  <c r="O305" i="24"/>
  <c r="L317" i="24"/>
  <c r="AB305" i="2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tc={94E6D289-AF40-43CF-99B2-278F1B059B69}</author>
  </authors>
  <commentList>
    <comment ref="H46" authorId="0" shapeId="0" xr:uid="{94E6D289-AF40-43CF-99B2-278F1B059B69}">
      <text>
        <t>[Threaded comment]
Your version of Excel allows you to read this threaded comment; however, any edits to it will get removed if the file is opened in a newer version of Excel. Learn more: https://go.microsoft.com/fwlink/?linkid=870924
Comment:
    before using the number in this box, make sure you "calculate now" by pressing F9 or searching "calculate now" and selecting the option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Dooley</author>
  </authors>
  <commentList>
    <comment ref="BO41" authorId="0" shapeId="0" xr:uid="{50948EED-FAF6-49B7-86C0-7E63CE691175}">
      <text>
        <r>
          <rPr>
            <b/>
            <sz val="9"/>
            <color indexed="81"/>
            <rFont val="Tahoma"/>
            <family val="2"/>
          </rPr>
          <t>Stephen Dooley:</t>
        </r>
        <r>
          <rPr>
            <sz val="9"/>
            <color indexed="81"/>
            <rFont val="Tahoma"/>
            <family val="2"/>
          </rPr>
          <t xml:space="preserve">
Okay, I think this is a fair baseline assumption  - we should seek info on the products formed later.</t>
        </r>
      </text>
    </comment>
    <comment ref="BQ58" authorId="0" shapeId="0" xr:uid="{1F34733E-E840-430A-BFEF-C79C7E9EE305}">
      <text>
        <r>
          <rPr>
            <b/>
            <sz val="9"/>
            <color indexed="81"/>
            <rFont val="Tahoma"/>
            <family val="2"/>
          </rPr>
          <t>Stephen Dooley:</t>
        </r>
        <r>
          <rPr>
            <sz val="9"/>
            <color indexed="81"/>
            <rFont val="Tahoma"/>
            <family val="2"/>
          </rPr>
          <t xml:space="preserve">
Is this an error? These assumptions are good as baselines if don’t have other informations. WE can revise them later also.</t>
        </r>
      </text>
    </comment>
    <comment ref="BQ59" authorId="0" shapeId="0" xr:uid="{5304D64C-155B-44EA-92A6-4DAD36523197}">
      <text>
        <r>
          <rPr>
            <b/>
            <sz val="9"/>
            <color indexed="81"/>
            <rFont val="Tahoma"/>
            <family val="2"/>
          </rPr>
          <t>Stephen Dooley:</t>
        </r>
        <r>
          <rPr>
            <sz val="9"/>
            <color indexed="81"/>
            <rFont val="Tahoma"/>
            <family val="2"/>
          </rPr>
          <t xml:space="preserve">
Liam, as we get closer to the finished fuel - WE do know what the composition is! So we can pin to that. There are papers in the literature that show HRJ from UCO composition. TM will need to know these too, so you could team with him.</t>
        </r>
      </text>
    </comment>
    <comment ref="BS59" authorId="0" shapeId="0" xr:uid="{78F80D19-EAB6-419D-B0DA-DE27F5C2D830}">
      <text>
        <r>
          <rPr>
            <b/>
            <sz val="9"/>
            <color indexed="81"/>
            <rFont val="Tahoma"/>
            <family val="2"/>
          </rPr>
          <t>Stephen Dooley:</t>
        </r>
        <r>
          <rPr>
            <sz val="9"/>
            <color indexed="81"/>
            <rFont val="Tahoma"/>
            <family val="2"/>
          </rPr>
          <t xml:space="preserve">
</t>
        </r>
      </text>
    </comment>
    <comment ref="BB62" authorId="0" shapeId="0" xr:uid="{F34C8071-ED4B-4A6D-B44C-F2E51A0B13B4}">
      <text>
        <r>
          <rPr>
            <b/>
            <sz val="9"/>
            <color indexed="81"/>
            <rFont val="Tahoma"/>
            <family val="2"/>
          </rPr>
          <t>Stephen Dooley:</t>
        </r>
        <r>
          <rPr>
            <sz val="9"/>
            <color indexed="81"/>
            <rFont val="Tahoma"/>
            <family val="2"/>
          </rPr>
          <t xml:space="preserve">
Is this an error? These assumptions are good as baselines if don’t have other informations. WE can revise them later also.</t>
        </r>
      </text>
    </comment>
    <comment ref="BD62" authorId="0" shapeId="0" xr:uid="{7552C864-A35B-44D7-9FF9-710D6B307EAC}">
      <text>
        <r>
          <rPr>
            <b/>
            <sz val="9"/>
            <color indexed="81"/>
            <rFont val="Tahoma"/>
            <family val="2"/>
          </rPr>
          <t>Stephen Dooley:</t>
        </r>
        <r>
          <rPr>
            <sz val="9"/>
            <color indexed="81"/>
            <rFont val="Tahoma"/>
            <family val="2"/>
          </rPr>
          <t xml:space="preserve">
</t>
        </r>
      </text>
    </comment>
    <comment ref="BB63" authorId="0" shapeId="0" xr:uid="{03A9B784-0B47-4CF6-8DF4-22D7C7BEAAE8}">
      <text>
        <r>
          <rPr>
            <b/>
            <sz val="9"/>
            <color indexed="81"/>
            <rFont val="Tahoma"/>
            <family val="2"/>
          </rPr>
          <t>Stephen Dooley:</t>
        </r>
        <r>
          <rPr>
            <sz val="9"/>
            <color indexed="81"/>
            <rFont val="Tahoma"/>
            <family val="2"/>
          </rPr>
          <t xml:space="preserve">
Liam, as we get closer to the finished fuel - WE do know what the composition is! So we can pin to that. There are papers in the literature that show HRJ from UCO composition. TM will need to know these too, so you could team with him.</t>
        </r>
      </text>
    </comment>
    <comment ref="BB64" authorId="0" shapeId="0" xr:uid="{AB33A7FC-CB97-4826-AE9C-5CB3663221A8}">
      <text>
        <r>
          <rPr>
            <b/>
            <sz val="9"/>
            <color indexed="81"/>
            <rFont val="Tahoma"/>
            <family val="2"/>
          </rPr>
          <t>Stephen Dooley:</t>
        </r>
        <r>
          <rPr>
            <sz val="9"/>
            <color indexed="81"/>
            <rFont val="Tahoma"/>
            <family val="2"/>
          </rPr>
          <t xml:space="preserve">
Liam, as we get closer to the finished fuel - WE do know what the composition is! So we can pin to that. There are papers in the literature that show HRJ from UCO composition. TM will need to know these too, so you could team with him.</t>
        </r>
      </text>
    </comment>
    <comment ref="BB65" authorId="0" shapeId="0" xr:uid="{429A9899-A841-4131-BFFE-0FDE750EBB4D}">
      <text>
        <r>
          <rPr>
            <b/>
            <sz val="9"/>
            <color indexed="81"/>
            <rFont val="Tahoma"/>
            <family val="2"/>
          </rPr>
          <t>Stephen Dooley:</t>
        </r>
        <r>
          <rPr>
            <sz val="9"/>
            <color indexed="81"/>
            <rFont val="Tahoma"/>
            <family val="2"/>
          </rPr>
          <t xml:space="preserve">
Liam, as we get closer to the finished fuel - WE do know what the composition is! So we can pin to that. There are papers in the literature that show HRJ from UCO composition. TM will need to know these too, so you could team with him.</t>
        </r>
      </text>
    </comment>
    <comment ref="BB66" authorId="0" shapeId="0" xr:uid="{CF5AECD7-D1FF-4029-AC36-D61518C2F261}">
      <text>
        <r>
          <rPr>
            <b/>
            <sz val="9"/>
            <color indexed="81"/>
            <rFont val="Tahoma"/>
            <family val="2"/>
          </rPr>
          <t>Stephen Dooley:</t>
        </r>
        <r>
          <rPr>
            <sz val="9"/>
            <color indexed="81"/>
            <rFont val="Tahoma"/>
            <family val="2"/>
          </rPr>
          <t xml:space="preserve">
Liam, as we get closer to the finished fuel - WE do know what the composition is! So we can pin to that. There are papers in the literature that show HRJ from UCO composition. TM will need to know these too, so you could team with him.</t>
        </r>
      </text>
    </comment>
    <comment ref="BB74" authorId="0" shapeId="0" xr:uid="{A463837D-5918-4616-841C-6FDEEE18ED6D}">
      <text>
        <r>
          <rPr>
            <b/>
            <sz val="9"/>
            <color indexed="81"/>
            <rFont val="Tahoma"/>
            <family val="2"/>
          </rPr>
          <t>Stephen Dooley:</t>
        </r>
        <r>
          <rPr>
            <sz val="9"/>
            <color indexed="81"/>
            <rFont val="Tahoma"/>
            <family val="2"/>
          </rPr>
          <t xml:space="preserve">
So this would be a scalin g term, that we would change with a coefficient in a box on top of the calculation.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tc={8CB216FC-C6D5-439B-85BF-7CB4857E0317}</author>
  </authors>
  <commentList>
    <comment ref="CA27" authorId="0" shapeId="0" xr:uid="{8CB216FC-C6D5-439B-85BF-7CB4857E0317}">
      <text>
        <t>[Threaded comment]
Your version of Excel allows you to read this threaded comment; however, any edits to it will get removed if the file is opened in a newer version of Excel. Learn more: https://go.microsoft.com/fwlink/?linkid=870924
Comment: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t>
      </text>
    </comment>
  </commentList>
</comments>
</file>

<file path=xl/sharedStrings.xml><?xml version="1.0" encoding="utf-8"?>
<sst xmlns="http://schemas.openxmlformats.org/spreadsheetml/2006/main" count="5581" uniqueCount="1752">
  <si>
    <t>The precise methodology followed is bespoke to this study, in order to ensure transparency and authenticity and rigour of calculations.</t>
  </si>
  <si>
    <t>TCD's Scenario 1 of SAF LCA considers an actual Ryanair flight operation using specific supply chain information for Neste HEFA SAF produced from a UCO feedstock.</t>
  </si>
  <si>
    <t>Aircraft:</t>
  </si>
  <si>
    <t>Boeing 737-8200</t>
  </si>
  <si>
    <t>Route:</t>
  </si>
  <si>
    <t>Amsterdam Airport Schiphol (AMS) - Dublin Airport (DUB)</t>
  </si>
  <si>
    <t>Fuel:</t>
  </si>
  <si>
    <t>40% Blend of Neste HEFA SAF produced from UCO</t>
  </si>
  <si>
    <t>List of Acronyms:</t>
  </si>
  <si>
    <t>SAF</t>
  </si>
  <si>
    <t>Sustainable Aviation Fuel</t>
  </si>
  <si>
    <t>LCA</t>
  </si>
  <si>
    <t>Life Cycle Assessment</t>
  </si>
  <si>
    <t>TCD</t>
  </si>
  <si>
    <t>Trinity College Dublin</t>
  </si>
  <si>
    <t>HEFA</t>
  </si>
  <si>
    <t>Hydrogenated Esters and Fatty Acids</t>
  </si>
  <si>
    <t>HRJ</t>
  </si>
  <si>
    <t>Hydrotreated Renewable Jet</t>
  </si>
  <si>
    <t>UCO</t>
  </si>
  <si>
    <t>Used Cooking Oil</t>
  </si>
  <si>
    <t>So as not to be constrained by existing assumptions or system boundaries, calculations are performed by hand, following rigorous physical science relations, and emphasising the use of data of the actual supply chain studied.</t>
  </si>
  <si>
    <t>There were issues experience when using existing LCA calculators. They were not flexible enough to cacluate emissions at the level of accuracy and specificity desired from this study.</t>
  </si>
  <si>
    <t>Colour codes:</t>
  </si>
  <si>
    <t>User defined input.</t>
  </si>
  <si>
    <t>Calculated value.</t>
  </si>
  <si>
    <t>Definition of TCD-Ryanair Scenario 1</t>
  </si>
  <si>
    <t>These factors indicate that the required data would be more readily available than in the case of other airports.</t>
  </si>
  <si>
    <t xml:space="preserve">Amsterdam Schiphol has also received funding under the Demonstrating Lower Polluting Solutions for Sustainable Airports across Europe (TULIPS) Horizon Europe Research and Innovation action as </t>
  </si>
  <si>
    <t xml:space="preserve">Amsterdam Schiphol is an operational hub for Ryanair, and Ryanair has an agreement with Neste for the supply of HEFA to the airport. </t>
  </si>
  <si>
    <t xml:space="preserve">The route of Amsterdam to Dublin is chosen by TCD as the duration of this flight falls in line with the average flight distance of Ryanair operations and as such will be somewhat representative of the flight operations of Ryanair. </t>
  </si>
  <si>
    <t xml:space="preserve">The 737-8200 aircraft is chosen because it is the newest and most efficient aircraft in the Ryanair fleet and will represent a best-in-class benchmark for the coming several year period. </t>
  </si>
  <si>
    <t xml:space="preserve">The assumption of 100% used cooking oil is made to simplify calculations by having only one feedstock. </t>
  </si>
  <si>
    <t xml:space="preserve">This simplifies the supply chain and processing steps compared to multiple feedstocks from different sources, and as such should in theory provide a “best case” example. </t>
  </si>
  <si>
    <t>This is also representative of actual Neste operations, whose SAF is produced from 100% waste feedstocks.</t>
  </si>
  <si>
    <t>ALERT! Action must be taken here.</t>
  </si>
  <si>
    <t>This work is incomplete.</t>
  </si>
  <si>
    <t>When text is written like this, with merged cells and a thick border, it means that this has been signed off and should be taken seriously by the next reviewer.</t>
  </si>
  <si>
    <t>Review Procedures:</t>
  </si>
  <si>
    <t>A systematic review and sign-off procedure must be developed.</t>
  </si>
  <si>
    <t>Reveiewed for:</t>
  </si>
  <si>
    <t>Section of work:</t>
  </si>
  <si>
    <t>Reviewed by:</t>
  </si>
  <si>
    <t>Review date:</t>
  </si>
  <si>
    <t>Comments:</t>
  </si>
  <si>
    <t>List of acronyms</t>
  </si>
  <si>
    <t>Spelling</t>
  </si>
  <si>
    <t>Aron</t>
  </si>
  <si>
    <t>No</t>
  </si>
  <si>
    <t>Spelling mistake of 'word' on line 2</t>
  </si>
  <si>
    <t>This sheet is only for TCD internal use.</t>
  </si>
  <si>
    <t>It is used to inform collaborators on standard operating procedures and record the review and sign-off history.</t>
  </si>
  <si>
    <t>This work is ready for review.</t>
  </si>
  <si>
    <t>The colour code is specific to Scenario 1 work.</t>
  </si>
  <si>
    <t>Unit</t>
  </si>
  <si>
    <t>[1]</t>
  </si>
  <si>
    <t>[19]</t>
  </si>
  <si>
    <t>[4]</t>
  </si>
  <si>
    <t>[13]</t>
  </si>
  <si>
    <t>MJ/kg</t>
  </si>
  <si>
    <t>[14]</t>
  </si>
  <si>
    <t>[21]</t>
  </si>
  <si>
    <t>kg</t>
  </si>
  <si>
    <t>MJ</t>
  </si>
  <si>
    <t>[22]</t>
  </si>
  <si>
    <t>Global Warming Potentials</t>
  </si>
  <si>
    <t>CO2</t>
  </si>
  <si>
    <t>[15]</t>
  </si>
  <si>
    <t>CH4</t>
  </si>
  <si>
    <t>N2O</t>
  </si>
  <si>
    <t>kg/m3</t>
  </si>
  <si>
    <t>[12]</t>
  </si>
  <si>
    <t>Kinematic viscosity</t>
  </si>
  <si>
    <t>[16]</t>
  </si>
  <si>
    <t>Dynamic viscosity</t>
  </si>
  <si>
    <t>kg/ms</t>
  </si>
  <si>
    <t>[7]</t>
  </si>
  <si>
    <t>[8]</t>
  </si>
  <si>
    <t>km</t>
  </si>
  <si>
    <t>gCO2e/kWh</t>
  </si>
  <si>
    <t>[6]</t>
  </si>
  <si>
    <t>[11]</t>
  </si>
  <si>
    <t>References</t>
  </si>
  <si>
    <t xml:space="preserve">[1] </t>
  </si>
  <si>
    <t>p30. O. Delgado, F. Rodríguez, R. Muncrief, Fuel Efficiency Technology in European Heavy-Duty Vehicles: Baseline and Potential for the 2020–2030 Time Frame, in, The International Council on Clean Transportation, 2017.</t>
  </si>
  <si>
    <t xml:space="preserve">[2] </t>
  </si>
  <si>
    <t>https://www.crownoil.co.uk/fuel-tankers-fleet/</t>
  </si>
  <si>
    <t>[5]</t>
  </si>
  <si>
    <t>ASTM D1655</t>
  </si>
  <si>
    <t>http://large.stanford.edu/courses/2012/ph240/greenbaum1/#:~:text=Jet%20A%2D1%20fuel%20has,be%20achieved%20by%20liquid%20fuels</t>
  </si>
  <si>
    <t>https://www.dublinairport.com/latest-news/2019/05/31/dublin-airport's-new-fuel-farm-opens</t>
  </si>
  <si>
    <t xml:space="preserve">[11] </t>
  </si>
  <si>
    <t>P531: P. Duffy, K. Black, B. Hyde, A.M. Ryan, J. Ponzi, Ireland's National Inventory Report 2019, in, Environmental Protrction Agency, 2019.</t>
  </si>
  <si>
    <t>p426. P. Duffy, K. Black, B. Hyde, A.M. Ryan, J. Ponzi, Ireland's National Inventory Report 2019, in, Environmental Protrction Agency, 2019.</t>
  </si>
  <si>
    <t>p. 731 G. Myhre, D. Shindell, F.-M. Bréon, W. Collins, J. Fuglestvedt, J. Huang, D. Koch, J.-F. Lamarque, D. Lee, B. Mendoza, T. Nakajima, A. Robock, G. Stephens, T. Takemura, H. Zhang, Anthropogenic and Natural Radiative Forcing in: P. Greening (Ed.): Climate Change 2013: The Physical Science Basis, Cambridge University Press, Cambridge, United Kingdom and New York, NY, USA, 2013, pp. 731.</t>
  </si>
  <si>
    <t>N.I. Alias, J. Kumar, S. Md Zain, Characterization of Waste Cooking Oil for Biodiesel Production, Jurnal Kejuruteraan SI, 2 (2018) 79-83.</t>
  </si>
  <si>
    <t>[17]</t>
  </si>
  <si>
    <t>p368. Y.A. Cengel, J.M. Cimbala, FLUID MECHANICS: FUNDAMENTALS AND APPLICATIONS, THIRD EDITION, McGraw-Hill, New York, NY, 2014.</t>
  </si>
  <si>
    <t>[18]</t>
  </si>
  <si>
    <t>https://www.omnicalculator.com/physics/friction-factor</t>
  </si>
  <si>
    <t>A. Thiruvengadam, S. Pradhan, P. Thiruvengadam, M. Besch, D. Carder, O. Delgado, Heavy-Duty Vehicle Diesel Engine Efficiency Evaluation and Energy Audit, in, Center for Alternative Fuels, Engines &amp; Emissions West Virginia University 2014.</t>
  </si>
  <si>
    <t>https://www.britannica.com/technology/tanker</t>
  </si>
  <si>
    <t>p6. R. Adland, P. Cariou, F.-C. Wolff, Optimal ship speed and the cubic law revisited: Empirical evidence from an oil tanker fleet, Transportation Research Part E: Logistics and Transportation Review, 140 (2020) 101972.</t>
  </si>
  <si>
    <t>p65. Ryanair, Ryanair Group Annual Report 2022, in, 2022.</t>
  </si>
  <si>
    <t>p90. Ryanair, Ryanair Group Annual Report 2022, in, 2022.</t>
  </si>
  <si>
    <t>%</t>
  </si>
  <si>
    <t>Efficiency</t>
  </si>
  <si>
    <t>Assumptions</t>
  </si>
  <si>
    <t>Fuel/Feedstock Data</t>
  </si>
  <si>
    <t>Fuel/Feedstock</t>
  </si>
  <si>
    <t>Density at 15C</t>
  </si>
  <si>
    <t>kg/l</t>
  </si>
  <si>
    <t>Diesel</t>
  </si>
  <si>
    <t>Energy density</t>
  </si>
  <si>
    <t>kgCO2/kgFuel</t>
  </si>
  <si>
    <t>CO2 emission factor</t>
  </si>
  <si>
    <t>CH4 emission factor</t>
  </si>
  <si>
    <t>kgCH4/TJFuel</t>
  </si>
  <si>
    <t>kgCO2/TJFuel</t>
  </si>
  <si>
    <t>kgCH4/kgFuel</t>
  </si>
  <si>
    <t>N2O emission factor</t>
  </si>
  <si>
    <t>kgN2O/TJFuel</t>
  </si>
  <si>
    <t>kgN2O/kgFuel</t>
  </si>
  <si>
    <t>Used cooking oil</t>
  </si>
  <si>
    <t>Marine fuel</t>
  </si>
  <si>
    <t>mm2/s</t>
  </si>
  <si>
    <t>m2/s</t>
  </si>
  <si>
    <t>Netherlands</t>
  </si>
  <si>
    <t>Finland</t>
  </si>
  <si>
    <t>SAF Production Process Data</t>
  </si>
  <si>
    <t>UCO HEFA SAF</t>
  </si>
  <si>
    <t>-</t>
  </si>
  <si>
    <t>m</t>
  </si>
  <si>
    <t>m/s</t>
  </si>
  <si>
    <t>Pa</t>
  </si>
  <si>
    <t>Reference</t>
  </si>
  <si>
    <t>Input</t>
  </si>
  <si>
    <t>Assumptions:</t>
  </si>
  <si>
    <t>[2]</t>
  </si>
  <si>
    <t>[3]</t>
  </si>
  <si>
    <t xml:space="preserve">[20] </t>
  </si>
  <si>
    <t>https://ev-database.org/cheatsheet/energy-consumption-electric-car</t>
  </si>
  <si>
    <t>CO2e Emission Factor</t>
  </si>
  <si>
    <t>kgCO2e/kgFuel</t>
  </si>
  <si>
    <t>Inputs</t>
  </si>
  <si>
    <t>Outputs</t>
  </si>
  <si>
    <t>Activity</t>
  </si>
  <si>
    <t>Sub-activity</t>
  </si>
  <si>
    <t>Value</t>
  </si>
  <si>
    <t>Decsription</t>
  </si>
  <si>
    <t>gCO2e</t>
  </si>
  <si>
    <t>Comment</t>
  </si>
  <si>
    <t>Specific CO2e emissions</t>
  </si>
  <si>
    <t>gCO2e/MJ(SAFe)</t>
  </si>
  <si>
    <t>Indonesia</t>
  </si>
  <si>
    <t>China</t>
  </si>
  <si>
    <t>USA</t>
  </si>
  <si>
    <t>Germany</t>
  </si>
  <si>
    <t>AB: eh, think more about the idea above. This will make the tool look visually messy</t>
  </si>
  <si>
    <t>[24]</t>
  </si>
  <si>
    <t>Jet</t>
  </si>
  <si>
    <t>P. Vozka, P. Šimáček, G. Kilaz, Impact of HEFA Feedstocks on Fuel Composition and Properties in Blends with Jet A, Energy &amp; Fuels, 32 (2018) 11595-11606.</t>
  </si>
  <si>
    <t>Belgium</t>
  </si>
  <si>
    <t>[25]</t>
  </si>
  <si>
    <t>[33]</t>
  </si>
  <si>
    <t>Aircraft</t>
  </si>
  <si>
    <t>LCA Emission Factor</t>
  </si>
  <si>
    <t>gCO2e/MJ</t>
  </si>
  <si>
    <t>D. Chiaramonti, G. Talluri, G. Vourliotakis, L. Testa, M. Prussi, N. Scarlat, Can Lower Carbon Aviation Fuels (LCAF) Really Complement Sustainable Aviation Fuel (SAF) towards EU Aviation Decarbonization?, Energies, 14 (2021) 6430.</t>
  </si>
  <si>
    <t>Combustion Emissions</t>
  </si>
  <si>
    <t>Passengers on board</t>
  </si>
  <si>
    <t>The straight line distance between Amsterdam and Dublin airport was calculated from Google Maps.</t>
  </si>
  <si>
    <t>gCO2e/RPK</t>
  </si>
  <si>
    <t xml:space="preserve"> </t>
  </si>
  <si>
    <t>Emission factor</t>
  </si>
  <si>
    <t>Electricity</t>
  </si>
  <si>
    <t>Approved:</t>
  </si>
  <si>
    <t>fuel production</t>
  </si>
  <si>
    <t>TCD Interal</t>
  </si>
  <si>
    <t>Fish Definition &amp; Particulars</t>
  </si>
  <si>
    <t>Ref</t>
  </si>
  <si>
    <t>Intermediate Calculations</t>
  </si>
  <si>
    <t>Output of GHG emissions from activity</t>
  </si>
  <si>
    <t>[36]</t>
  </si>
  <si>
    <t>p222. Y.A. Cengel, J.M. Cimbala, FLUID MECHANICS: FUNDAMENTALS AND APPLICATIONS, THIRD EDITION, McGraw-Hill, New York, NY, 2014.</t>
  </si>
  <si>
    <t>[37]</t>
  </si>
  <si>
    <t>p350. Y.A. Cengel, J.M. Cimbala, FLUID MECHANICS: FUNDAMENTALS AND APPLICATIONS, THIRD EDITION, McGraw-Hill, New York, NY, 2014.</t>
  </si>
  <si>
    <t>[38]</t>
  </si>
  <si>
    <t>p377. Y.A. Cengel, J.M. Cimbala, FLUID MECHANICS: FUNDAMENTALS AND APPLICATIONS, THIRD EDITION, McGraw-Hill, New York, NY, 2014.</t>
  </si>
  <si>
    <t>p375. Y.A. Cengel, J.M. Cimbala, FLUID MECHANICS: FUNDAMENTALS AND APPLICATIONS, THIRD EDITION, McGraw-Hill, New York, NY, 2014.</t>
  </si>
  <si>
    <t>[39]</t>
  </si>
  <si>
    <t>What is this sheet and what is the structure?</t>
  </si>
  <si>
    <t>Complete fishbone and breakdown of LCA calculation components:</t>
  </si>
  <si>
    <t>There are three primary columns, the first is for user inputs, the second is for intermediate calculations and the third is for the output of GHG emissions from that activity.</t>
  </si>
  <si>
    <t>The methodology followed in this study are similar to the CORSIA methodology for calculating actual life cycle emissions. The CORSIA life cycle stages of production at source, conditioning at source, feedstock processing and extraction and feedstock transportation are represented in the Feedstock Production and Procurement stage of this LCA. The CORSIA life cycle stage of feedstock-to-fuel conversion processes is represented in the Fuel Production stage of this LCA. The CORSIA life cycle stage of fuel transportation is represented the Airport Operations stage of this LCA The CORSIA life cycle stage of fuel combustion in an aircraft engine is represented in the Aircraft Operations stage of this LCA.</t>
  </si>
  <si>
    <t>Similar to the CORSIA methodology for calculating actual life cycle emissions, the emissions of CO2, CH4 and N2O are considered in the calculation of CO2e using 100 year global warming potentials from the IPCC Fifth Assessment Report.</t>
  </si>
  <si>
    <t>Similarities to existing LCA methods and procedures:</t>
  </si>
  <si>
    <t>The functional unit of this study is grams of carbon dioxide equivalent per revenue passenger kilometer (gCO2e/RPK). This takes the full life cycle of the aviation activity into account rather than just the life cycle of the fuel where the functional unit would ususally be grams of carbon dioxide equivalent per megajoule of fuel energy delivered to the customer (gCO2e/MJ). gCO2e/MJ is the functional unit for the CORSIA methodology and the common functional unit in literature for SAF LCA studies.</t>
  </si>
  <si>
    <t>Differences to existing LCA methods and procedures:</t>
  </si>
  <si>
    <t>Similarities and differences of this methodology to established LCA methods and procedures:</t>
  </si>
  <si>
    <t>&gt;&gt;specific to this fishbone</t>
  </si>
  <si>
    <t>A difference of this methodology to existing LCA calculators is the ability to calculate emissions from specific supply chain activity. Emissions from unique stages of piping, storage and road and sea transportation can be calculated here, instead of simply inputting transportation distances for each mode of transport.</t>
  </si>
  <si>
    <t>CORSIA</t>
  </si>
  <si>
    <t>http://ports.com/sea-route/#/?a=2924&amp;b=0&amp;c=Port%20of%20Rostock,%20Germany&amp;d=Porvoo%20Refinery</t>
  </si>
  <si>
    <t>http://ports.com/sea-route/#/?a=15721&amp;b=2894&amp;c=Anyer%20Terminal,%20Indonesia&amp;d=Porvoo%20Refinery,%20Finland</t>
  </si>
  <si>
    <t>http://ports.com/sea-route/#/?a=0&amp;b=0&amp;c=Port%20of%20New%20York&amp;d=Porvoo%20Refinery</t>
  </si>
  <si>
    <t>http://ports.com/sea-route/#/?a=4595&amp;b=0&amp;c=Port%20of%20Shanghai,%20China&amp;d=Porvoo%20Refinery</t>
  </si>
  <si>
    <t>http://ports.com/sea-route/#/?a=2894&amp;b=3044&amp;c=Porvoo%20Refinery,%20Finland&amp;d=Port%20of%20Ghent,%20Belgium</t>
  </si>
  <si>
    <t>http://ports.com/sea-route/#/?a=0&amp;b=3030&amp;c=Port%20of%20Ghent&amp;d=Port%20of%20Amsterdam,%20Netherlands</t>
  </si>
  <si>
    <t>[40]</t>
  </si>
  <si>
    <t>[41]</t>
  </si>
  <si>
    <t>[42]</t>
  </si>
  <si>
    <t>[43]</t>
  </si>
  <si>
    <t>[44]</t>
  </si>
  <si>
    <t>[45]</t>
  </si>
  <si>
    <t>[AP1]</t>
  </si>
  <si>
    <t>[AP2]</t>
  </si>
  <si>
    <t>[AP3]</t>
  </si>
  <si>
    <t>[AP4]</t>
  </si>
  <si>
    <t>[AP5]</t>
  </si>
  <si>
    <t>[AP6]</t>
  </si>
  <si>
    <t>[AP7]</t>
  </si>
  <si>
    <t>[AP8]</t>
  </si>
  <si>
    <t>[AP17]</t>
  </si>
  <si>
    <t>[AP18]</t>
  </si>
  <si>
    <t>[AP19]</t>
  </si>
  <si>
    <t>[AP20]</t>
  </si>
  <si>
    <t>[AP22]</t>
  </si>
  <si>
    <t>[AP23]</t>
  </si>
  <si>
    <t>[AP24]</t>
  </si>
  <si>
    <t>[AP25]</t>
  </si>
  <si>
    <t>[AP28]</t>
  </si>
  <si>
    <t>[AP29]</t>
  </si>
  <si>
    <t>[AP30]</t>
  </si>
  <si>
    <t>[AP31]</t>
  </si>
  <si>
    <t>[AP34]</t>
  </si>
  <si>
    <t>[AP35]</t>
  </si>
  <si>
    <t>[AP36]</t>
  </si>
  <si>
    <t>[AP37]</t>
  </si>
  <si>
    <t>[AP40]</t>
  </si>
  <si>
    <t>[AP41]</t>
  </si>
  <si>
    <t>[AP42]</t>
  </si>
  <si>
    <t>[AP43]</t>
  </si>
  <si>
    <t>This has been reviewed and signed-off.</t>
  </si>
  <si>
    <t>Status</t>
  </si>
  <si>
    <t>This is the feedstock to fuel fishbone for Scenario 1.1: Neste SAF (100% UCO) in a Ryanair 737-8200 from AMS to DUB</t>
  </si>
  <si>
    <t>The system boundary for this fishbone is the entire production process of the feedstock to fuel conversion.</t>
  </si>
  <si>
    <t>Embodied emissions in blended Neste SAF from production activity within the Feedstock to Fuel Fishbone system boundary</t>
  </si>
  <si>
    <t>Feedstock to Fuel Conversion</t>
  </si>
  <si>
    <t>Triglyceride Composition - Used Cooking Oil</t>
  </si>
  <si>
    <t>Material Outputs and Energy Use</t>
  </si>
  <si>
    <t>Calculation</t>
  </si>
  <si>
    <t>Result</t>
  </si>
  <si>
    <t>Vegetable Oil Triglyceride Composition (wt%)</t>
  </si>
  <si>
    <t>Vegetable Oil Molecular Composition (wt%)</t>
  </si>
  <si>
    <t>Material Outputs (kg)</t>
  </si>
  <si>
    <t>Energy Cost (MJ)</t>
  </si>
  <si>
    <t>Naphtha</t>
  </si>
  <si>
    <t>Palmitic</t>
  </si>
  <si>
    <t>Triglycerides</t>
  </si>
  <si>
    <t>Jet Fuel</t>
  </si>
  <si>
    <t>Stearic</t>
  </si>
  <si>
    <t>Diglycerides</t>
  </si>
  <si>
    <t>Oleic</t>
  </si>
  <si>
    <t>Monoglycerides</t>
  </si>
  <si>
    <t xml:space="preserve">Residual Oil </t>
  </si>
  <si>
    <t>Linoleic</t>
  </si>
  <si>
    <t>Free Faty Acids</t>
  </si>
  <si>
    <t>Water</t>
  </si>
  <si>
    <t>Total mass of initial feedstock (kg)</t>
  </si>
  <si>
    <t>Propane</t>
  </si>
  <si>
    <t>System Efficency</t>
  </si>
  <si>
    <t>LPG</t>
  </si>
  <si>
    <t>Hydrogen Input 1 (kg)</t>
  </si>
  <si>
    <t>Carbon Dioxide</t>
  </si>
  <si>
    <t>Hydrogen Input 2 (kg)</t>
  </si>
  <si>
    <t>Carbon Monoxide</t>
  </si>
  <si>
    <t>Spare Hydrogen</t>
  </si>
  <si>
    <t>Total</t>
  </si>
  <si>
    <t>Unknowns:</t>
  </si>
  <si>
    <t>Unknown products</t>
  </si>
  <si>
    <t>SAF Properties</t>
  </si>
  <si>
    <t>SAF Energy Sensity (MJ/kg)</t>
  </si>
  <si>
    <t>Grand total</t>
  </si>
  <si>
    <t>Energy to CO2 Conversion</t>
  </si>
  <si>
    <t>Emission Factors for Fossil Fuels</t>
  </si>
  <si>
    <t>g/MJ</t>
  </si>
  <si>
    <t>N20</t>
  </si>
  <si>
    <t>Conversion to CO2e</t>
  </si>
  <si>
    <t>Total gCO2e/MJ</t>
  </si>
  <si>
    <t>Coal</t>
  </si>
  <si>
    <t>NG</t>
  </si>
  <si>
    <t>Gas/Diesel oil</t>
  </si>
  <si>
    <t>Electricity Emission Factor Based on Country</t>
  </si>
  <si>
    <t>CO2/MJ</t>
  </si>
  <si>
    <t>Energy Use Breakdown For HRJ Conversion Process</t>
  </si>
  <si>
    <t xml:space="preserve">Finland </t>
  </si>
  <si>
    <t>Energy Breakdown</t>
  </si>
  <si>
    <t>Case 1</t>
  </si>
  <si>
    <t>Case 2</t>
  </si>
  <si>
    <t>EU</t>
  </si>
  <si>
    <t>Sweden</t>
  </si>
  <si>
    <t>Natural Gas</t>
  </si>
  <si>
    <t>Petroleum</t>
  </si>
  <si>
    <t>Country Selection</t>
  </si>
  <si>
    <t>Case Selection</t>
  </si>
  <si>
    <t>Total GHG emissions from feedstock to HRJ fishbone</t>
  </si>
  <si>
    <t>Used Cooking Oil Mass Flow for Neste SAF</t>
  </si>
  <si>
    <t>Vegerable Oil Triglyceride Composion</t>
  </si>
  <si>
    <t>Mollecular Weight</t>
  </si>
  <si>
    <t>Typical Composition (wt %)</t>
  </si>
  <si>
    <t>Filtered Cooking Oil</t>
  </si>
  <si>
    <t>Legend</t>
  </si>
  <si>
    <t>Source</t>
  </si>
  <si>
    <t>Structure</t>
  </si>
  <si>
    <t>Fatty acid</t>
  </si>
  <si>
    <t>Triglceride</t>
  </si>
  <si>
    <t>Sunflower</t>
  </si>
  <si>
    <t>Initial Feedstock - Used Cooking Oil</t>
  </si>
  <si>
    <t>Components</t>
  </si>
  <si>
    <t>Elemental Composition</t>
  </si>
  <si>
    <t>C16:0</t>
  </si>
  <si>
    <t>Name</t>
  </si>
  <si>
    <t>Mass (kg)</t>
  </si>
  <si>
    <t>% g/tot</t>
  </si>
  <si>
    <t>% g/Gtot</t>
  </si>
  <si>
    <t>% g/g</t>
  </si>
  <si>
    <t>C18:0</t>
  </si>
  <si>
    <t>H</t>
  </si>
  <si>
    <t>Intermediary Products</t>
  </si>
  <si>
    <t>C18:1</t>
  </si>
  <si>
    <t>Total Energy used</t>
  </si>
  <si>
    <t>Triolein</t>
  </si>
  <si>
    <t>C</t>
  </si>
  <si>
    <t>Processing Steps (Energy)</t>
  </si>
  <si>
    <t>C18:2</t>
  </si>
  <si>
    <t>Energy (kJ)</t>
  </si>
  <si>
    <t>Tripalmitin</t>
  </si>
  <si>
    <t>N</t>
  </si>
  <si>
    <t>Processing Steps with Efficency (Total Energy)</t>
  </si>
  <si>
    <t>Filtration</t>
  </si>
  <si>
    <t>Trilinolein</t>
  </si>
  <si>
    <t>O</t>
  </si>
  <si>
    <t>User defined input</t>
  </si>
  <si>
    <t>S</t>
  </si>
  <si>
    <t>Derived value</t>
  </si>
  <si>
    <t>Reference Numbers</t>
  </si>
  <si>
    <t>TCD assumption from Physics</t>
  </si>
  <si>
    <t>Literarture estimate</t>
  </si>
  <si>
    <t>From Partner Data</t>
  </si>
  <si>
    <t>Total Products After Processing Steps</t>
  </si>
  <si>
    <t>L. Mannion assumption</t>
  </si>
  <si>
    <t>Grand Total</t>
  </si>
  <si>
    <t>consumable</t>
  </si>
  <si>
    <t>Naphta</t>
  </si>
  <si>
    <t>[2.1]</t>
  </si>
  <si>
    <t>R. Sotelo-Boyas, F. Trejo-Zarraga, F.D. Jesus Hernandez-Loyo, Hydroconversion of Triglycerides into Green Liquid Fuels, in, InTech, 2012.</t>
  </si>
  <si>
    <t>Hydrocracking</t>
  </si>
  <si>
    <r>
      <t>H</t>
    </r>
    <r>
      <rPr>
        <b/>
        <vertAlign val="subscript"/>
        <sz val="12"/>
        <color theme="1"/>
        <rFont val="Calibri"/>
        <family val="2"/>
        <scheme val="minor"/>
      </rPr>
      <t>2</t>
    </r>
  </si>
  <si>
    <t>Catalyst?</t>
  </si>
  <si>
    <t>[2.2]</t>
  </si>
  <si>
    <t>D. Zemanek, P. Champagne, W. Mabee, Review of life‐cycle greenhouse‐gas emissions assessments of hydroprocessed renewable fuel (HEFA) from oilseeds, Biofuels, Bioproducts and Biorefining, 14 (2020) 935-949.</t>
  </si>
  <si>
    <t>1'</t>
  </si>
  <si>
    <t>Retentate</t>
  </si>
  <si>
    <t>[2.3]</t>
  </si>
  <si>
    <t>Y. Zhang, Y. Xie, Y. Zhu, X. Lu, X. Ji, Energy Consumption Analysis for CO2 Separation from Gas Mixtures with Liquid Absorbents, Energy Procedia, 61 (2014) 2695-2698.</t>
  </si>
  <si>
    <t>Assumptions [e], [h.1].</t>
  </si>
  <si>
    <t>[2.4]</t>
  </si>
  <si>
    <t>GREET. Michael Wang*, Hanjie Lee and John Molburg. Allocation of Energy Use in Petroleum Refineries to Petroleum Products Implications for Life-Cycle Energy Use and Emission Inventory of Petroleum Transportation Fuels</t>
  </si>
  <si>
    <t>other things involved (CO2? By-products?)</t>
  </si>
  <si>
    <t>Assumptions [a], [b].</t>
  </si>
  <si>
    <t>[a].</t>
  </si>
  <si>
    <t>Chemical reactions are 100% converted in the forward reaction rate.</t>
  </si>
  <si>
    <t>Hydrocracked Oil [Reactions 1-5]</t>
  </si>
  <si>
    <t>There are no mass losses or residues left over in each reaction.</t>
  </si>
  <si>
    <t>Seperations of liquids and liquid/gas mixtures (e.g. vapour/liquid separation and fractionall distillation) are perfect and have no mass loss.</t>
  </si>
  <si>
    <t>Hydrogen</t>
  </si>
  <si>
    <t>[b].</t>
  </si>
  <si>
    <t xml:space="preserve">The hydrogen added saturates the reaction chamber for chemical reactions to occur. Therefore there will be unreacted hydrogen left after the modelled reactions are complete </t>
  </si>
  <si>
    <t>Oleic acid</t>
  </si>
  <si>
    <t>SD - Later -  we wish to know the partial pressure of hydrogen and how it is recylced.</t>
  </si>
  <si>
    <t>Palmitic acid</t>
  </si>
  <si>
    <t>Linoleic acid</t>
  </si>
  <si>
    <t>Hydrogenation of Linoleic and Oleic acid to stearic acid occurs before propane cleave step.</t>
  </si>
  <si>
    <t>Stearic acid</t>
  </si>
  <si>
    <t xml:space="preserve">100% Linoleic acid is converted to stearic acid </t>
  </si>
  <si>
    <t>Efficent Energy Use</t>
  </si>
  <si>
    <t>Net Energy Use</t>
  </si>
  <si>
    <t>Reactions are considered 100% in the forward reaction rate.</t>
  </si>
  <si>
    <t>Energy (MJ)</t>
  </si>
  <si>
    <t>75% Oleic acid is converted to stearic acid</t>
  </si>
  <si>
    <t>25% Oleic acid remains for other reactions to occur.</t>
  </si>
  <si>
    <t>Triglycerides to FFA</t>
  </si>
  <si>
    <t>Diglycerides to FFA</t>
  </si>
  <si>
    <t>Emissions Breakdown</t>
  </si>
  <si>
    <t>Sweeden</t>
  </si>
  <si>
    <t>Decarboxylation, Decarbonylation, and Hydrodeoxygenation occur at the same time</t>
  </si>
  <si>
    <t>Monoglycerides to FFA</t>
  </si>
  <si>
    <t>% Energy Use</t>
  </si>
  <si>
    <t xml:space="preserve">For carboxyilic acids: if the acid is used in more than one reaction above for conversion to n-paraffins, the reactions are evenly distributed. </t>
  </si>
  <si>
    <t>e.g. For stearic acid the total kg at propane cleave is divided into 33.33% decarboxylation, 33.33% decarbonylation, and 33.33% Hydrodeoxogenation</t>
  </si>
  <si>
    <t>Propane?</t>
  </si>
  <si>
    <t>[c].</t>
  </si>
  <si>
    <t>All alkenes are saturated with Hydrogen to corresponding alkanes</t>
  </si>
  <si>
    <t>Assumptions [e], [j].</t>
  </si>
  <si>
    <t>Intrinsic CO2 cost?</t>
  </si>
  <si>
    <t>new</t>
  </si>
  <si>
    <t>old</t>
  </si>
  <si>
    <t>Propane Cleave</t>
  </si>
  <si>
    <t>Total GHG gCO2/MJ</t>
  </si>
  <si>
    <t xml:space="preserve">Molecules such as octadecane and heptadecane are present in the final products. Hence when cracking occurs, it must not be 100% efficient. </t>
  </si>
  <si>
    <t>For the unknown products, they are completely reacted such that we can assign them to known molecules.</t>
  </si>
  <si>
    <t>Hence for the known reactants in cracking, it is assumed that 33% is unreacted, making the overall cracking 66% efficient.</t>
  </si>
  <si>
    <t>10% of octadecane is unreacted in craking</t>
  </si>
  <si>
    <t>Assumptions [a].</t>
  </si>
  <si>
    <t>Assumptions [a], [d].</t>
  </si>
  <si>
    <t>90% of octadecane is split into octane and decane</t>
  </si>
  <si>
    <t>33% of octadecane is unreacted in craking</t>
  </si>
  <si>
    <t>Propane Cleaved Product</t>
  </si>
  <si>
    <t>4'</t>
  </si>
  <si>
    <t>8% of heptadecane is unreacted in cracking</t>
  </si>
  <si>
    <t>66% of octadecane is split into octane and decane</t>
  </si>
  <si>
    <t>29% of heptadecane is split into undecane and hexane</t>
  </si>
  <si>
    <t>33% of heptadecane is unreacted in cracking</t>
  </si>
  <si>
    <t>0% of heptadecane is split into heptane and decane</t>
  </si>
  <si>
    <t>33% of heptadecane is split into undecane and hexane</t>
  </si>
  <si>
    <t>23% of heptadecane is slplit into octane and nonane</t>
  </si>
  <si>
    <t>33% of heptadecane is split into heptane and decane</t>
  </si>
  <si>
    <t>17% of heptadecane is split into tridecane and butane</t>
  </si>
  <si>
    <t>33% of pentadecane is unreacted in cracking</t>
  </si>
  <si>
    <t>23% if heptadecane is split into dodecane and pentane</t>
  </si>
  <si>
    <t>66% of pentadecane is split into nonane and hexane</t>
  </si>
  <si>
    <t>10% of hexadecane is unreacted in cracking</t>
  </si>
  <si>
    <t>33% of hexadecane is unreacted in cracking</t>
  </si>
  <si>
    <t>90% of hexadecane is split into nonane and heptane</t>
  </si>
  <si>
    <t>66% of hexadecane is split into nonane and heptane</t>
  </si>
  <si>
    <t>33.3% of pentadecane is unreacted in cracking</t>
  </si>
  <si>
    <t>66% of unknown n-parrafins is converted into tetradecane, tridecane, hexadecane, and pentadecane each at 16.66%.</t>
  </si>
  <si>
    <t>66.6% of pentadecane is split into nonane and hexane</t>
  </si>
  <si>
    <t>33% of unknown n-parrafins is converted into dodecane</t>
  </si>
  <si>
    <t>50% of octane is unreacted in cracking</t>
  </si>
  <si>
    <t>Hydrogen use</t>
  </si>
  <si>
    <t>50% of octane is split into two molecules of butane</t>
  </si>
  <si>
    <t>21.25% of unknown n-parrafins is converted into unedecane</t>
  </si>
  <si>
    <t>17.5% of unknown n-parrafins is converted into dodecane</t>
  </si>
  <si>
    <t>Assumptions [e], [h.2].</t>
  </si>
  <si>
    <t>8.75% of unknown n-parrafins is converted into tridecane</t>
  </si>
  <si>
    <t>Deoxygenation / Decarbonisation</t>
  </si>
  <si>
    <t>Assumptions [f].</t>
  </si>
  <si>
    <t>31.25% of unknown n-parrafins is converted into tetradecane</t>
  </si>
  <si>
    <t>21.25% of unknown n-parrafins is converted into pentane</t>
  </si>
  <si>
    <t>[d].</t>
  </si>
  <si>
    <t>Unknown products in gas mixture must contain elements of propane, water and other gasses defined in the reaction mechanism</t>
  </si>
  <si>
    <t>Deoxygenation/Decarbonisation/Hydrodeoxygenation Product [Reactions 6-14]</t>
  </si>
  <si>
    <t>For the unknown products, the same percentage that was observed from the known products is used as an estimate to find the mass of propane, water, and others formed from unknown products.</t>
  </si>
  <si>
    <t>[e].</t>
  </si>
  <si>
    <t>Energy required for reactions to occur. Does not take efficency of reactors or overall efficiency into account</t>
  </si>
  <si>
    <t>6(c)</t>
  </si>
  <si>
    <t>Gas Mix</t>
  </si>
  <si>
    <t>6(c)'</t>
  </si>
  <si>
    <t>[f].</t>
  </si>
  <si>
    <t>System Efficiency. Energy required for reactions to occur is chemical reaction enthalpy x 3 to account for parasitic losses (heat, friction etc).</t>
  </si>
  <si>
    <t>6(b)</t>
  </si>
  <si>
    <t>Trace Liquid Hydrocarbons</t>
  </si>
  <si>
    <t>6(a)</t>
  </si>
  <si>
    <t>Second Hydrotreatment Product</t>
  </si>
  <si>
    <t>For all total energy boxes, the energy required is multiplied by 3 to account for losses.</t>
  </si>
  <si>
    <t>Heptadecane</t>
  </si>
  <si>
    <t>Heptadecene</t>
  </si>
  <si>
    <t>[g].</t>
  </si>
  <si>
    <t>The fuel mixture is transferred to the initial fractional distillation chamber at 300K and remains at 300 K, which is the temperature at which hydrogenation occurs.</t>
  </si>
  <si>
    <t>Octadecane</t>
  </si>
  <si>
    <t>Water?</t>
  </si>
  <si>
    <t>No heat loss occurs when the mixtures are transferred</t>
  </si>
  <si>
    <t>Pentadecane</t>
  </si>
  <si>
    <t>Fractional distillation occurs in two separate stages. An initial separation of the lighter and heavier paraffins (FD1), and a further separation of the heavier products (FD2).</t>
  </si>
  <si>
    <t>Hexadecane</t>
  </si>
  <si>
    <t>FD1 is the initial seperation of C6-C8 and 9-C18. This does not need much heat, as the lighter paraffins have lower boiling points.</t>
  </si>
  <si>
    <t>Octadecene</t>
  </si>
  <si>
    <t>FD1 has an initial temperature of 300 K and is heated to 400 K</t>
  </si>
  <si>
    <t>Needs review</t>
  </si>
  <si>
    <t>FD2 separates the heavier components further.</t>
  </si>
  <si>
    <t>FD2 has an initial temperature of 400K and is heated to 600K</t>
  </si>
  <si>
    <t xml:space="preserve">n-paraffins </t>
  </si>
  <si>
    <t>[h].</t>
  </si>
  <si>
    <t>[h.1]</t>
  </si>
  <si>
    <t>Hydrocracking Methodology</t>
  </si>
  <si>
    <t>This calculation is based on heat capacity and energy used in heating the reaction mixture. Here is is assumed that the reaction mixture is a mixture of triolein, trilinolein, and tripalmitin, and is heated from 20 deg C to 400 deg C</t>
  </si>
  <si>
    <t>Propane Purification</t>
  </si>
  <si>
    <t>[h.2]</t>
  </si>
  <si>
    <t>refer to h.1</t>
  </si>
  <si>
    <t>Decarboxylation, Decarbonylation, Hydroxgenation</t>
  </si>
  <si>
    <t>Assumptions [e], [c].</t>
  </si>
  <si>
    <t xml:space="preserve">The enthalpies were calculated from the paper for stearic acid at 300 K. </t>
  </si>
  <si>
    <t>Assumptions [e], [i].</t>
  </si>
  <si>
    <t>The values in the paper for stearic acid were used for all carboxlic acids in these processes.</t>
  </si>
  <si>
    <t>Vapour-Liquid Separation</t>
  </si>
  <si>
    <t>[i].</t>
  </si>
  <si>
    <t>In the vapour liquid separation process, there are two separate rates of energy use. These rates are energy (kJ per kg of produced gas) Calculated in paper [2.4]</t>
  </si>
  <si>
    <r>
      <t>The first contains methods of carbon capture and storage (using a more energy intensive absorber to extract the CO</t>
    </r>
    <r>
      <rPr>
        <vertAlign val="subscript"/>
        <sz val="11"/>
        <color theme="1"/>
        <rFont val="Calibri"/>
        <family val="2"/>
        <scheme val="minor"/>
      </rPr>
      <t>2</t>
    </r>
    <r>
      <rPr>
        <sz val="11"/>
        <color theme="1"/>
        <rFont val="Calibri"/>
        <family val="2"/>
        <scheme val="minor"/>
      </rPr>
      <t>)</t>
    </r>
  </si>
  <si>
    <r>
      <t>The second is a lower rate, also calculated for the use of CO</t>
    </r>
    <r>
      <rPr>
        <vertAlign val="subscript"/>
        <sz val="11"/>
        <color theme="1"/>
        <rFont val="Calibri"/>
        <family val="2"/>
        <scheme val="minor"/>
      </rPr>
      <t>2</t>
    </r>
    <r>
      <rPr>
        <sz val="11"/>
        <color theme="1"/>
        <rFont val="Calibri"/>
        <family val="2"/>
        <scheme val="minor"/>
      </rPr>
      <t>, however this rate is applied to the other gases in the mixture as a placeholder. This rate does not include the more intensive absorbers used in carbon caputure and storage.</t>
    </r>
  </si>
  <si>
    <t>Assumptions [a], [c].</t>
  </si>
  <si>
    <t>7(c)</t>
  </si>
  <si>
    <t>Propane Purification Products</t>
  </si>
  <si>
    <t>7(a)</t>
  </si>
  <si>
    <t>[j].</t>
  </si>
  <si>
    <t xml:space="preserve">The propane cleave energy calculation uses the lower rate described in assumption [i], for the separation of propane from the reaction mixture </t>
  </si>
  <si>
    <t>The propane purification uses this rate also. This is a placeholder.</t>
  </si>
  <si>
    <t>[k].</t>
  </si>
  <si>
    <t xml:space="preserve">The energy rate (kJ/kg refined naptha) takes into account the energy use in refining naptha gas. </t>
  </si>
  <si>
    <t>This process uses hydrogen. At the minute, no hydrogen is inputted into the system as the energy rate takes hydrogen use into account.</t>
  </si>
  <si>
    <t>It is also assumed here that the ratio of hexane, heptane, and octane are representative of Naptha. This needs further verification</t>
  </si>
  <si>
    <t>Tetradecane</t>
  </si>
  <si>
    <t>Tridecane</t>
  </si>
  <si>
    <t>The rate used in this energy calculation is takend from a GREET case study that shows the energy use in the entire fuel production process.</t>
  </si>
  <si>
    <t>Dodecane</t>
  </si>
  <si>
    <t>Ideally, the use of a GREET number should not be used. It is a placeholder for now.</t>
  </si>
  <si>
    <t>Undecane</t>
  </si>
  <si>
    <t>Decane</t>
  </si>
  <si>
    <t>Nonane</t>
  </si>
  <si>
    <t>Octane</t>
  </si>
  <si>
    <t>Heptane</t>
  </si>
  <si>
    <t>Hexane</t>
  </si>
  <si>
    <t>7(a)'</t>
  </si>
  <si>
    <t>Pentane</t>
  </si>
  <si>
    <t>Butane</t>
  </si>
  <si>
    <t>Assumptions [e], [g].</t>
  </si>
  <si>
    <t>Fractional Distillation</t>
  </si>
  <si>
    <t>8(b)</t>
  </si>
  <si>
    <r>
      <t>C</t>
    </r>
    <r>
      <rPr>
        <b/>
        <vertAlign val="subscript"/>
        <sz val="12"/>
        <color theme="1"/>
        <rFont val="Calibri"/>
        <family val="2"/>
        <scheme val="minor"/>
      </rPr>
      <t>9</t>
    </r>
    <r>
      <rPr>
        <b/>
        <sz val="12"/>
        <color theme="1"/>
        <rFont val="Calibri"/>
        <family val="2"/>
        <scheme val="minor"/>
      </rPr>
      <t xml:space="preserve"> - C</t>
    </r>
    <r>
      <rPr>
        <b/>
        <vertAlign val="subscript"/>
        <sz val="12"/>
        <color theme="1"/>
        <rFont val="Calibri"/>
        <family val="2"/>
        <scheme val="minor"/>
      </rPr>
      <t>18</t>
    </r>
  </si>
  <si>
    <t>8(a)</t>
  </si>
  <si>
    <r>
      <t>C</t>
    </r>
    <r>
      <rPr>
        <b/>
        <vertAlign val="subscript"/>
        <sz val="12"/>
        <color theme="1"/>
        <rFont val="Calibri"/>
        <family val="2"/>
        <scheme val="minor"/>
      </rPr>
      <t>6</t>
    </r>
    <r>
      <rPr>
        <b/>
        <sz val="12"/>
        <color theme="1"/>
        <rFont val="Calibri"/>
        <family val="2"/>
        <scheme val="minor"/>
      </rPr>
      <t xml:space="preserve"> - C</t>
    </r>
    <r>
      <rPr>
        <b/>
        <vertAlign val="subscript"/>
        <sz val="12"/>
        <color theme="1"/>
        <rFont val="Calibri"/>
        <family val="2"/>
        <scheme val="minor"/>
      </rPr>
      <t>8</t>
    </r>
  </si>
  <si>
    <t>9(a) (i)</t>
  </si>
  <si>
    <t>Assumptions [e], [k].</t>
  </si>
  <si>
    <t>Naphtha Purification</t>
  </si>
  <si>
    <t>9(a) (ii)</t>
  </si>
  <si>
    <t>9(b) (i)</t>
  </si>
  <si>
    <r>
      <t>C</t>
    </r>
    <r>
      <rPr>
        <b/>
        <vertAlign val="subscript"/>
        <sz val="12"/>
        <color theme="1"/>
        <rFont val="Calibri"/>
        <family val="2"/>
        <scheme val="minor"/>
      </rPr>
      <t>8</t>
    </r>
    <r>
      <rPr>
        <b/>
        <sz val="12"/>
        <color theme="1"/>
        <rFont val="Calibri"/>
        <family val="2"/>
        <scheme val="minor"/>
      </rPr>
      <t xml:space="preserve"> - C</t>
    </r>
    <r>
      <rPr>
        <b/>
        <vertAlign val="subscript"/>
        <sz val="12"/>
        <color theme="1"/>
        <rFont val="Calibri"/>
        <family val="2"/>
        <scheme val="minor"/>
      </rPr>
      <t>16</t>
    </r>
    <r>
      <rPr>
        <b/>
        <sz val="12"/>
        <color theme="1"/>
        <rFont val="Calibri"/>
        <family val="2"/>
        <scheme val="minor"/>
      </rPr>
      <t xml:space="preserve"> (Jet Fuel)</t>
    </r>
  </si>
  <si>
    <t>9(b) (ii)</t>
  </si>
  <si>
    <r>
      <t>C</t>
    </r>
    <r>
      <rPr>
        <b/>
        <vertAlign val="subscript"/>
        <sz val="12"/>
        <color theme="1"/>
        <rFont val="Calibri"/>
        <family val="2"/>
        <scheme val="minor"/>
      </rPr>
      <t>17</t>
    </r>
    <r>
      <rPr>
        <b/>
        <sz val="12"/>
        <color theme="1"/>
        <rFont val="Calibri"/>
        <family val="2"/>
        <scheme val="minor"/>
      </rPr>
      <t xml:space="preserve"> - C</t>
    </r>
    <r>
      <rPr>
        <b/>
        <vertAlign val="subscript"/>
        <sz val="12"/>
        <color theme="1"/>
        <rFont val="Calibri"/>
        <family val="2"/>
        <scheme val="minor"/>
      </rPr>
      <t>18</t>
    </r>
    <r>
      <rPr>
        <b/>
        <sz val="12"/>
        <color theme="1"/>
        <rFont val="Calibri"/>
        <family val="2"/>
        <scheme val="minor"/>
      </rPr>
      <t xml:space="preserve"> (Diesel)</t>
    </r>
  </si>
  <si>
    <t>9(b) (iii)</t>
  </si>
  <si>
    <t>Residual (Burn for Electricricity)</t>
  </si>
  <si>
    <t>Burning</t>
  </si>
  <si>
    <t>Reaction Mechanism</t>
  </si>
  <si>
    <t>Energy Calculations</t>
  </si>
  <si>
    <t>Triolein Mechanism:</t>
  </si>
  <si>
    <t>Trilinolein Mechanism:</t>
  </si>
  <si>
    <t>Tripalmitin Mechanism:</t>
  </si>
  <si>
    <t>Formation of fatty acids</t>
  </si>
  <si>
    <t>Electricity Emissions values for different countires (gCO2/MJ)</t>
  </si>
  <si>
    <t>SAF Energy Density</t>
  </si>
  <si>
    <t>Step 1:</t>
  </si>
  <si>
    <t>Reactants</t>
  </si>
  <si>
    <t>Products</t>
  </si>
  <si>
    <t>Step 1'':</t>
  </si>
  <si>
    <t>Step 1':</t>
  </si>
  <si>
    <t>Jatropa</t>
  </si>
  <si>
    <t>Palm</t>
  </si>
  <si>
    <t>Canola</t>
  </si>
  <si>
    <t>Soybean</t>
  </si>
  <si>
    <t>Ireland</t>
  </si>
  <si>
    <t>Capric</t>
  </si>
  <si>
    <t>C10:0</t>
  </si>
  <si>
    <t>Coal Emissions Value</t>
  </si>
  <si>
    <t>gCO2/MJ</t>
  </si>
  <si>
    <t>Moles</t>
  </si>
  <si>
    <t>Lauric</t>
  </si>
  <si>
    <t>C12:0</t>
  </si>
  <si>
    <t>NG Emissions Value</t>
  </si>
  <si>
    <t>Chemical Formula</t>
  </si>
  <si>
    <r>
      <t>C</t>
    </r>
    <r>
      <rPr>
        <vertAlign val="subscript"/>
        <sz val="11"/>
        <color theme="1"/>
        <rFont val="Calibri"/>
        <family val="2"/>
        <scheme val="minor"/>
      </rPr>
      <t>57</t>
    </r>
    <r>
      <rPr>
        <sz val="11"/>
        <color theme="1"/>
        <rFont val="Calibri"/>
        <family val="2"/>
        <scheme val="minor"/>
      </rPr>
      <t>H</t>
    </r>
    <r>
      <rPr>
        <vertAlign val="subscript"/>
        <sz val="11"/>
        <color theme="1"/>
        <rFont val="Calibri"/>
        <family val="2"/>
        <scheme val="minor"/>
      </rPr>
      <t>104</t>
    </r>
    <r>
      <rPr>
        <sz val="11"/>
        <color theme="1"/>
        <rFont val="Calibri"/>
        <family val="2"/>
        <scheme val="minor"/>
      </rPr>
      <t>O</t>
    </r>
    <r>
      <rPr>
        <vertAlign val="subscript"/>
        <sz val="11"/>
        <color theme="1"/>
        <rFont val="Calibri"/>
        <family val="2"/>
        <scheme val="minor"/>
      </rPr>
      <t>6</t>
    </r>
  </si>
  <si>
    <r>
      <t>H</t>
    </r>
    <r>
      <rPr>
        <vertAlign val="subscript"/>
        <sz val="11"/>
        <color theme="1"/>
        <rFont val="Calibri"/>
        <family val="2"/>
        <scheme val="minor"/>
      </rPr>
      <t>2</t>
    </r>
  </si>
  <si>
    <t>Total before</t>
  </si>
  <si>
    <r>
      <t>C</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8</t>
    </r>
  </si>
  <si>
    <r>
      <t>C</t>
    </r>
    <r>
      <rPr>
        <vertAlign val="subscript"/>
        <sz val="11"/>
        <color theme="1"/>
        <rFont val="Calibri"/>
        <family val="2"/>
        <scheme val="minor"/>
      </rPr>
      <t>18</t>
    </r>
    <r>
      <rPr>
        <sz val="11"/>
        <color theme="1"/>
        <rFont val="Calibri"/>
        <family val="2"/>
        <scheme val="minor"/>
      </rPr>
      <t>H</t>
    </r>
    <r>
      <rPr>
        <vertAlign val="subscript"/>
        <sz val="11"/>
        <color theme="1"/>
        <rFont val="Calibri"/>
        <family val="2"/>
        <scheme val="minor"/>
      </rPr>
      <t>34</t>
    </r>
    <r>
      <rPr>
        <sz val="11"/>
        <color theme="1"/>
        <rFont val="Calibri"/>
        <family val="2"/>
        <scheme val="minor"/>
      </rPr>
      <t>O</t>
    </r>
    <r>
      <rPr>
        <vertAlign val="subscript"/>
        <sz val="11"/>
        <color theme="1"/>
        <rFont val="Calibri"/>
        <family val="2"/>
        <scheme val="minor"/>
      </rPr>
      <t>2</t>
    </r>
  </si>
  <si>
    <t>Total after</t>
  </si>
  <si>
    <r>
      <t>C</t>
    </r>
    <r>
      <rPr>
        <vertAlign val="subscript"/>
        <sz val="11"/>
        <color theme="1"/>
        <rFont val="Calibri"/>
        <family val="2"/>
        <scheme val="minor"/>
      </rPr>
      <t>57</t>
    </r>
    <r>
      <rPr>
        <sz val="11"/>
        <color theme="1"/>
        <rFont val="Calibri"/>
        <family val="2"/>
        <scheme val="minor"/>
      </rPr>
      <t>H</t>
    </r>
    <r>
      <rPr>
        <vertAlign val="subscript"/>
        <sz val="11"/>
        <color theme="1"/>
        <rFont val="Calibri"/>
        <family val="2"/>
        <scheme val="minor"/>
      </rPr>
      <t>98</t>
    </r>
    <r>
      <rPr>
        <sz val="11"/>
        <color theme="1"/>
        <rFont val="Calibri"/>
        <family val="2"/>
        <scheme val="minor"/>
      </rPr>
      <t>O</t>
    </r>
    <r>
      <rPr>
        <vertAlign val="subscript"/>
        <sz val="11"/>
        <color theme="1"/>
        <rFont val="Calibri"/>
        <family val="2"/>
        <scheme val="minor"/>
      </rPr>
      <t>6</t>
    </r>
  </si>
  <si>
    <r>
      <t>C</t>
    </r>
    <r>
      <rPr>
        <vertAlign val="subscript"/>
        <sz val="11"/>
        <color theme="1"/>
        <rFont val="Calibri"/>
        <family val="2"/>
        <scheme val="minor"/>
      </rPr>
      <t>18</t>
    </r>
    <r>
      <rPr>
        <sz val="11"/>
        <color theme="1"/>
        <rFont val="Calibri"/>
        <family val="2"/>
        <scheme val="minor"/>
      </rPr>
      <t>H</t>
    </r>
    <r>
      <rPr>
        <vertAlign val="subscript"/>
        <sz val="11"/>
        <color theme="1"/>
        <rFont val="Calibri"/>
        <family val="2"/>
        <scheme val="minor"/>
      </rPr>
      <t>32</t>
    </r>
    <r>
      <rPr>
        <sz val="11"/>
        <color theme="1"/>
        <rFont val="Calibri"/>
        <family val="2"/>
        <scheme val="minor"/>
      </rPr>
      <t>O</t>
    </r>
    <r>
      <rPr>
        <vertAlign val="subscript"/>
        <sz val="11"/>
        <color theme="1"/>
        <rFont val="Calibri"/>
        <family val="2"/>
        <scheme val="minor"/>
      </rPr>
      <t>2</t>
    </r>
  </si>
  <si>
    <r>
      <t>C</t>
    </r>
    <r>
      <rPr>
        <vertAlign val="subscript"/>
        <sz val="11"/>
        <color theme="1"/>
        <rFont val="Calibri"/>
        <family val="2"/>
        <scheme val="minor"/>
      </rPr>
      <t>51</t>
    </r>
    <r>
      <rPr>
        <sz val="11"/>
        <color theme="1"/>
        <rFont val="Calibri"/>
        <family val="2"/>
        <scheme val="minor"/>
      </rPr>
      <t>H</t>
    </r>
    <r>
      <rPr>
        <vertAlign val="subscript"/>
        <sz val="11"/>
        <color theme="1"/>
        <rFont val="Calibri"/>
        <family val="2"/>
        <scheme val="minor"/>
      </rPr>
      <t>98</t>
    </r>
    <r>
      <rPr>
        <sz val="11"/>
        <color theme="1"/>
        <rFont val="Calibri"/>
        <family val="2"/>
        <scheme val="minor"/>
      </rPr>
      <t>O</t>
    </r>
    <r>
      <rPr>
        <vertAlign val="subscript"/>
        <sz val="11"/>
        <color theme="1"/>
        <rFont val="Calibri"/>
        <family val="2"/>
        <scheme val="minor"/>
      </rPr>
      <t>6</t>
    </r>
  </si>
  <si>
    <r>
      <t>C</t>
    </r>
    <r>
      <rPr>
        <vertAlign val="subscript"/>
        <sz val="11"/>
        <color theme="1"/>
        <rFont val="Calibri"/>
        <family val="2"/>
        <scheme val="minor"/>
      </rPr>
      <t>16</t>
    </r>
    <r>
      <rPr>
        <sz val="11"/>
        <color theme="1"/>
        <rFont val="Calibri"/>
        <family val="2"/>
        <scheme val="minor"/>
      </rPr>
      <t>H</t>
    </r>
    <r>
      <rPr>
        <vertAlign val="subscript"/>
        <sz val="11"/>
        <color theme="1"/>
        <rFont val="Calibri"/>
        <family val="2"/>
        <scheme val="minor"/>
      </rPr>
      <t>32</t>
    </r>
    <r>
      <rPr>
        <sz val="11"/>
        <color theme="1"/>
        <rFont val="Calibri"/>
        <family val="2"/>
        <scheme val="minor"/>
      </rPr>
      <t>O</t>
    </r>
    <r>
      <rPr>
        <vertAlign val="subscript"/>
        <sz val="11"/>
        <color theme="1"/>
        <rFont val="Calibri"/>
        <family val="2"/>
        <scheme val="minor"/>
      </rPr>
      <t>2</t>
    </r>
  </si>
  <si>
    <t>Mystric</t>
  </si>
  <si>
    <t>C14:0</t>
  </si>
  <si>
    <t>Oran numbers</t>
  </si>
  <si>
    <t>Petroleum Emissions Value</t>
  </si>
  <si>
    <t>#C</t>
  </si>
  <si>
    <t>https://www.icao.int/Meetings/SAFStocktaking/Documents/ICAO%20SAF%20Stocktaking%202019%20-%20AI3-1%20Laurel%20Harmon.pdf</t>
  </si>
  <si>
    <t>#H</t>
  </si>
  <si>
    <t>Palmitoleic</t>
  </si>
  <si>
    <t>C16:1</t>
  </si>
  <si>
    <t>The fuel mixture remains at 300 K, which is the temperature at which hydrogenation occurs.</t>
  </si>
  <si>
    <t>https://www.forestresearch.gov.uk/tools-and-resources/fthr/biomass-energy-resources/reference-biomass/facts-figures/carbon-emissions-of-different-fuels/</t>
  </si>
  <si>
    <t>#O</t>
  </si>
  <si>
    <t xml:space="preserve">Fractional distillation occurs in two separate stages. </t>
  </si>
  <si>
    <t>1. Life cycle analysis data from: Carbon and energy balances for a range of biofuels options Elsayed, MA, Matthews, R, Mortimer, ND. Study for DTI URN 03/836, Greenhouse gas reporting – Conversion factors 2016, and: Comparison of energy systems using life cycle assessment A special report for the World Energy Council July 2000</t>
  </si>
  <si>
    <t>Mass (g)</t>
  </si>
  <si>
    <t>fd1 is the initial seperation of C6-C8 and 9-C18. This does not need much heat, as the lighter paraffins have lower boiling points.</t>
  </si>
  <si>
    <t>ISBN 0 946121 16 8</t>
  </si>
  <si>
    <t>#Mol</t>
  </si>
  <si>
    <t>fd1 has an initial temperature of 300 K and is heated to 400 K</t>
  </si>
  <si>
    <t>Mass %</t>
  </si>
  <si>
    <t>fd2 separates the heavier components further.</t>
  </si>
  <si>
    <t>Mass  used</t>
  </si>
  <si>
    <t>Mass used</t>
  </si>
  <si>
    <t>fd2 has an initial temperature of 300K and is heated to 600K</t>
  </si>
  <si>
    <t>Emissions Factors ACTUAL Sources</t>
  </si>
  <si>
    <t>Masses (g)</t>
  </si>
  <si>
    <t>https://www.ipcc-nggip.iges.or.jp/public/2006gl/pdf/2_Volume2/V2_2_Ch2_Stationary_Combustion.pdf</t>
  </si>
  <si>
    <t>IPCC data for CO2, N20, CH4</t>
  </si>
  <si>
    <t>Oxygen</t>
  </si>
  <si>
    <t>Linolenic</t>
  </si>
  <si>
    <t>C18:3</t>
  </si>
  <si>
    <t>fd1</t>
  </si>
  <si>
    <t>Tf</t>
  </si>
  <si>
    <t>Ti</t>
  </si>
  <si>
    <t>Conversion factors: : Intergovernmental Panel on Climate Change (IPCC), Fourth Assessment
Report (AR4), 2007</t>
  </si>
  <si>
    <t>Cabon</t>
  </si>
  <si>
    <t>Arachidic</t>
  </si>
  <si>
    <t>C20:0</t>
  </si>
  <si>
    <t>fd2</t>
  </si>
  <si>
    <t>https://www.epa.gov/sites/default/files/2015-07/documents/emission-factors_2014.pdf</t>
  </si>
  <si>
    <t>Eicosenoic</t>
  </si>
  <si>
    <t>C20:1</t>
  </si>
  <si>
    <t xml:space="preserve">Heat capacites </t>
  </si>
  <si>
    <t>boiling point</t>
  </si>
  <si>
    <t>ref</t>
  </si>
  <si>
    <t>ref link</t>
  </si>
  <si>
    <t>Table 9</t>
  </si>
  <si>
    <t>Enthalpy of formation (kj/mol)</t>
  </si>
  <si>
    <t>Behenic</t>
  </si>
  <si>
    <t>C22:0</t>
  </si>
  <si>
    <t>j/mol*K</t>
  </si>
  <si>
    <t>K</t>
  </si>
  <si>
    <t>Total CO2e</t>
  </si>
  <si>
    <t>Conversions</t>
  </si>
  <si>
    <t>CO2e</t>
  </si>
  <si>
    <t>Erucic</t>
  </si>
  <si>
    <t>C22:1</t>
  </si>
  <si>
    <t>From Tiarnán estimate:</t>
  </si>
  <si>
    <t>kj/mol</t>
  </si>
  <si>
    <t>Triglyceride to carboxylic acid reaction</t>
  </si>
  <si>
    <t>Nist</t>
  </si>
  <si>
    <t>https://webbook.nist.gov/cgi/cbook.cgi?ID=C593453&amp;Units=SI&amp;Mask=FFF</t>
  </si>
  <si>
    <t>source</t>
  </si>
  <si>
    <t>From paper:</t>
  </si>
  <si>
    <t>decarboxylation</t>
  </si>
  <si>
    <t>https://webbook.nist.gov/cgi/cbook.cgi?ID=C629787&amp;Units=SI&amp;Mask=4#Thermo-Phase</t>
  </si>
  <si>
    <t>Trolein</t>
  </si>
  <si>
    <t>https://webbook.nist.gov/cgi/cbook.cgi?ID=C122327&amp;Units=SI&amp;Mask=2#Thermo-Condensed</t>
  </si>
  <si>
    <t>Modeled</t>
  </si>
  <si>
    <t>%Modeled</t>
  </si>
  <si>
    <t>decarbonylation</t>
  </si>
  <si>
    <t>https://webbook.nist.gov/cgi/cbook.cgi?ID=C544763&amp;Units=SI&amp;Mask=4#Thermo-Phase</t>
  </si>
  <si>
    <t>https://webbook.nist.gov/cgi/cbook.cgi?ID=C537406&amp;Units=SI&amp;Mask=2#Thermo-Condensed</t>
  </si>
  <si>
    <t>Energy (kJ/mol)</t>
  </si>
  <si>
    <t>hydrogenation</t>
  </si>
  <si>
    <t>https://webbook.nist.gov/cgi/cbook.cgi?ID=C629629&amp;Units=SI&amp;Mask=4#Thermo-Phase</t>
  </si>
  <si>
    <t>https://webbook.nist.gov/cgi/cbook.cgi?ID=C555442&amp;Units=SI&amp;Mask=2#Thermo-Condensed</t>
  </si>
  <si>
    <t>https://webbook.nist.gov/cgi/cbook.cgi?ID=C629594&amp;Units=SI&amp;Mask=4#Thermo-Phase</t>
  </si>
  <si>
    <t>https://webbook.nist.gov/cgi/cbook.cgi?ID=C57103&amp;Units=SI&amp;Mask=2#Thermo-Condensed</t>
  </si>
  <si>
    <t>Moles calculation:</t>
  </si>
  <si>
    <t>Molecule</t>
  </si>
  <si>
    <t>moles</t>
  </si>
  <si>
    <t>https://webbook.nist.gov/cgi/cbook.cgi?ID=C629505&amp;Units=SI&amp;Mask=4#Thermo-Phase</t>
  </si>
  <si>
    <t>https://webbook.nist.gov/cgi/cbook.cgi?ID=C112801&amp;Units=SI&amp;Mask=2#Thermo-Condensed</t>
  </si>
  <si>
    <t>Hydrogenation</t>
  </si>
  <si>
    <t>Molecules within the reaction mechanism</t>
  </si>
  <si>
    <t>https://webbook.nist.gov/cgi/cbook.cgi?ID=C112403&amp;Units=SI&amp;Mask=4#Thermo-Phase</t>
  </si>
  <si>
    <t>https://webbook.nist.gov/cgi/cbook.cgi?ID=C60333&amp;Units=SI&amp;Mask=2#Thermo-Condensed</t>
  </si>
  <si>
    <t>Step 2:</t>
  </si>
  <si>
    <t>Step 2':</t>
  </si>
  <si>
    <t>CO</t>
  </si>
  <si>
    <r>
      <t>H</t>
    </r>
    <r>
      <rPr>
        <b/>
        <vertAlign val="subscript"/>
        <sz val="11"/>
        <color theme="1"/>
        <rFont val="Calibri"/>
        <family val="2"/>
        <scheme val="minor"/>
      </rPr>
      <t>2</t>
    </r>
    <r>
      <rPr>
        <b/>
        <sz val="11"/>
        <color theme="1"/>
        <rFont val="Calibri"/>
        <family val="2"/>
        <scheme val="minor"/>
      </rPr>
      <t>O</t>
    </r>
  </si>
  <si>
    <t>https://webbook.nist.gov/cgi/cbook.cgi?ID=C1120214&amp;Units=SI&amp;Mask=4#Thermo-Phas</t>
  </si>
  <si>
    <t>https://webbook.nist.gov/cgi/cbook.cgi?ID=C57114&amp;Units=SI&amp;Mask=2#Thermo-Condensed</t>
  </si>
  <si>
    <r>
      <t>C</t>
    </r>
    <r>
      <rPr>
        <vertAlign val="subscript"/>
        <sz val="11"/>
        <rFont val="Calibri"/>
        <family val="2"/>
        <scheme val="minor"/>
      </rPr>
      <t>18</t>
    </r>
    <r>
      <rPr>
        <sz val="11"/>
        <rFont val="Calibri"/>
        <family val="2"/>
        <scheme val="minor"/>
      </rPr>
      <t>H</t>
    </r>
    <r>
      <rPr>
        <vertAlign val="subscript"/>
        <sz val="11"/>
        <rFont val="Calibri"/>
        <family val="2"/>
        <scheme val="minor"/>
      </rPr>
      <t>36</t>
    </r>
    <r>
      <rPr>
        <sz val="11"/>
        <rFont val="Calibri"/>
        <family val="2"/>
        <scheme val="minor"/>
      </rPr>
      <t>O</t>
    </r>
    <r>
      <rPr>
        <vertAlign val="subscript"/>
        <sz val="11"/>
        <rFont val="Calibri"/>
        <family val="2"/>
        <scheme val="minor"/>
      </rPr>
      <t>2</t>
    </r>
  </si>
  <si>
    <r>
      <t>CO</t>
    </r>
    <r>
      <rPr>
        <vertAlign val="subscript"/>
        <sz val="11"/>
        <color theme="1"/>
        <rFont val="Calibri"/>
        <family val="2"/>
        <scheme val="minor"/>
      </rPr>
      <t>2</t>
    </r>
  </si>
  <si>
    <r>
      <t>H</t>
    </r>
    <r>
      <rPr>
        <vertAlign val="subscript"/>
        <sz val="11"/>
        <color theme="1"/>
        <rFont val="Calibri"/>
        <family val="2"/>
        <scheme val="minor"/>
      </rPr>
      <t>2</t>
    </r>
    <r>
      <rPr>
        <sz val="11"/>
        <color theme="1"/>
        <rFont val="Calibri"/>
        <family val="2"/>
        <scheme val="minor"/>
      </rPr>
      <t>O</t>
    </r>
  </si>
  <si>
    <t>https://webbook.nist.gov/cgi/cbook.cgi?ID=C124185&amp;Units=SI&amp;Mask=4#</t>
  </si>
  <si>
    <t>https://webbook.nist.gov/cgi/cbook.cgi?ID=C593453&amp;Units=SI&amp;Mask=2#Thermo-Condensed</t>
  </si>
  <si>
    <t>Energy</t>
  </si>
  <si>
    <t>https://webbook.nist.gov/cgi/cbook.cgi?ID=C111842&amp;Units=SI&amp;Mask=4#</t>
  </si>
  <si>
    <t>https://webbook.nist.gov/cgi/cbook.cgi?ID=C6765395&amp;Units=SI&amp;Mask=8#Thermo-React</t>
  </si>
  <si>
    <t>https://webbook.nist.gov/cgi/cbook.cgi?ID=C111659&amp;Units=SI&amp;Mask=4#Thermo-Phase</t>
  </si>
  <si>
    <t>https://webbook.nist.gov/cgi/cbook.cgi?ID=C629787&amp;Units=SI&amp;Mask=2#Thermo-Condensed</t>
  </si>
  <si>
    <t>https://webbook.nist.gov/cgi/cbook.cgi?ID=C142825&amp;Units=SI&amp;Mask=4#</t>
  </si>
  <si>
    <t>https://webbook.nist.gov/cgi/cbook.cgi?ID=C112889&amp;Units=SI&amp;Mask=8#Thermo-React</t>
  </si>
  <si>
    <t>https://webbook.nist.gov/cgi/cbook.cgi?ID=C110543&amp;Units=SI&amp;Mask=4#Thermo-Phase</t>
  </si>
  <si>
    <t>https://webbook.nist.gov/cgi/cbook.cgi?ID=C544763&amp;Units=SI&amp;Mask=2#Thermo-Condensed</t>
  </si>
  <si>
    <t>https://webbook.nist.gov/cgi/cbook.cgi?ID=C109660&amp;Units=SI&amp;Mask=2#</t>
  </si>
  <si>
    <t>https://webbook.nist.gov/cgi/cbook.cgi?ID=C629629&amp;Units=SI&amp;Mask=2#Thermo-Condensed</t>
  </si>
  <si>
    <t>https://webbook.nist.gov/cgi/cbook.cgi?ID=C106978&amp;Units=SI&amp;Mask=2#Thermo-Condensed</t>
  </si>
  <si>
    <t>https://webbook.nist.gov/cgi/cbook.cgi?ID=C124389&amp;Units=SI&amp;Mask=1#Thermo-Gas</t>
  </si>
  <si>
    <t>Hydrogen stage 1</t>
  </si>
  <si>
    <t>Total energy</t>
  </si>
  <si>
    <t>kJ</t>
  </si>
  <si>
    <t>https://webbook.nist.gov/cgi/cbook.cgi?ID=C74986&amp;Mask=1</t>
  </si>
  <si>
    <t>Hydrogen stage 2</t>
  </si>
  <si>
    <t>This needs to be reassessed according to heat capacity of the molecules</t>
  </si>
  <si>
    <t>https://www.ohio.edu/mechanical/thermo/property_tables/combustion/Enth_Formation.html</t>
  </si>
  <si>
    <t>Amount of hydrogen in propane is:</t>
  </si>
  <si>
    <t>3/44*3.72KG</t>
  </si>
  <si>
    <t>Q fd1</t>
  </si>
  <si>
    <t>Q fd2</t>
  </si>
  <si>
    <t>Qfd2</t>
  </si>
  <si>
    <t>https://webbook.nist.gov/cgi/cbook.cgi?ID=C7732185&amp;Units=SI&amp;Mask=2#Thermo-Cond</t>
  </si>
  <si>
    <t>Total Hydrogen use</t>
  </si>
  <si>
    <t>Hydrocracked Oil</t>
  </si>
  <si>
    <t>Carbon</t>
  </si>
  <si>
    <t>Nitrogen</t>
  </si>
  <si>
    <t>Sulphur</t>
  </si>
  <si>
    <t>mol</t>
  </si>
  <si>
    <t>J</t>
  </si>
  <si>
    <t>kj</t>
  </si>
  <si>
    <t>https://webbook.nist.gov/cgi/cbook.cgi?ID=C630080&amp;Units=SI&amp;Mask=1#Thermo-Gas</t>
  </si>
  <si>
    <t xml:space="preserve">T initial = </t>
  </si>
  <si>
    <t>Heat capacity</t>
  </si>
  <si>
    <t>Mass</t>
  </si>
  <si>
    <t>T final =</t>
  </si>
  <si>
    <t>Kj/Kg K</t>
  </si>
  <si>
    <t>Decarboxylation</t>
  </si>
  <si>
    <t>Step 3:</t>
  </si>
  <si>
    <t>Step 3':</t>
  </si>
  <si>
    <t>Step 3'':</t>
  </si>
  <si>
    <r>
      <t>n-C</t>
    </r>
    <r>
      <rPr>
        <vertAlign val="subscript"/>
        <sz val="11"/>
        <color theme="1"/>
        <rFont val="Calibri"/>
        <family val="2"/>
        <scheme val="minor"/>
      </rPr>
      <t>17</t>
    </r>
  </si>
  <si>
    <r>
      <t>n-C</t>
    </r>
    <r>
      <rPr>
        <vertAlign val="subscript"/>
        <sz val="11"/>
        <color theme="1"/>
        <rFont val="Calibri"/>
        <family val="2"/>
        <scheme val="minor"/>
      </rPr>
      <t>15</t>
    </r>
  </si>
  <si>
    <r>
      <t>C</t>
    </r>
    <r>
      <rPr>
        <vertAlign val="subscript"/>
        <sz val="11"/>
        <rFont val="Calibri"/>
        <family val="2"/>
        <scheme val="minor"/>
      </rPr>
      <t>17</t>
    </r>
    <r>
      <rPr>
        <sz val="11"/>
        <rFont val="Calibri"/>
        <family val="2"/>
        <scheme val="minor"/>
      </rPr>
      <t>H</t>
    </r>
    <r>
      <rPr>
        <vertAlign val="subscript"/>
        <sz val="11"/>
        <rFont val="Calibri"/>
        <family val="2"/>
        <scheme val="minor"/>
      </rPr>
      <t>36</t>
    </r>
  </si>
  <si>
    <r>
      <t>C</t>
    </r>
    <r>
      <rPr>
        <vertAlign val="subscript"/>
        <sz val="11"/>
        <rFont val="Calibri"/>
        <family val="2"/>
        <scheme val="minor"/>
      </rPr>
      <t>17</t>
    </r>
    <r>
      <rPr>
        <sz val="11"/>
        <rFont val="Calibri"/>
        <family val="2"/>
        <scheme val="minor"/>
      </rPr>
      <t>H</t>
    </r>
    <r>
      <rPr>
        <vertAlign val="subscript"/>
        <sz val="11"/>
        <rFont val="Calibri"/>
        <family val="2"/>
        <scheme val="minor"/>
      </rPr>
      <t>34</t>
    </r>
  </si>
  <si>
    <r>
      <t>C</t>
    </r>
    <r>
      <rPr>
        <vertAlign val="subscript"/>
        <sz val="11"/>
        <rFont val="Calibri"/>
        <family val="2"/>
        <scheme val="minor"/>
      </rPr>
      <t>15</t>
    </r>
    <r>
      <rPr>
        <sz val="11"/>
        <rFont val="Calibri"/>
        <family val="2"/>
        <scheme val="minor"/>
      </rPr>
      <t>H</t>
    </r>
    <r>
      <rPr>
        <vertAlign val="subscript"/>
        <sz val="11"/>
        <rFont val="Calibri"/>
        <family val="2"/>
        <scheme val="minor"/>
      </rPr>
      <t>32</t>
    </r>
  </si>
  <si>
    <t>rate of energy use</t>
  </si>
  <si>
    <t xml:space="preserve">MJ/kg CO2  </t>
  </si>
  <si>
    <t>MJ/kg other gases</t>
  </si>
  <si>
    <t>Energy CO2</t>
  </si>
  <si>
    <t>Energy others</t>
  </si>
  <si>
    <t>Deoxygenation/Decarbonisation/Hydrodeoxygenation Product</t>
  </si>
  <si>
    <t>assumed that purified first then warmed up and retained at 400 deg C then cracked</t>
  </si>
  <si>
    <t xml:space="preserve"> Second Hydrocracking</t>
  </si>
  <si>
    <t>T change</t>
  </si>
  <si>
    <t>kg Naptha/1.5kj</t>
  </si>
  <si>
    <t>Decarbonylation</t>
  </si>
  <si>
    <t>1kg Naphta</t>
  </si>
  <si>
    <t>E used in Purification</t>
  </si>
  <si>
    <t>Energy given as heat (J)</t>
  </si>
  <si>
    <t>Step 4:</t>
  </si>
  <si>
    <t>Step 4':</t>
  </si>
  <si>
    <t>Step 4'':</t>
  </si>
  <si>
    <t xml:space="preserve">octane heptane and hexane make up naphta </t>
  </si>
  <si>
    <t>naptha is refined and reformed</t>
  </si>
  <si>
    <t>energy used:</t>
  </si>
  <si>
    <t>E tot (kJ)</t>
  </si>
  <si>
    <t>Hydrodeoxygenation</t>
  </si>
  <si>
    <t>Step 5:</t>
  </si>
  <si>
    <t>Step 5':</t>
  </si>
  <si>
    <t>Step 5'':</t>
  </si>
  <si>
    <r>
      <t>n-C</t>
    </r>
    <r>
      <rPr>
        <vertAlign val="subscript"/>
        <sz val="11"/>
        <color theme="1"/>
        <rFont val="Calibri"/>
        <family val="2"/>
        <scheme val="minor"/>
      </rPr>
      <t>18</t>
    </r>
  </si>
  <si>
    <r>
      <t>n-C</t>
    </r>
    <r>
      <rPr>
        <vertAlign val="subscript"/>
        <sz val="11"/>
        <color theme="1"/>
        <rFont val="Calibri"/>
        <family val="2"/>
        <scheme val="minor"/>
      </rPr>
      <t>16</t>
    </r>
  </si>
  <si>
    <r>
      <t>C</t>
    </r>
    <r>
      <rPr>
        <vertAlign val="subscript"/>
        <sz val="11"/>
        <rFont val="Calibri"/>
        <family val="2"/>
        <scheme val="minor"/>
      </rPr>
      <t>18</t>
    </r>
    <r>
      <rPr>
        <sz val="11"/>
        <rFont val="Calibri"/>
        <family val="2"/>
        <scheme val="minor"/>
      </rPr>
      <t>H</t>
    </r>
    <r>
      <rPr>
        <vertAlign val="subscript"/>
        <sz val="11"/>
        <rFont val="Calibri"/>
        <family val="2"/>
        <scheme val="minor"/>
      </rPr>
      <t>38</t>
    </r>
  </si>
  <si>
    <r>
      <t>C</t>
    </r>
    <r>
      <rPr>
        <vertAlign val="subscript"/>
        <sz val="11"/>
        <rFont val="Calibri"/>
        <family val="2"/>
        <scheme val="minor"/>
      </rPr>
      <t>18</t>
    </r>
    <r>
      <rPr>
        <sz val="11"/>
        <rFont val="Calibri"/>
        <family val="2"/>
        <scheme val="minor"/>
      </rPr>
      <t>H</t>
    </r>
    <r>
      <rPr>
        <vertAlign val="subscript"/>
        <sz val="11"/>
        <rFont val="Calibri"/>
        <family val="2"/>
        <scheme val="minor"/>
      </rPr>
      <t>36</t>
    </r>
  </si>
  <si>
    <r>
      <t>C</t>
    </r>
    <r>
      <rPr>
        <vertAlign val="subscript"/>
        <sz val="11"/>
        <rFont val="Calibri"/>
        <family val="2"/>
        <scheme val="minor"/>
      </rPr>
      <t>16</t>
    </r>
    <r>
      <rPr>
        <sz val="11"/>
        <rFont val="Calibri"/>
        <family val="2"/>
        <scheme val="minor"/>
      </rPr>
      <t>H</t>
    </r>
    <r>
      <rPr>
        <vertAlign val="subscript"/>
        <sz val="11"/>
        <rFont val="Calibri"/>
        <family val="2"/>
        <scheme val="minor"/>
      </rPr>
      <t>34</t>
    </r>
  </si>
  <si>
    <t>Propane purification</t>
  </si>
  <si>
    <r>
      <t>C</t>
    </r>
    <r>
      <rPr>
        <vertAlign val="subscript"/>
        <sz val="11"/>
        <color theme="1"/>
        <rFont val="Calibri"/>
        <family val="2"/>
        <scheme val="minor"/>
      </rPr>
      <t>14</t>
    </r>
    <r>
      <rPr>
        <sz val="11"/>
        <color theme="1"/>
        <rFont val="Calibri"/>
        <family val="2"/>
        <scheme val="minor"/>
      </rPr>
      <t>H</t>
    </r>
    <r>
      <rPr>
        <vertAlign val="subscript"/>
        <sz val="11"/>
        <color theme="1"/>
        <rFont val="Calibri"/>
        <family val="2"/>
        <scheme val="minor"/>
      </rPr>
      <t>30</t>
    </r>
  </si>
  <si>
    <r>
      <t>C</t>
    </r>
    <r>
      <rPr>
        <vertAlign val="subscript"/>
        <sz val="11"/>
        <color theme="1"/>
        <rFont val="Calibri"/>
        <family val="2"/>
        <scheme val="minor"/>
      </rPr>
      <t>13</t>
    </r>
    <r>
      <rPr>
        <sz val="11"/>
        <color theme="1"/>
        <rFont val="Calibri"/>
        <family val="2"/>
        <scheme val="minor"/>
      </rPr>
      <t>H</t>
    </r>
    <r>
      <rPr>
        <vertAlign val="subscript"/>
        <sz val="11"/>
        <color theme="1"/>
        <rFont val="Calibri"/>
        <family val="2"/>
        <scheme val="minor"/>
      </rPr>
      <t>28</t>
    </r>
  </si>
  <si>
    <r>
      <t>C</t>
    </r>
    <r>
      <rPr>
        <vertAlign val="subscript"/>
        <sz val="11"/>
        <color theme="1"/>
        <rFont val="Calibri"/>
        <family val="2"/>
        <scheme val="minor"/>
      </rPr>
      <t>12</t>
    </r>
    <r>
      <rPr>
        <sz val="11"/>
        <color theme="1"/>
        <rFont val="Calibri"/>
        <family val="2"/>
        <scheme val="minor"/>
      </rPr>
      <t>H</t>
    </r>
    <r>
      <rPr>
        <vertAlign val="subscript"/>
        <sz val="11"/>
        <color theme="1"/>
        <rFont val="Calibri"/>
        <family val="2"/>
        <scheme val="minor"/>
      </rPr>
      <t>26</t>
    </r>
  </si>
  <si>
    <r>
      <t>C</t>
    </r>
    <r>
      <rPr>
        <vertAlign val="subscript"/>
        <sz val="11"/>
        <color theme="1"/>
        <rFont val="Calibri"/>
        <family val="2"/>
        <scheme val="minor"/>
      </rPr>
      <t>11</t>
    </r>
    <r>
      <rPr>
        <sz val="11"/>
        <color theme="1"/>
        <rFont val="Calibri"/>
        <family val="2"/>
        <scheme val="minor"/>
      </rPr>
      <t>H</t>
    </r>
    <r>
      <rPr>
        <vertAlign val="subscript"/>
        <sz val="11"/>
        <color theme="1"/>
        <rFont val="Calibri"/>
        <family val="2"/>
        <scheme val="minor"/>
      </rPr>
      <t>24</t>
    </r>
  </si>
  <si>
    <r>
      <t>C</t>
    </r>
    <r>
      <rPr>
        <vertAlign val="subscript"/>
        <sz val="11"/>
        <color theme="1"/>
        <rFont val="Calibri"/>
        <family val="2"/>
        <scheme val="minor"/>
      </rPr>
      <t>10</t>
    </r>
    <r>
      <rPr>
        <sz val="11"/>
        <color theme="1"/>
        <rFont val="Calibri"/>
        <family val="2"/>
        <scheme val="minor"/>
      </rPr>
      <t>H</t>
    </r>
    <r>
      <rPr>
        <vertAlign val="subscript"/>
        <sz val="11"/>
        <color theme="1"/>
        <rFont val="Calibri"/>
        <family val="2"/>
        <scheme val="minor"/>
      </rPr>
      <t>22</t>
    </r>
  </si>
  <si>
    <r>
      <t>C</t>
    </r>
    <r>
      <rPr>
        <vertAlign val="subscript"/>
        <sz val="11"/>
        <color theme="1"/>
        <rFont val="Calibri"/>
        <family val="2"/>
        <scheme val="minor"/>
      </rPr>
      <t>9</t>
    </r>
    <r>
      <rPr>
        <sz val="11"/>
        <color theme="1"/>
        <rFont val="Calibri"/>
        <family val="2"/>
        <scheme val="minor"/>
      </rPr>
      <t>H</t>
    </r>
    <r>
      <rPr>
        <vertAlign val="subscript"/>
        <sz val="11"/>
        <color theme="1"/>
        <rFont val="Calibri"/>
        <family val="2"/>
        <scheme val="minor"/>
      </rPr>
      <t>20</t>
    </r>
  </si>
  <si>
    <r>
      <t>C</t>
    </r>
    <r>
      <rPr>
        <vertAlign val="subscript"/>
        <sz val="11"/>
        <color theme="1"/>
        <rFont val="Calibri"/>
        <family val="2"/>
        <scheme val="minor"/>
      </rPr>
      <t>8</t>
    </r>
    <r>
      <rPr>
        <sz val="11"/>
        <color theme="1"/>
        <rFont val="Calibri"/>
        <family val="2"/>
        <scheme val="minor"/>
      </rPr>
      <t>H</t>
    </r>
    <r>
      <rPr>
        <vertAlign val="subscript"/>
        <sz val="11"/>
        <color theme="1"/>
        <rFont val="Calibri"/>
        <family val="2"/>
        <scheme val="minor"/>
      </rPr>
      <t>18</t>
    </r>
  </si>
  <si>
    <r>
      <t>C</t>
    </r>
    <r>
      <rPr>
        <vertAlign val="subscript"/>
        <sz val="11"/>
        <color theme="1"/>
        <rFont val="Calibri"/>
        <family val="2"/>
        <scheme val="minor"/>
      </rPr>
      <t>7</t>
    </r>
    <r>
      <rPr>
        <sz val="11"/>
        <color theme="1"/>
        <rFont val="Calibri"/>
        <family val="2"/>
        <scheme val="minor"/>
      </rPr>
      <t>H</t>
    </r>
    <r>
      <rPr>
        <vertAlign val="subscript"/>
        <sz val="11"/>
        <color theme="1"/>
        <rFont val="Calibri"/>
        <family val="2"/>
        <scheme val="minor"/>
      </rPr>
      <t>16</t>
    </r>
  </si>
  <si>
    <r>
      <t>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14</t>
    </r>
  </si>
  <si>
    <r>
      <t>C</t>
    </r>
    <r>
      <rPr>
        <vertAlign val="subscript"/>
        <sz val="11"/>
        <color theme="1"/>
        <rFont val="Calibri"/>
        <family val="2"/>
        <scheme val="minor"/>
      </rPr>
      <t>5</t>
    </r>
    <r>
      <rPr>
        <sz val="11"/>
        <color theme="1"/>
        <rFont val="Calibri"/>
        <family val="2"/>
        <scheme val="minor"/>
      </rPr>
      <t>H</t>
    </r>
    <r>
      <rPr>
        <vertAlign val="subscript"/>
        <sz val="11"/>
        <color theme="1"/>
        <rFont val="Calibri"/>
        <family val="2"/>
        <scheme val="minor"/>
      </rPr>
      <t>12</t>
    </r>
  </si>
  <si>
    <r>
      <t>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10</t>
    </r>
  </si>
  <si>
    <t>Total Enthalpy (kJ)</t>
  </si>
  <si>
    <t>Total M</t>
  </si>
  <si>
    <t>C9-C18</t>
  </si>
  <si>
    <t>J. Heyne et al. Fuel Effects on Operability of Aircraft Gas Turbine Combustors, CHAPTER XII Prescreening of Sustainable Aviation Jet Fuels. The American Institute of Aeronautics and Astronautics, Inc. (2021)/</t>
  </si>
  <si>
    <t>Resisual</t>
  </si>
  <si>
    <t>LM assumptions</t>
  </si>
  <si>
    <t>3.1 Inspired</t>
  </si>
  <si>
    <t>Molecules</t>
  </si>
  <si>
    <t>n-alkane mass %</t>
  </si>
  <si>
    <t>Total Masses</t>
  </si>
  <si>
    <t xml:space="preserve">3.1 Inspired </t>
  </si>
  <si>
    <t>Mass with H</t>
  </si>
  <si>
    <t>before</t>
  </si>
  <si>
    <t>after</t>
  </si>
  <si>
    <t>mass fraction</t>
  </si>
  <si>
    <t>mass</t>
  </si>
  <si>
    <t>n-18</t>
  </si>
  <si>
    <t>n-17</t>
  </si>
  <si>
    <t>n-10</t>
  </si>
  <si>
    <t>n-16</t>
  </si>
  <si>
    <t>n-8</t>
  </si>
  <si>
    <t>n-15</t>
  </si>
  <si>
    <t>n-14</t>
  </si>
  <si>
    <t>n-11</t>
  </si>
  <si>
    <t>n-13</t>
  </si>
  <si>
    <t>n-4</t>
  </si>
  <si>
    <t>n-6</t>
  </si>
  <si>
    <t>n-12</t>
  </si>
  <si>
    <t>n-7</t>
  </si>
  <si>
    <t>n-9</t>
  </si>
  <si>
    <t>n-5</t>
  </si>
  <si>
    <t>Mass that goes into jet fuel</t>
  </si>
  <si>
    <t>n-paraffins</t>
  </si>
  <si>
    <t>mass % in paper</t>
  </si>
  <si>
    <t>Total not including hydrogen use</t>
  </si>
  <si>
    <t>#cracks</t>
  </si>
  <si>
    <t>#H needed per crack</t>
  </si>
  <si>
    <t>#moles before</t>
  </si>
  <si>
    <t>total moles</t>
  </si>
  <si>
    <t>total molecules</t>
  </si>
  <si>
    <t>molecules of H used</t>
  </si>
  <si>
    <t>moles of H</t>
  </si>
  <si>
    <t>mass of H</t>
  </si>
  <si>
    <t>Label</t>
  </si>
  <si>
    <t>Assumption</t>
  </si>
  <si>
    <t>Yield (Mass of SAF output to feedstock input)</t>
  </si>
  <si>
    <t>100% SAF</t>
  </si>
  <si>
    <t>40% SAF, 60% Jet-A</t>
  </si>
  <si>
    <t>100% Jet-A</t>
  </si>
  <si>
    <t>TCD USA</t>
  </si>
  <si>
    <t>TCD Indonesia</t>
  </si>
  <si>
    <t>TCD Germany</t>
  </si>
  <si>
    <t>Total GHG Emissions per RPK for Varying SAF Blends</t>
  </si>
  <si>
    <r>
      <t>gCO</t>
    </r>
    <r>
      <rPr>
        <b/>
        <vertAlign val="subscript"/>
        <sz val="11"/>
        <color rgb="FF000000"/>
        <rFont val="Calibri"/>
        <family val="2"/>
      </rPr>
      <t>2</t>
    </r>
    <r>
      <rPr>
        <b/>
        <sz val="11"/>
        <color rgb="FF000000"/>
        <rFont val="Calibri"/>
        <family val="2"/>
      </rPr>
      <t>e/MJ</t>
    </r>
  </si>
  <si>
    <t>TCD China</t>
  </si>
  <si>
    <r>
      <t>gCO</t>
    </r>
    <r>
      <rPr>
        <vertAlign val="subscript"/>
        <sz val="11"/>
        <rFont val="Calibri"/>
        <family val="2"/>
      </rPr>
      <t>2</t>
    </r>
    <r>
      <rPr>
        <sz val="11"/>
        <rFont val="Calibri"/>
        <family val="2"/>
      </rPr>
      <t>e/MJ</t>
    </r>
  </si>
  <si>
    <t>Airport Fishbone</t>
  </si>
  <si>
    <r>
      <t>gCO</t>
    </r>
    <r>
      <rPr>
        <vertAlign val="subscript"/>
        <sz val="11"/>
        <color rgb="FF000000"/>
        <rFont val="Calibri"/>
        <family val="2"/>
      </rPr>
      <t>2</t>
    </r>
    <r>
      <rPr>
        <sz val="11"/>
        <color rgb="FF000000"/>
        <rFont val="Calibri"/>
        <family val="2"/>
      </rPr>
      <t>e/MJ</t>
    </r>
  </si>
  <si>
    <t>Fuel Production Fishbone</t>
  </si>
  <si>
    <t xml:space="preserve">Total </t>
  </si>
  <si>
    <t>Feedstock Fishbone</t>
  </si>
  <si>
    <t>Total Embodied SAF GHG Emissions</t>
  </si>
  <si>
    <t>Neste China</t>
  </si>
  <si>
    <t>TCD China best case scenario</t>
  </si>
  <si>
    <t xml:space="preserve">Energy Co-product allocation </t>
  </si>
  <si>
    <t>Default TCD Parameters</t>
  </si>
  <si>
    <t>GHGenius</t>
  </si>
  <si>
    <t>GREET</t>
  </si>
  <si>
    <t>De Jong</t>
  </si>
  <si>
    <t>UOP</t>
  </si>
  <si>
    <t>N/A</t>
  </si>
  <si>
    <t>GREET and E3db</t>
  </si>
  <si>
    <t>Neste</t>
  </si>
  <si>
    <t>Complete LCA</t>
  </si>
  <si>
    <t>Mass Based Allocation</t>
  </si>
  <si>
    <t>Energy Based Allocation</t>
  </si>
  <si>
    <t>Full Production Emissions</t>
  </si>
  <si>
    <t>[27]</t>
  </si>
  <si>
    <t>UCO prodcution emissions</t>
  </si>
  <si>
    <t>MN CAN</t>
  </si>
  <si>
    <t>X</t>
  </si>
  <si>
    <t>Fish oil</t>
  </si>
  <si>
    <t>SBE oil</t>
  </si>
  <si>
    <t>Forest</t>
  </si>
  <si>
    <t>GHGenuis</t>
  </si>
  <si>
    <t>Palm sludge oil</t>
  </si>
  <si>
    <t xml:space="preserve">Forest </t>
  </si>
  <si>
    <t>*</t>
  </si>
  <si>
    <t>Tallow</t>
  </si>
  <si>
    <t>[32]</t>
  </si>
  <si>
    <t>ND USA</t>
  </si>
  <si>
    <t>Cropland</t>
  </si>
  <si>
    <t>EPIC and AFTOT</t>
  </si>
  <si>
    <t>Displacement</t>
  </si>
  <si>
    <t>Rapeseed</t>
  </si>
  <si>
    <t>[31]</t>
  </si>
  <si>
    <t>ND/SD USA</t>
  </si>
  <si>
    <t>Carinata</t>
  </si>
  <si>
    <t>soybean</t>
  </si>
  <si>
    <t>Corn Oil</t>
  </si>
  <si>
    <t>[29]</t>
  </si>
  <si>
    <t>Global Average</t>
  </si>
  <si>
    <t>Algae</t>
  </si>
  <si>
    <t>[23]</t>
  </si>
  <si>
    <t>Grassland</t>
  </si>
  <si>
    <t>Camelina</t>
  </si>
  <si>
    <t>EUR</t>
  </si>
  <si>
    <t>Jatropha</t>
  </si>
  <si>
    <t>[30]</t>
  </si>
  <si>
    <t>Total emissions of flight per RPK</t>
  </si>
  <si>
    <t>Kilometers travelled</t>
  </si>
  <si>
    <t>camelina</t>
  </si>
  <si>
    <t>HEFA feedstocks</t>
  </si>
  <si>
    <t>[28]</t>
  </si>
  <si>
    <t>SK CAN</t>
  </si>
  <si>
    <t>SimaPro</t>
  </si>
  <si>
    <t>Total emissions of flight</t>
  </si>
  <si>
    <t>STJ</t>
  </si>
  <si>
    <t>MJ of SAF combusted during flight</t>
  </si>
  <si>
    <t>ETJ</t>
  </si>
  <si>
    <t>MT USA</t>
  </si>
  <si>
    <t>Quantity of SAF combusted during flight</t>
  </si>
  <si>
    <t>[26]</t>
  </si>
  <si>
    <t>Own</t>
  </si>
  <si>
    <t>Total embodied emissions in SAF</t>
  </si>
  <si>
    <t>FT</t>
  </si>
  <si>
    <r>
      <t>[</t>
    </r>
    <r>
      <rPr>
        <sz val="9"/>
        <color theme="1"/>
        <rFont val="Calibri"/>
        <family val="2"/>
      </rPr>
      <t>15]</t>
    </r>
  </si>
  <si>
    <t>rapeseed</t>
  </si>
  <si>
    <t>Total GHG Emissions per RPK for 100% SAF Blend</t>
  </si>
  <si>
    <t>TCD China best case Scenaro</t>
  </si>
  <si>
    <t>Default</t>
  </si>
  <si>
    <t>Jet Fuel Pathways</t>
  </si>
  <si>
    <t>Forestland</t>
  </si>
  <si>
    <t>GaBi</t>
  </si>
  <si>
    <t>Canada</t>
  </si>
  <si>
    <t>Default Region</t>
  </si>
  <si>
    <t>Latest Release</t>
  </si>
  <si>
    <t>Co-funded by the Intelligent Energy Europe Programme of the European Union</t>
  </si>
  <si>
    <t>internally funded</t>
  </si>
  <si>
    <t>US government funding</t>
  </si>
  <si>
    <t>Funding</t>
  </si>
  <si>
    <t>Volunteer based</t>
  </si>
  <si>
    <r>
      <t>(S&amp;T)</t>
    </r>
    <r>
      <rPr>
        <vertAlign val="superscript"/>
        <sz val="9"/>
        <color theme="1"/>
        <rFont val="Times New Roman"/>
        <family val="1"/>
      </rPr>
      <t>2</t>
    </r>
    <r>
      <rPr>
        <sz val="9"/>
        <color theme="1"/>
        <rFont val="Times New Roman"/>
        <family val="1"/>
      </rPr>
      <t xml:space="preserve"> </t>
    </r>
  </si>
  <si>
    <t>Argonne National Lab</t>
  </si>
  <si>
    <t>Developer</t>
  </si>
  <si>
    <t>BioGrace</t>
  </si>
  <si>
    <t>LCA Tool</t>
  </si>
  <si>
    <t>Location</t>
  </si>
  <si>
    <t>HEFA product</t>
  </si>
  <si>
    <t>Refining technology</t>
  </si>
  <si>
    <t>LUC inclusion</t>
  </si>
  <si>
    <t>Co-product allocation method</t>
  </si>
  <si>
    <t>Feedstock</t>
  </si>
  <si>
    <t>LCA GHG emissions (gCO2e/MJ)</t>
  </si>
  <si>
    <t>Case</t>
  </si>
  <si>
    <t>Residual oil</t>
  </si>
  <si>
    <t>biodiesel</t>
  </si>
  <si>
    <t>Mass allocation</t>
  </si>
  <si>
    <t>Energy allocation</t>
  </si>
  <si>
    <t>LHV</t>
  </si>
  <si>
    <t>Emissions</t>
  </si>
  <si>
    <t>Energy alocation</t>
  </si>
  <si>
    <t>https://www.engineeringtoolbox.com/fuels-higher-calorific-values-d_169.html</t>
  </si>
  <si>
    <t>Bar6</t>
  </si>
  <si>
    <t>Bar5</t>
  </si>
  <si>
    <t>Bar4</t>
  </si>
  <si>
    <t>Bar3</t>
  </si>
  <si>
    <t>Bar2</t>
  </si>
  <si>
    <t>Bar1</t>
  </si>
  <si>
    <t>Bar0</t>
  </si>
  <si>
    <t>RED I</t>
  </si>
  <si>
    <t>De Jong 2017</t>
  </si>
  <si>
    <t>BioGrace 4d</t>
  </si>
  <si>
    <t>GHGenius 5.01g</t>
  </si>
  <si>
    <t>hydrogen</t>
  </si>
  <si>
    <t>GREET 2022</t>
  </si>
  <si>
    <t>pre processing</t>
  </si>
  <si>
    <t>Method</t>
  </si>
  <si>
    <t>fuel transpotation</t>
  </si>
  <si>
    <t>pre processing + conversion</t>
  </si>
  <si>
    <t>feedstock transportation</t>
  </si>
  <si>
    <t>cultivation and collection</t>
  </si>
  <si>
    <t>de jong</t>
  </si>
  <si>
    <t>Corsia</t>
  </si>
  <si>
    <t>C-9</t>
  </si>
  <si>
    <t>C-10</t>
  </si>
  <si>
    <t>C-11</t>
  </si>
  <si>
    <t>C-12</t>
  </si>
  <si>
    <t>C-13</t>
  </si>
  <si>
    <t xml:space="preserve">Ryanair 2030 Goal gCO2e/RPK </t>
  </si>
  <si>
    <t>C-14</t>
  </si>
  <si>
    <t>RPK</t>
  </si>
  <si>
    <t>gCO2e/RPK (Blend)</t>
  </si>
  <si>
    <t>Jet-A GHG gCO2e</t>
  </si>
  <si>
    <t>C-15</t>
  </si>
  <si>
    <t>Jet-A GHG fuel burned (gCO2e/kg)</t>
  </si>
  <si>
    <t>CORSIA UCO</t>
  </si>
  <si>
    <t>C-16</t>
  </si>
  <si>
    <t>gCO2e/RPK (Jet-A only)</t>
  </si>
  <si>
    <t>Jet-A  GHG Emissions gCO2e/MJ</t>
  </si>
  <si>
    <t>Ideal Jet-A</t>
  </si>
  <si>
    <t>LM Mass Flow</t>
  </si>
  <si>
    <t>SAF GHG gCO2e</t>
  </si>
  <si>
    <t>gCO2e/RPK (SAF only)</t>
  </si>
  <si>
    <t>SAF GHG fuel burned (gCO2e/kg)</t>
  </si>
  <si>
    <t>Results</t>
  </si>
  <si>
    <t>Final SAF GHG Emissions (gCO2e/MJ)</t>
  </si>
  <si>
    <t>Production emissions for UCO</t>
  </si>
  <si>
    <t>Blend fraction</t>
  </si>
  <si>
    <t>Fuels</t>
  </si>
  <si>
    <t># passengers</t>
  </si>
  <si>
    <t>load factor</t>
  </si>
  <si>
    <t>Feedstock Emissions (gCO2e/MJ)</t>
  </si>
  <si>
    <t>km travelled</t>
  </si>
  <si>
    <t>Airport Emissions (gCO2e/MJ)</t>
  </si>
  <si>
    <t>kg of fuel burned</t>
  </si>
  <si>
    <t>Production Emissions (gCO2e/MJ)</t>
  </si>
  <si>
    <t>Aircraft Parameters</t>
  </si>
  <si>
    <t>LCA Emissions</t>
  </si>
  <si>
    <t>Initial Calculation - OUTDATED</t>
  </si>
  <si>
    <t>Current Calculation</t>
  </si>
  <si>
    <t>[E.1]</t>
  </si>
  <si>
    <t>[E.2]</t>
  </si>
  <si>
    <t>[E.3]</t>
  </si>
  <si>
    <t>[E.4]</t>
  </si>
  <si>
    <t>[E.5]</t>
  </si>
  <si>
    <t>[E.6]</t>
  </si>
  <si>
    <t>Assumed to replicate a heating bill, such as total energy used in  heating a tanker of the triglycerides for a period of time.</t>
  </si>
  <si>
    <t>Uses absorbants for CCS.</t>
  </si>
  <si>
    <t>Other gases uses lower energy rate.</t>
  </si>
  <si>
    <t>CO2 uses higher energy rate with absorbants.</t>
  </si>
  <si>
    <t>% alkenes</t>
  </si>
  <si>
    <t>N. Morad, A.A. Kamal, P. Freddie, T.W. Yew, Liquid specific heat capacity estimation for fatty acids, triacylglycerols, and vegetable oils based on their fatty acid composition, JAOCS, Journal of the American Oil Chemists' Society, 77 (2000) 1001-1005.</t>
  </si>
  <si>
    <t>X. Zhu, D.M. Phinney, S. Paluri, D.R. Heldman, Prediction of Liquid Specific Heat Capacity of Food Lipids, Journal of Food Science, 83 (2018) 992-997.</t>
  </si>
  <si>
    <t>[E.7]</t>
  </si>
  <si>
    <t>Energy use</t>
  </si>
  <si>
    <t>mass (kg)</t>
  </si>
  <si>
    <t>[E.8]</t>
  </si>
  <si>
    <t>Nist Webbook</t>
  </si>
  <si>
    <t>Propane (unknowns)</t>
  </si>
  <si>
    <t>[E.9]</t>
  </si>
  <si>
    <t>Pumping Calculation Data</t>
  </si>
  <si>
    <t>Absolute pressure at fluid surface</t>
  </si>
  <si>
    <t>Feedstock collection reservoir</t>
  </si>
  <si>
    <t>Storage tank</t>
  </si>
  <si>
    <t>Tanker ship fluid storage</t>
  </si>
  <si>
    <t>Blending facility</t>
  </si>
  <si>
    <t>Refinery</t>
  </si>
  <si>
    <t>Vertical fluid velocity at surface</t>
  </si>
  <si>
    <t>Kinetic energy correction factor</t>
  </si>
  <si>
    <t>Absolute elevation of fluid surface</t>
  </si>
  <si>
    <t>Fluid transport truck</t>
  </si>
  <si>
    <t>Grand total (kJ)</t>
  </si>
  <si>
    <t>Hydrogen %</t>
  </si>
  <si>
    <t>1/Mass (g)</t>
  </si>
  <si>
    <t>Average H (liquid products)</t>
  </si>
  <si>
    <t>Average 1/Mass(g) (liquid products)</t>
  </si>
  <si>
    <t>(Products 6-14)</t>
  </si>
  <si>
    <t>Checking maths:</t>
  </si>
  <si>
    <t>Hydrogen Input</t>
  </si>
  <si>
    <t>Spare Hydrigen</t>
  </si>
  <si>
    <t>Hydrogen Calculations</t>
  </si>
  <si>
    <t>this was not used in the final energy calculations</t>
  </si>
  <si>
    <t>% Mass</t>
  </si>
  <si>
    <t>Hydrogen use Calculations</t>
  </si>
  <si>
    <t>molecule</t>
  </si>
  <si>
    <t>n-parafins</t>
  </si>
  <si>
    <t>Data from above graph [3.1]</t>
  </si>
  <si>
    <t>Elemental Composition Calculations - needs updating</t>
  </si>
  <si>
    <t>Piping Loss Factors</t>
  </si>
  <si>
    <t>Loss factor</t>
  </si>
  <si>
    <t>Entrance</t>
  </si>
  <si>
    <t>Valve</t>
  </si>
  <si>
    <t>Elbow</t>
  </si>
  <si>
    <t>Exit</t>
  </si>
  <si>
    <t>This sheet holds the user inputs and calculated GHG emissions associated with activity within the Fuel Production Fishbone system boundary.</t>
  </si>
  <si>
    <t>The order of this sheet follows the logical order of activity experienced by the feedstock to fuel conversion.</t>
  </si>
  <si>
    <t>What is the system boundary of the Fuel Production Fishbone?</t>
  </si>
  <si>
    <t>The system boundary includes all activity required for the production of fuel, starting at delivered feedstock to the fuel production at the fuel production facility, and ending with the finished fuel at the fuel production facility</t>
  </si>
  <si>
    <t>Fishbone diagram of Fuel Production stage of LCA</t>
  </si>
  <si>
    <t>Feedstock Production</t>
  </si>
  <si>
    <t>Not considered</t>
  </si>
  <si>
    <t>Vegetable Oil Triglyceride Composition:</t>
  </si>
  <si>
    <t>wt%</t>
  </si>
  <si>
    <t>Vegetable Oil Molecular Composition:</t>
  </si>
  <si>
    <t>General</t>
  </si>
  <si>
    <t>Total mass of initial feedstock</t>
  </si>
  <si>
    <t>Enegy use:</t>
  </si>
  <si>
    <t>Carbon Offsetting and Reduction Scheme for International Aviation</t>
  </si>
  <si>
    <t>This sheet contains all of the data and references that are used for calculation throughout the calculator.</t>
  </si>
  <si>
    <t>The data and references are grouped into relevant categories.</t>
  </si>
  <si>
    <t>In some cases where an assumption is made for instead of a reference, it is labelled as A[x].</t>
  </si>
  <si>
    <t>Data &amp; References</t>
  </si>
  <si>
    <t>This sheet contains all of the assumptions made for data and calculations throughout the calculator.</t>
  </si>
  <si>
    <t>Assumptions made are labelled A[x] and assumptions made for the pumping systems are labelled as AP[x].</t>
  </si>
  <si>
    <t>Finland Electricity GHG intensity</t>
  </si>
  <si>
    <t>Energy Breakdown:</t>
  </si>
  <si>
    <t>Process:</t>
  </si>
  <si>
    <t>Constants:</t>
  </si>
  <si>
    <t>Energy (MJ) /  100kg UCO</t>
  </si>
  <si>
    <t>Energy (kJ) /  100kg UCO</t>
  </si>
  <si>
    <t>Fractional Distillation 1</t>
  </si>
  <si>
    <t>Fractional Distillation 2</t>
  </si>
  <si>
    <t>Energy per kg gas removed</t>
  </si>
  <si>
    <t>MJ/kg SAF</t>
  </si>
  <si>
    <t>kJ/ 100kg UCO</t>
  </si>
  <si>
    <t>MJ/MJ SAF</t>
  </si>
  <si>
    <t>Hydrogen (leftover)</t>
  </si>
  <si>
    <t>Mass Flow:</t>
  </si>
  <si>
    <t>Hydrogen use from unknowns</t>
  </si>
  <si>
    <t>deg C</t>
  </si>
  <si>
    <t>Hydrogen use from unknowns 2</t>
  </si>
  <si>
    <t>Hydrogen at different stages</t>
  </si>
  <si>
    <t>Maths</t>
  </si>
  <si>
    <t>After Hydrogenation 1</t>
  </si>
  <si>
    <t>After Hydrogenation 2</t>
  </si>
  <si>
    <t>After unknown 1</t>
  </si>
  <si>
    <t>After unknown 2</t>
  </si>
  <si>
    <t>Energy use for CO2 separation</t>
  </si>
  <si>
    <t>Energy use for other gas separation</t>
  </si>
  <si>
    <t xml:space="preserve">MJ/kg </t>
  </si>
  <si>
    <t>Mass flow:</t>
  </si>
  <si>
    <t>kg/1.5kJ</t>
  </si>
  <si>
    <t>Naptha purifcation</t>
  </si>
  <si>
    <t>Hydrogen Production</t>
  </si>
  <si>
    <t>Synthesised Aviation Fuel</t>
  </si>
  <si>
    <t>[46]</t>
  </si>
  <si>
    <t xml:space="preserve">ASTM D7566-22 </t>
  </si>
  <si>
    <t>[47]</t>
  </si>
  <si>
    <t>[FP1]</t>
  </si>
  <si>
    <t>[FP2]</t>
  </si>
  <si>
    <t>https://www.astm.org/d7566-22.html</t>
  </si>
  <si>
    <t>[48]</t>
  </si>
  <si>
    <t>tCO2e/kWh</t>
  </si>
  <si>
    <t>tCO2e/MWh</t>
  </si>
  <si>
    <t>Lo Vullo, Eleonora; Muntean, Marilena; Duerr, Marlene; Kona, Albana; Bertoldi, Paolo (2020): GHG Emission Factors for Electricity Consumption . European Commission, Joint Research Centre (JRC) [Dataset] PID: http://data.europa.eu/89h/919df040-0252-4e4e-ad82-c054896e1641</t>
  </si>
  <si>
    <t>2006 IPCC Guidelines for National Greenhouse Gas Inventories</t>
  </si>
  <si>
    <t>[49]</t>
  </si>
  <si>
    <t>M. Wang, Elgowainy, Amgad, Lee, Uisung, Baek, Kwang H., Bafana, Adarsh, Benavides, Pahola T., Burnham, Andrew, Cai, Hao, Cappello, Vincenzo, Chen, Peter, Gan, Yu, Gracida-Alvarez, Ulises R., Hawkins, Troy R., Iyer, Rakesh K., Kelly, Jarod C., Kim, Taemin, Kumar, Shishir, Kwon, Hoyoung, Lee, Kyuha, Liu, Xinyu, Lu, Zifeng, Masum, Farhad, Ng, Clarence, Ou, Longwen, Reddi, Krishna, Siddique, Nazib, Sun, Pingping, Vyawahare, Pradeep, Xu, Hui, and Zaimes, George., Greenhouse gases, Regulated Emissions, and Energy use in Technologies Model ® (2022 Excel). in, USDOE Office of Energy Efficiency and Renewable Energy (EERE), 2022.</t>
  </si>
  <si>
    <t>[48],[49]</t>
  </si>
  <si>
    <t>EPA 2014 Emission Factors for Greenhouse Gas Inventories</t>
  </si>
  <si>
    <t>[50]</t>
  </si>
  <si>
    <t>[51]</t>
  </si>
  <si>
    <t>Sunflower Oil Triglyceride Composition</t>
  </si>
  <si>
    <t>[52]</t>
  </si>
  <si>
    <t>[53]</t>
  </si>
  <si>
    <t>[54]</t>
  </si>
  <si>
    <t>Total hydrogen use</t>
  </si>
  <si>
    <t>For all processes</t>
  </si>
  <si>
    <t>Water removal</t>
  </si>
  <si>
    <t>Feedstock to Fuel Conversion Yield</t>
  </si>
  <si>
    <t>Accuracy</t>
  </si>
  <si>
    <t>W/m K</t>
  </si>
  <si>
    <t>U</t>
  </si>
  <si>
    <t>1/U</t>
  </si>
  <si>
    <t>A</t>
  </si>
  <si>
    <t>m^2</t>
  </si>
  <si>
    <t>dT</t>
  </si>
  <si>
    <t>LM Mass Flow Calculator (may need updating to 57.79</t>
  </si>
  <si>
    <t>Material heat transfer coefficients</t>
  </si>
  <si>
    <t>Overall heat transfer coefficient (U)</t>
  </si>
  <si>
    <t>Change in heat = U*A*Change in temperature</t>
  </si>
  <si>
    <t>Area of container = area of liquid</t>
  </si>
  <si>
    <t>U*A</t>
  </si>
  <si>
    <t>Assumed change in heat energy during transfer (dQ)</t>
  </si>
  <si>
    <t>dQ</t>
  </si>
  <si>
    <t>Therefore</t>
  </si>
  <si>
    <t>For Q loss stages:</t>
  </si>
  <si>
    <t>Hydrocracking 2</t>
  </si>
  <si>
    <t>Volume</t>
  </si>
  <si>
    <t>Density average</t>
  </si>
  <si>
    <t>% T change</t>
  </si>
  <si>
    <t>[55]</t>
  </si>
  <si>
    <t>p.106 Global Logistics Emissions Council Framework for Logistics Emissions Accounting and Reporting, in, Smart Freight Centre, 2019.</t>
  </si>
  <si>
    <t xml:space="preserve">Fuel temp = </t>
  </si>
  <si>
    <t>Fuel Temp</t>
  </si>
  <si>
    <t>Fuel mix temperature</t>
  </si>
  <si>
    <t xml:space="preserve">Total CO2e emissions for Fuel Production </t>
  </si>
  <si>
    <t>[56]</t>
  </si>
  <si>
    <t>[58]</t>
  </si>
  <si>
    <t>M. Bradfield, Improving Alternator Efficiency Measurably Reduces Fuel Costs, in, Remy, Inc., 2008.</t>
  </si>
  <si>
    <t>Notes</t>
  </si>
  <si>
    <t>K.V. Kumar, V.V.S. Prasad, Production and characterization of used cooking oil as an alternative fuel: optimization by response surface methodology, Mathematical Models in Engineering, 4 (2018) 18-28.</t>
  </si>
  <si>
    <t>[59]</t>
  </si>
  <si>
    <t>[59][A9]</t>
  </si>
  <si>
    <t>Container parameters</t>
  </si>
  <si>
    <t>height</t>
  </si>
  <si>
    <t>radius</t>
  </si>
  <si>
    <t>Area</t>
  </si>
  <si>
    <t>pi</t>
  </si>
  <si>
    <t xml:space="preserve">Heat loss </t>
  </si>
  <si>
    <t>reaction time</t>
  </si>
  <si>
    <t>t inside</t>
  </si>
  <si>
    <t>t outside</t>
  </si>
  <si>
    <t>t diff</t>
  </si>
  <si>
    <t>s</t>
  </si>
  <si>
    <t>[60]</t>
  </si>
  <si>
    <t>http://ports.com/sea-route/#/?a=3011&amp;b=0&amp;c=Port%20of%20Hamburg,%20Germany&amp;d=Porvoo%20Refinery</t>
  </si>
  <si>
    <t>[61]</t>
  </si>
  <si>
    <t>http://ports.com/sea-route/#/?a=646&amp;b=0&amp;c=Port%20of%20South%20Louisiana,%20United%20States&amp;d=Porvoo%20Refinery</t>
  </si>
  <si>
    <t>[62]</t>
  </si>
  <si>
    <t>https://www.marineinsight.com/know-more/10-major-ports-in-germany/#:~:text=1)%20Hamburg%20Port&amp;text=It%20is%20the%20largest%20port,stretching%20up%20to%207%2C250%20Hectares.</t>
  </si>
  <si>
    <t>https://www.marineinsight.com/know-more/major-ports-in-indonesia/#:~:text=Port%20of%20Jakarta&amp;text=Its%20port%20is%20the%20principal,Panjang%20port%20on%20Sumatra%20island.</t>
  </si>
  <si>
    <t>[63]</t>
  </si>
  <si>
    <t>https://www.icontainers.com/us/2017/05/16/top-10-us-ports/</t>
  </si>
  <si>
    <t>[64]</t>
  </si>
  <si>
    <t>[65]</t>
  </si>
  <si>
    <t>https://www.marineinsight.com/know-more/10-major-ports-in-china/</t>
  </si>
  <si>
    <t>https://www.pumpsandsystems.com/pump-efficiency-what-efficiency</t>
  </si>
  <si>
    <t>[66]</t>
  </si>
  <si>
    <t>Data</t>
  </si>
  <si>
    <t>[67]</t>
  </si>
  <si>
    <t>IPCC, Guidelines for National Greenhouse Gas Inventories, in, IPCC, https://www.ipcc-nggip.iges.or.jp/public/2006gl/pdf/2_Volume2/V2_3_Ch3_Mobile_Combustion.pdf, 2006.</t>
  </si>
  <si>
    <t>Reaction conditions:</t>
  </si>
  <si>
    <t>reactor height</t>
  </si>
  <si>
    <t>reactor radius</t>
  </si>
  <si>
    <t>time reacting</t>
  </si>
  <si>
    <t xml:space="preserve">SD is aware of where this is being sourced. </t>
  </si>
  <si>
    <t xml:space="preserve">Uncertainty ranges are </t>
  </si>
  <si>
    <t>sec</t>
  </si>
  <si>
    <t>Previous calculation method</t>
  </si>
  <si>
    <t>constant heating of reaction chambers - heat loss calculation method</t>
  </si>
  <si>
    <t>Fractional Distillation - OLD CALCULATION - NOT USED CURRENTLY</t>
  </si>
  <si>
    <t>Hydrocracking 1</t>
  </si>
  <si>
    <t>Energy use from heat loss</t>
  </si>
  <si>
    <t>Enegy use from process:</t>
  </si>
  <si>
    <t>Propane cleave</t>
  </si>
  <si>
    <t xml:space="preserve">Heat loss parameters - need to add in efficiency of reactors </t>
  </si>
  <si>
    <t>Needs to be reviewed - specifically reaction conditions</t>
  </si>
  <si>
    <t>[67][A8]</t>
  </si>
  <si>
    <t xml:space="preserve">there will be uncertainty in this from the type of UCO </t>
  </si>
  <si>
    <t xml:space="preserve">Note: </t>
  </si>
  <si>
    <t>AB's assumptions are updated following SD review as of 20Dec22</t>
  </si>
  <si>
    <t>Heat exchanger efficiency:</t>
  </si>
  <si>
    <t>Mass based allocation results</t>
  </si>
  <si>
    <t>Energy based allocation results</t>
  </si>
  <si>
    <t>Displacement based allocation results</t>
  </si>
  <si>
    <t>This page does not include the full mass flow - there are newer editions added since the, to see results see the blue Fuel Production tab</t>
  </si>
  <si>
    <t>Water Removal/ Separation of co-product gasses</t>
  </si>
  <si>
    <t>Products to be separated:</t>
  </si>
  <si>
    <t>Water from unknowns</t>
  </si>
  <si>
    <t>Efficiency of heat exchanger</t>
  </si>
  <si>
    <t>[68]</t>
  </si>
  <si>
    <t>A. Fakheri, Efficiency analysis of heat exchangers and heat exchanger networks, International Journal of Heat and Mass Transfer, 76 (2014) 99-104.</t>
  </si>
  <si>
    <t>[69]</t>
  </si>
  <si>
    <t>E.A. Han J, Cai H and Wang MQ, Life-cycle analysis of bio-based aviation fuels, BioresourTechnol, 150 (2013) 447-456.</t>
  </si>
  <si>
    <t>assumed from fuel production calc - crucial for allocation</t>
  </si>
  <si>
    <t>means nothing to SD, AB to verify and give verification to SD</t>
  </si>
  <si>
    <t>Sunflower Oil Composition Data</t>
  </si>
  <si>
    <t>Fuel Properties</t>
  </si>
  <si>
    <t>Deafault Emission Factors For Stationary Combustion In The Energy Industries</t>
  </si>
  <si>
    <t>Sample Case of Energy Shares - "Case 2"</t>
  </si>
  <si>
    <t>Sunflower Oil Typical Composition</t>
  </si>
  <si>
    <t>Heat Loss Calculations</t>
  </si>
  <si>
    <t xml:space="preserve">Coal </t>
  </si>
  <si>
    <t>Gas/Diesel Oil</t>
  </si>
  <si>
    <t xml:space="preserve"> % Share of Energy in HEFA Production as:</t>
  </si>
  <si>
    <t>Sum</t>
  </si>
  <si>
    <t>Purification Energy Cost</t>
  </si>
  <si>
    <t>Temperatures of reactors</t>
  </si>
  <si>
    <t>Thermal Conductivity</t>
  </si>
  <si>
    <t xml:space="preserve"> Specific Data for Fuel Production</t>
  </si>
  <si>
    <t>Emission Factor</t>
  </si>
  <si>
    <r>
      <t>CH</t>
    </r>
    <r>
      <rPr>
        <b/>
        <vertAlign val="subscript"/>
        <sz val="11"/>
        <color theme="0"/>
        <rFont val="Calibri"/>
        <family val="2"/>
        <scheme val="minor"/>
      </rPr>
      <t>4</t>
    </r>
    <r>
      <rPr>
        <b/>
        <sz val="11"/>
        <color theme="0"/>
        <rFont val="Calibri"/>
        <family val="2"/>
        <scheme val="minor"/>
      </rPr>
      <t xml:space="preserve"> Content</t>
    </r>
  </si>
  <si>
    <r>
      <t>N</t>
    </r>
    <r>
      <rPr>
        <b/>
        <vertAlign val="subscript"/>
        <sz val="11"/>
        <color theme="0"/>
        <rFont val="Calibri"/>
        <family val="2"/>
        <scheme val="minor"/>
      </rPr>
      <t>2</t>
    </r>
    <r>
      <rPr>
        <b/>
        <sz val="11"/>
        <color theme="0"/>
        <rFont val="Calibri"/>
        <family val="2"/>
        <scheme val="minor"/>
      </rPr>
      <t>O Content</t>
    </r>
  </si>
  <si>
    <r>
      <t>CO</t>
    </r>
    <r>
      <rPr>
        <b/>
        <vertAlign val="subscript"/>
        <sz val="11"/>
        <color theme="0"/>
        <rFont val="Calibri"/>
        <family val="2"/>
        <scheme val="minor"/>
      </rPr>
      <t>2</t>
    </r>
    <r>
      <rPr>
        <b/>
        <sz val="11"/>
        <color theme="0"/>
        <rFont val="Calibri"/>
        <family val="2"/>
        <scheme val="minor"/>
      </rPr>
      <t xml:space="preserve"> </t>
    </r>
  </si>
  <si>
    <r>
      <t>CH</t>
    </r>
    <r>
      <rPr>
        <b/>
        <vertAlign val="subscript"/>
        <sz val="11"/>
        <color theme="0"/>
        <rFont val="Calibri"/>
        <family val="2"/>
        <scheme val="minor"/>
      </rPr>
      <t>4</t>
    </r>
  </si>
  <si>
    <r>
      <t>N</t>
    </r>
    <r>
      <rPr>
        <b/>
        <vertAlign val="subscript"/>
        <sz val="11"/>
        <color theme="0"/>
        <rFont val="Calibri"/>
        <family val="2"/>
        <scheme val="minor"/>
      </rPr>
      <t>2</t>
    </r>
    <r>
      <rPr>
        <b/>
        <sz val="11"/>
        <color theme="0"/>
        <rFont val="Calibri"/>
        <family val="2"/>
        <scheme val="minor"/>
      </rPr>
      <t>O</t>
    </r>
  </si>
  <si>
    <t>GHG Emission Factor for Electricity Consumption - Finland</t>
  </si>
  <si>
    <t xml:space="preserve"> Triglyceride Composition</t>
  </si>
  <si>
    <t xml:space="preserve"> Diglyceride Composition</t>
  </si>
  <si>
    <t xml:space="preserve"> Monoglyceride Composition</t>
  </si>
  <si>
    <t>Free Fatty Acid Composition</t>
  </si>
  <si>
    <t>Palmitic Composition</t>
  </si>
  <si>
    <t>Stearic Composition</t>
  </si>
  <si>
    <t>Oleic Composition</t>
  </si>
  <si>
    <t>Linoleic Composition</t>
  </si>
  <si>
    <r>
      <t>Removal Of CO</t>
    </r>
    <r>
      <rPr>
        <b/>
        <vertAlign val="subscript"/>
        <sz val="11"/>
        <color theme="0"/>
        <rFont val="Calibri"/>
        <family val="2"/>
        <scheme val="minor"/>
      </rPr>
      <t>2</t>
    </r>
  </si>
  <si>
    <t>Removal Of Any Gas</t>
  </si>
  <si>
    <t>Initial Hydrotreatment Temperature</t>
  </si>
  <si>
    <t>Typical Hydrodeoxygenationg Conditions</t>
  </si>
  <si>
    <t xml:space="preserve"> Emissions Factor (Steam Methane Reforming Process)</t>
  </si>
  <si>
    <t>Heat Exchanger - 4 Baths In Series</t>
  </si>
  <si>
    <t>mass%</t>
  </si>
  <si>
    <r>
      <t>kgCO</t>
    </r>
    <r>
      <rPr>
        <vertAlign val="subscript"/>
        <sz val="11"/>
        <color theme="1"/>
        <rFont val="Calibri"/>
        <family val="2"/>
        <scheme val="minor"/>
      </rPr>
      <t>2</t>
    </r>
    <r>
      <rPr>
        <sz val="11"/>
        <color theme="1"/>
        <rFont val="Calibri"/>
        <family val="2"/>
        <scheme val="minor"/>
      </rPr>
      <t>/TJ</t>
    </r>
  </si>
  <si>
    <r>
      <t>kgCH</t>
    </r>
    <r>
      <rPr>
        <vertAlign val="subscript"/>
        <sz val="11"/>
        <color theme="1"/>
        <rFont val="Calibri"/>
        <family val="2"/>
        <scheme val="minor"/>
      </rPr>
      <t>4</t>
    </r>
    <r>
      <rPr>
        <sz val="11"/>
        <color theme="1"/>
        <rFont val="Calibri"/>
        <family val="2"/>
        <scheme val="minor"/>
      </rPr>
      <t>/TJ</t>
    </r>
  </si>
  <si>
    <r>
      <t>kgN</t>
    </r>
    <r>
      <rPr>
        <vertAlign val="subscript"/>
        <sz val="11"/>
        <color theme="1"/>
        <rFont val="Calibri"/>
        <family val="2"/>
        <scheme val="minor"/>
      </rPr>
      <t>2</t>
    </r>
    <r>
      <rPr>
        <sz val="11"/>
        <color theme="1"/>
        <rFont val="Calibri"/>
        <family val="2"/>
        <scheme val="minor"/>
      </rPr>
      <t>O/TJ</t>
    </r>
  </si>
  <si>
    <r>
      <t>gCO</t>
    </r>
    <r>
      <rPr>
        <vertAlign val="subscript"/>
        <sz val="11"/>
        <color theme="1"/>
        <rFont val="Calibri"/>
        <family val="2"/>
        <scheme val="minor"/>
      </rPr>
      <t>2</t>
    </r>
    <r>
      <rPr>
        <sz val="11"/>
        <color theme="1"/>
        <rFont val="Calibri"/>
        <family val="2"/>
        <scheme val="minor"/>
      </rPr>
      <t>e</t>
    </r>
  </si>
  <si>
    <r>
      <t>tCO</t>
    </r>
    <r>
      <rPr>
        <vertAlign val="subscript"/>
        <sz val="11"/>
        <color theme="1"/>
        <rFont val="Calibri"/>
        <family val="2"/>
        <scheme val="minor"/>
      </rPr>
      <t>2</t>
    </r>
    <r>
      <rPr>
        <sz val="11"/>
        <color theme="1"/>
        <rFont val="Calibri"/>
        <family val="2"/>
        <scheme val="minor"/>
      </rPr>
      <t>e/MWh</t>
    </r>
  </si>
  <si>
    <r>
      <t>W/m</t>
    </r>
    <r>
      <rPr>
        <vertAlign val="superscript"/>
        <sz val="11"/>
        <color theme="1"/>
        <rFont val="Calibri"/>
        <family val="2"/>
        <scheme val="minor"/>
      </rPr>
      <t>2</t>
    </r>
    <r>
      <rPr>
        <sz val="11"/>
        <color theme="1"/>
        <rFont val="Calibri"/>
        <family val="2"/>
        <scheme val="minor"/>
      </rPr>
      <t xml:space="preserve"> K</t>
    </r>
  </si>
  <si>
    <t>Comment/Notes/Explainations</t>
  </si>
  <si>
    <t>This section uses data from the 2006 IPCC Greenhouse Gas Inventories [48] to estimate the emissions from coal use, natural gas use, and gas/diesel oil use. Currently, these values are not being used as 100% of th energy use in production is accredited to electricity, this is "Case 1".</t>
  </si>
  <si>
    <r>
      <t>These values are needed to convert the CO</t>
    </r>
    <r>
      <rPr>
        <vertAlign val="subscript"/>
        <sz val="11"/>
        <color theme="1"/>
        <rFont val="Calibri"/>
        <family val="2"/>
        <scheme val="minor"/>
      </rPr>
      <t>2</t>
    </r>
    <r>
      <rPr>
        <sz val="11"/>
        <color theme="1"/>
        <rFont val="Calibri"/>
        <family val="2"/>
        <scheme val="minor"/>
      </rPr>
      <t>, CH</t>
    </r>
    <r>
      <rPr>
        <vertAlign val="subscript"/>
        <sz val="11"/>
        <color theme="1"/>
        <rFont val="Calibri"/>
        <family val="2"/>
        <scheme val="minor"/>
      </rPr>
      <t>4</t>
    </r>
    <r>
      <rPr>
        <sz val="11"/>
        <color theme="1"/>
        <rFont val="Calibri"/>
        <family val="2"/>
        <scheme val="minor"/>
      </rPr>
      <t>, and N</t>
    </r>
    <r>
      <rPr>
        <vertAlign val="subscript"/>
        <sz val="11"/>
        <color theme="1"/>
        <rFont val="Calibri"/>
        <family val="2"/>
        <scheme val="minor"/>
      </rPr>
      <t>2</t>
    </r>
    <r>
      <rPr>
        <sz val="11"/>
        <color theme="1"/>
        <rFont val="Calibri"/>
        <family val="2"/>
        <scheme val="minor"/>
      </rPr>
      <t>O content into CO</t>
    </r>
    <r>
      <rPr>
        <vertAlign val="subscript"/>
        <sz val="11"/>
        <color theme="1"/>
        <rFont val="Calibri"/>
        <family val="2"/>
        <scheme val="minor"/>
      </rPr>
      <t>2</t>
    </r>
    <r>
      <rPr>
        <sz val="11"/>
        <color theme="1"/>
        <rFont val="Calibri"/>
        <family val="2"/>
        <scheme val="minor"/>
      </rPr>
      <t>e.</t>
    </r>
  </si>
  <si>
    <t>The model uses Finland as base of operation for fuel production</t>
  </si>
  <si>
    <r>
      <t>"Case 2" is the above split in energy shares. The total energy use is split amungst these shares and the emissions are calculated accoding to the emission factors shown in "Deafault Emission Factors For Stationary Combustion In The Energy Industries</t>
    </r>
    <r>
      <rPr>
        <b/>
        <sz val="11"/>
        <color theme="1"/>
        <rFont val="Calibri"/>
        <family val="2"/>
        <scheme val="minor"/>
      </rPr>
      <t>"</t>
    </r>
  </si>
  <si>
    <t>Triglcerides are modelled with reaction mechanism</t>
  </si>
  <si>
    <t>see Z143</t>
  </si>
  <si>
    <t>see Z144</t>
  </si>
  <si>
    <t>see Z145</t>
  </si>
  <si>
    <t>0.7% remaining mass% is contained in the model - it is treated as unknown triglycerides and is treated the same as the unknowns with the uknown diglycerides, monoglyceries, and free fatty acids</t>
  </si>
  <si>
    <t xml:space="preserve"> Modelled as CO2 separation from fuel mix (MEA Capture)</t>
  </si>
  <si>
    <t>Modelled as CO2 separation from fuel mix (no MEA Capture)</t>
  </si>
  <si>
    <t>LM - need a new number for this, this comes from GREET paper</t>
  </si>
  <si>
    <t>Based on the range of 350-450 C from literature</t>
  </si>
  <si>
    <t>Based on the range of 320-420 C from literature</t>
  </si>
  <si>
    <t>Hydrogen used in fuel production has intrinsic CO2 in its own production.</t>
  </si>
  <si>
    <t>Heat exhanger efficieny to account for further heat loss.</t>
  </si>
  <si>
    <t>See equation (x) in FuelProd5</t>
  </si>
  <si>
    <t>LM to checck this against his fuel composition.</t>
  </si>
  <si>
    <t>SD + LM to review for chemical accuracy in name</t>
  </si>
  <si>
    <t>The total emissions here can be reduced if green hydrogen Is used</t>
  </si>
  <si>
    <t>[FP3]</t>
  </si>
  <si>
    <t>[FP4]</t>
  </si>
  <si>
    <t>[FP5]</t>
  </si>
  <si>
    <t>[58] [FP3]</t>
  </si>
  <si>
    <t>[46] [FP4]</t>
  </si>
  <si>
    <t>[47] [FP5]</t>
  </si>
  <si>
    <t>[FP6]</t>
  </si>
  <si>
    <t>[50] [FP6]</t>
  </si>
  <si>
    <t>[FP7]</t>
  </si>
  <si>
    <t>[FP8]</t>
  </si>
  <si>
    <t>[FP9]</t>
  </si>
  <si>
    <t>[FP10]</t>
  </si>
  <si>
    <t>The size of the reaction chamber is set to these values. This is for heat loss calculations. The same sizing parameters are used for all fuel production baths.</t>
  </si>
  <si>
    <t>[51] [FP10]</t>
  </si>
  <si>
    <t>[FP11]</t>
  </si>
  <si>
    <t>[FP12]</t>
  </si>
  <si>
    <t>[FP13]</t>
  </si>
  <si>
    <t>Hydrocracking occurs at 400 C and takes place for 4 hours.</t>
  </si>
  <si>
    <t>[52] [FP13]</t>
  </si>
  <si>
    <t>[FP14]</t>
  </si>
  <si>
    <t>Propane cleave occurs at 400 C for 1 hour.</t>
  </si>
  <si>
    <t>[FP15]</t>
  </si>
  <si>
    <t>[51][FP15]</t>
  </si>
  <si>
    <t>Deoxygenation/Decarbonization occurs at 400 C for 4 hours.</t>
  </si>
  <si>
    <t>[52] [FP16]</t>
  </si>
  <si>
    <t>[FP16]</t>
  </si>
  <si>
    <t>[FP17]</t>
  </si>
  <si>
    <t>[FP18]</t>
  </si>
  <si>
    <t>[FP19]</t>
  </si>
  <si>
    <t>Vapour-liquid separation occurs at 400 C for 1 hour.</t>
  </si>
  <si>
    <t>[FP20]</t>
  </si>
  <si>
    <t>Propane purification occurs at 400 C for 1 hour.</t>
  </si>
  <si>
    <t>[52] [FP21]</t>
  </si>
  <si>
    <t>[FP21]</t>
  </si>
  <si>
    <t>[FP22]</t>
  </si>
  <si>
    <t>Second hydrocracking occurs at 400 C for 4 hours.</t>
  </si>
  <si>
    <t>[FP23]</t>
  </si>
  <si>
    <t>Fractional distillation 1 occurs at 350 C for 4 hours.</t>
  </si>
  <si>
    <t>[FP24]</t>
  </si>
  <si>
    <t>Fractional distillation 2 occurs at 350 C for 4 hours.</t>
  </si>
  <si>
    <t>[FP25]</t>
  </si>
  <si>
    <t>[FP26]</t>
  </si>
  <si>
    <t>Naphtha purification occurs at 400 C for 1 hour.</t>
  </si>
  <si>
    <t>[FP28]</t>
  </si>
  <si>
    <t>Introduction:</t>
  </si>
  <si>
    <t>General FP Assumptions</t>
  </si>
  <si>
    <t>[FP29]</t>
  </si>
  <si>
    <t>[FP30]</t>
  </si>
  <si>
    <t>[FP31]</t>
  </si>
  <si>
    <t>[FP32]</t>
  </si>
  <si>
    <t>[FP33]</t>
  </si>
  <si>
    <t>[FP34]</t>
  </si>
  <si>
    <t>Mass Flow Equations Assumptions</t>
  </si>
  <si>
    <t>[FP36]</t>
  </si>
  <si>
    <t>LM Fuel Production Assumptions</t>
  </si>
  <si>
    <t>kg CO2e/kg H</t>
  </si>
  <si>
    <r>
      <t>kg CO</t>
    </r>
    <r>
      <rPr>
        <vertAlign val="subscript"/>
        <sz val="11"/>
        <color theme="1"/>
        <rFont val="Calibri"/>
        <family val="2"/>
        <scheme val="minor"/>
      </rPr>
      <t>2</t>
    </r>
    <r>
      <rPr>
        <sz val="11"/>
        <color theme="1"/>
        <rFont val="Calibri"/>
        <family val="2"/>
        <scheme val="minor"/>
      </rPr>
      <t>e/kg H</t>
    </r>
    <r>
      <rPr>
        <vertAlign val="subscript"/>
        <sz val="11"/>
        <color theme="1"/>
        <rFont val="Calibri"/>
        <family val="2"/>
        <scheme val="minor"/>
      </rPr>
      <t>2</t>
    </r>
  </si>
  <si>
    <t>Carbon Dioxide?</t>
  </si>
  <si>
    <t>H input in FFA</t>
  </si>
  <si>
    <t>H input in unknown products</t>
  </si>
  <si>
    <t>Carbon Monoxide?</t>
  </si>
  <si>
    <t>Mass Flow Products :</t>
  </si>
  <si>
    <t>Jet Fuel Yield</t>
  </si>
  <si>
    <t xml:space="preserve">% </t>
  </si>
  <si>
    <t>kg SAF/ kg UCO</t>
  </si>
  <si>
    <t>Unknown gases</t>
  </si>
  <si>
    <t>Heat loss by Newton (1=yes,0=no)</t>
  </si>
  <si>
    <t>The initial feedstock is defined as 100kg in mass. If the mass is increased, the efficiency the system increases as heat losses are minimised. In all other cases total mass is arbitrary as emissions are normalised per MJ of SAF produced. This is a reasonable assumption.</t>
  </si>
  <si>
    <t>Only propane is removed at the propane cleave step. This is not evidenced.</t>
  </si>
  <si>
    <t>The energy produced due to losses of heat, and maintaining the fuel constant temperature I conatained within the system efficency parameter. More information is needed.</t>
  </si>
  <si>
    <t>Propane is purified using numbers for Naphtha purification. This is not evidenced.</t>
  </si>
  <si>
    <r>
      <t>Hydrogen used in fuel production is produced through steam methane reforming (SMR) which contributes its own intrinsic CO</t>
    </r>
    <r>
      <rPr>
        <vertAlign val="subscript"/>
        <sz val="11"/>
        <color theme="1"/>
        <rFont val="Calibri"/>
        <family val="2"/>
        <scheme val="minor"/>
      </rPr>
      <t>2</t>
    </r>
    <r>
      <rPr>
        <sz val="11"/>
        <color theme="1"/>
        <rFont val="Calibri"/>
        <family val="2"/>
        <scheme val="minor"/>
      </rPr>
      <t xml:space="preserve"> cost. More information is neeeded. This is not evidenced.</t>
    </r>
  </si>
  <si>
    <t>The fuel production system is a batch production method. This is not evidenced.</t>
  </si>
  <si>
    <t>For these "known unknowns", the proportions of known propane, water, and other gas yields are used and applied to the "known unknowns". More information is needed.</t>
  </si>
  <si>
    <t>Mass Proportions</t>
  </si>
  <si>
    <t>Oleic to Stearic</t>
  </si>
  <si>
    <t>Linoleic to Stearic</t>
  </si>
  <si>
    <t xml:space="preserve">Chemical reactions are 100% converted in the forward reaction rate for the full reaction mechanism, as given by the yields reported in [51],  unless stated otherwise. </t>
  </si>
  <si>
    <t xml:space="preserve">The SAF energy density is set to be in the range of the ASTM 7566 Standard minimum and reported LHV for UOP HEFA of 42.8-43.9 MJ/kg. </t>
  </si>
  <si>
    <t>The fuel production facilty is assumed to be in Finland, with electricity from the main grid as source. This emission factor associated with electricity utilisation uses an average GHG intensity based on Finlands electricity production facilities from [47] (mix of renewables and fossil fuels).</t>
  </si>
  <si>
    <t>The used cooking oil is assumed to have a compostion of 79.1% triglycerides, 1.8% diglcerides,2.2 % monoglycerides, and 16.9% free fatty acids. Of the triglcerides, the composition is assumed to be 32.8% triolein, 6.5% tripalmitin, and 60% trilinolein.</t>
  </si>
  <si>
    <t>Colour:</t>
  </si>
  <si>
    <t>Meaning</t>
  </si>
  <si>
    <t>Reasonable accuracy if assumption is true.</t>
  </si>
  <si>
    <t>Likely incorrect.</t>
  </si>
  <si>
    <t>No longer used in the calculation.</t>
  </si>
  <si>
    <t>For hydrogenation, it is assumed that hydrogen is added in excess by a factor of ~35% of the mass needed to perform the hydrogenation.</t>
  </si>
  <si>
    <t>The initial feedstock is heated from to 400 C  from 25 C. in the hydrocracking bath.  (Based on the range of 350-450 C from literature) [51]</t>
  </si>
  <si>
    <r>
      <t>Intrinsic CO</t>
    </r>
    <r>
      <rPr>
        <vertAlign val="subscript"/>
        <sz val="11"/>
        <color theme="1"/>
        <rFont val="Calibri"/>
        <family val="2"/>
        <scheme val="minor"/>
      </rPr>
      <t>2</t>
    </r>
  </si>
  <si>
    <r>
      <t>Total Captured CO</t>
    </r>
    <r>
      <rPr>
        <vertAlign val="subscript"/>
        <sz val="11"/>
        <color theme="1"/>
        <rFont val="Calibri"/>
        <family val="2"/>
        <scheme val="minor"/>
      </rPr>
      <t>2</t>
    </r>
  </si>
  <si>
    <t>Naphtha, propane, and other gases are separated and purified maintaining heat and not cooling. More information is needed. This is not evidenced.</t>
  </si>
  <si>
    <t>Fuel production is assumed to use 100% electricity as energy source. This is not evidenced. No fossil fuels or waste is burned on site to produce on site-electricity. It is sourced directly from the grid.</t>
  </si>
  <si>
    <r>
      <t>CO</t>
    </r>
    <r>
      <rPr>
        <vertAlign val="subscript"/>
        <sz val="11"/>
        <color theme="1"/>
        <rFont val="Calibri"/>
        <family val="2"/>
        <scheme val="minor"/>
      </rPr>
      <t>2</t>
    </r>
    <r>
      <rPr>
        <sz val="11"/>
        <color theme="1"/>
        <rFont val="Calibri"/>
        <family val="2"/>
        <scheme val="minor"/>
      </rPr>
      <t xml:space="preserve"> produced in the reaction process is captured directly from bath. It still contributes to the overall CO</t>
    </r>
    <r>
      <rPr>
        <vertAlign val="subscript"/>
        <sz val="11"/>
        <color theme="1"/>
        <rFont val="Calibri"/>
        <family val="2"/>
        <scheme val="minor"/>
      </rPr>
      <t>2</t>
    </r>
    <r>
      <rPr>
        <sz val="11"/>
        <color theme="1"/>
        <rFont val="Calibri"/>
        <family val="2"/>
        <scheme val="minor"/>
      </rPr>
      <t xml:space="preserve"> cost.</t>
    </r>
  </si>
  <si>
    <t>Reaction Mechanism Assumptions - See FuelProd5</t>
  </si>
  <si>
    <t>Energy calculation for hydrotreatment is calculated on specific heat capacity of heating known mass of triolein, trilinolein, and tripalmitin from 25-400 C. The reactions are mostly exothermic, hence any other energy required for the reactions to occur is taken internally.</t>
  </si>
  <si>
    <r>
      <t>C</t>
    </r>
    <r>
      <rPr>
        <vertAlign val="subscript"/>
        <sz val="16"/>
        <color rgb="FF000000"/>
        <rFont val="Calibri"/>
        <family val="2"/>
        <scheme val="minor"/>
      </rPr>
      <t>57</t>
    </r>
    <r>
      <rPr>
        <sz val="16"/>
        <color rgb="FF000000"/>
        <rFont val="Calibri"/>
        <family val="2"/>
        <scheme val="minor"/>
      </rPr>
      <t>H</t>
    </r>
    <r>
      <rPr>
        <vertAlign val="subscript"/>
        <sz val="16"/>
        <color rgb="FF000000"/>
        <rFont val="Calibri"/>
        <family val="2"/>
        <scheme val="minor"/>
      </rPr>
      <t>104</t>
    </r>
    <r>
      <rPr>
        <sz val="16"/>
        <color rgb="FF000000"/>
        <rFont val="Calibri"/>
        <family val="2"/>
        <scheme val="minor"/>
      </rPr>
      <t>O</t>
    </r>
    <r>
      <rPr>
        <vertAlign val="subscript"/>
        <sz val="16"/>
        <color rgb="FF000000"/>
        <rFont val="Calibri"/>
        <family val="2"/>
        <scheme val="minor"/>
      </rPr>
      <t>6</t>
    </r>
    <r>
      <rPr>
        <sz val="16"/>
        <color rgb="FF000000"/>
        <rFont val="Calibri"/>
        <family val="2"/>
        <scheme val="minor"/>
      </rPr>
      <t xml:space="preserve"> + 3H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3</t>
    </r>
    <r>
      <rPr>
        <sz val="16"/>
        <color rgb="FF000000"/>
        <rFont val="Calibri"/>
        <family val="2"/>
        <scheme val="minor"/>
      </rPr>
      <t>H</t>
    </r>
    <r>
      <rPr>
        <vertAlign val="subscript"/>
        <sz val="16"/>
        <color rgb="FF000000"/>
        <rFont val="Calibri"/>
        <family val="2"/>
        <scheme val="minor"/>
      </rPr>
      <t>8</t>
    </r>
    <r>
      <rPr>
        <sz val="16"/>
        <color rgb="FF000000"/>
        <rFont val="Calibri"/>
        <family val="2"/>
        <scheme val="minor"/>
      </rPr>
      <t xml:space="preserve"> + 3C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O</t>
    </r>
    <r>
      <rPr>
        <vertAlign val="subscript"/>
        <sz val="16"/>
        <color rgb="FF000000"/>
        <rFont val="Calibri"/>
        <family val="2"/>
        <scheme val="minor"/>
      </rPr>
      <t>2</t>
    </r>
  </si>
  <si>
    <t>Triolein + Hydrogen → Propane + Oleic acid</t>
  </si>
  <si>
    <r>
      <t>C</t>
    </r>
    <r>
      <rPr>
        <vertAlign val="subscript"/>
        <sz val="16"/>
        <color rgb="FF000000"/>
        <rFont val="Calibri"/>
        <family val="2"/>
        <scheme val="minor"/>
      </rPr>
      <t>57</t>
    </r>
    <r>
      <rPr>
        <sz val="16"/>
        <color rgb="FF000000"/>
        <rFont val="Calibri"/>
        <family val="2"/>
        <scheme val="minor"/>
      </rPr>
      <t>H</t>
    </r>
    <r>
      <rPr>
        <vertAlign val="subscript"/>
        <sz val="16"/>
        <color rgb="FF000000"/>
        <rFont val="Calibri"/>
        <family val="2"/>
        <scheme val="minor"/>
      </rPr>
      <t>98</t>
    </r>
    <r>
      <rPr>
        <sz val="16"/>
        <color rgb="FF000000"/>
        <rFont val="Calibri"/>
        <family val="2"/>
        <scheme val="minor"/>
      </rPr>
      <t>O</t>
    </r>
    <r>
      <rPr>
        <vertAlign val="subscript"/>
        <sz val="16"/>
        <color rgb="FF000000"/>
        <rFont val="Calibri"/>
        <family val="2"/>
        <scheme val="minor"/>
      </rPr>
      <t>6</t>
    </r>
    <r>
      <rPr>
        <sz val="16"/>
        <color rgb="FF000000"/>
        <rFont val="Calibri"/>
        <family val="2"/>
        <scheme val="minor"/>
      </rPr>
      <t xml:space="preserve"> + 3H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3</t>
    </r>
    <r>
      <rPr>
        <sz val="16"/>
        <color rgb="FF000000"/>
        <rFont val="Calibri"/>
        <family val="2"/>
        <scheme val="minor"/>
      </rPr>
      <t>H</t>
    </r>
    <r>
      <rPr>
        <vertAlign val="subscript"/>
        <sz val="16"/>
        <color rgb="FF000000"/>
        <rFont val="Calibri"/>
        <family val="2"/>
        <scheme val="minor"/>
      </rPr>
      <t>8</t>
    </r>
    <r>
      <rPr>
        <sz val="16"/>
        <color rgb="FF000000"/>
        <rFont val="Calibri"/>
        <family val="2"/>
        <scheme val="minor"/>
      </rPr>
      <t xml:space="preserve"> + 3C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O</t>
    </r>
    <r>
      <rPr>
        <vertAlign val="subscript"/>
        <sz val="16"/>
        <color rgb="FF000000"/>
        <rFont val="Calibri"/>
        <family val="2"/>
        <scheme val="minor"/>
      </rPr>
      <t>2</t>
    </r>
  </si>
  <si>
    <t>Trilinolein + Hydrogen → Propane + Linoleic acid</t>
  </si>
  <si>
    <r>
      <t>C</t>
    </r>
    <r>
      <rPr>
        <vertAlign val="subscript"/>
        <sz val="16"/>
        <color rgb="FF000000"/>
        <rFont val="Calibri"/>
        <family val="2"/>
        <scheme val="minor"/>
      </rPr>
      <t>51</t>
    </r>
    <r>
      <rPr>
        <sz val="16"/>
        <color rgb="FF000000"/>
        <rFont val="Calibri"/>
        <family val="2"/>
        <scheme val="minor"/>
      </rPr>
      <t>H</t>
    </r>
    <r>
      <rPr>
        <vertAlign val="subscript"/>
        <sz val="16"/>
        <color rgb="FF000000"/>
        <rFont val="Calibri"/>
        <family val="2"/>
        <scheme val="minor"/>
      </rPr>
      <t>98</t>
    </r>
    <r>
      <rPr>
        <sz val="16"/>
        <color rgb="FF000000"/>
        <rFont val="Calibri"/>
        <family val="2"/>
        <scheme val="minor"/>
      </rPr>
      <t>O</t>
    </r>
    <r>
      <rPr>
        <vertAlign val="subscript"/>
        <sz val="16"/>
        <color rgb="FF000000"/>
        <rFont val="Calibri"/>
        <family val="2"/>
        <scheme val="minor"/>
      </rPr>
      <t>6</t>
    </r>
    <r>
      <rPr>
        <sz val="16"/>
        <color rgb="FF000000"/>
        <rFont val="Calibri"/>
        <family val="2"/>
        <scheme val="minor"/>
      </rPr>
      <t xml:space="preserve"> + 3H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3</t>
    </r>
    <r>
      <rPr>
        <sz val="16"/>
        <color rgb="FF000000"/>
        <rFont val="Calibri"/>
        <family val="2"/>
        <scheme val="minor"/>
      </rPr>
      <t>H</t>
    </r>
    <r>
      <rPr>
        <vertAlign val="subscript"/>
        <sz val="16"/>
        <color rgb="FF000000"/>
        <rFont val="Calibri"/>
        <family val="2"/>
        <scheme val="minor"/>
      </rPr>
      <t>8</t>
    </r>
    <r>
      <rPr>
        <sz val="16"/>
        <color rgb="FF000000"/>
        <rFont val="Calibri"/>
        <family val="2"/>
        <scheme val="minor"/>
      </rPr>
      <t xml:space="preserve"> + 3C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O</t>
    </r>
    <r>
      <rPr>
        <vertAlign val="subscript"/>
        <sz val="16"/>
        <color rgb="FF000000"/>
        <rFont val="Calibri"/>
        <family val="2"/>
        <scheme val="minor"/>
      </rPr>
      <t>2</t>
    </r>
  </si>
  <si>
    <t>Tripalmitin + Hydrogen → Propane + Palmitic acid</t>
  </si>
  <si>
    <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O</t>
    </r>
    <r>
      <rPr>
        <vertAlign val="subscript"/>
        <sz val="16"/>
        <color rgb="FF000000"/>
        <rFont val="Calibri"/>
        <family val="2"/>
        <scheme val="minor"/>
      </rPr>
      <t>2</t>
    </r>
  </si>
  <si>
    <t>Oleic acid + Hydrogen → Stearic acid</t>
  </si>
  <si>
    <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+ 2H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O</t>
    </r>
    <r>
      <rPr>
        <vertAlign val="subscript"/>
        <sz val="16"/>
        <color rgb="FF000000"/>
        <rFont val="Calibri"/>
        <family val="2"/>
        <scheme val="minor"/>
      </rPr>
      <t>2</t>
    </r>
  </si>
  <si>
    <t>Linoleic acid + Hydrogen → Stearic acid</t>
  </si>
  <si>
    <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 xml:space="preserve"> + CO</t>
    </r>
    <r>
      <rPr>
        <vertAlign val="subscript"/>
        <sz val="16"/>
        <color rgb="FF000000"/>
        <rFont val="Calibri"/>
        <family val="2"/>
        <scheme val="minor"/>
      </rPr>
      <t>2</t>
    </r>
  </si>
  <si>
    <t>Stearic acid → Heptadecane + Carbon Dioxide</t>
  </si>
  <si>
    <r>
      <t xml:space="preserve">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 xml:space="preserve"> + CO</t>
    </r>
    <r>
      <rPr>
        <vertAlign val="subscript"/>
        <sz val="16"/>
        <color rgb="FF000000"/>
        <rFont val="Calibri"/>
        <family val="2"/>
        <scheme val="minor"/>
      </rPr>
      <t>2</t>
    </r>
  </si>
  <si>
    <t>Oleic acid → Heptadecene + Carbon Dioxide</t>
  </si>
  <si>
    <r>
      <t xml:space="preserve"> 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15</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 xml:space="preserve"> + CO</t>
    </r>
    <r>
      <rPr>
        <vertAlign val="subscript"/>
        <sz val="16"/>
        <color rgb="FF000000"/>
        <rFont val="Calibri"/>
        <family val="2"/>
        <scheme val="minor"/>
      </rPr>
      <t>2</t>
    </r>
  </si>
  <si>
    <t>Palmitic acid → Pentadecane + Carbon Dioxide</t>
  </si>
  <si>
    <r>
      <rPr>
        <sz val="16"/>
        <color rgb="FF000000"/>
        <rFont val="Calibri"/>
        <family val="2"/>
        <scheme val="minor"/>
      </rP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 xml:space="preserve"> + CO + H</t>
    </r>
    <r>
      <rPr>
        <vertAlign val="subscript"/>
        <sz val="16"/>
        <color rgb="FF000000"/>
        <rFont val="Calibri"/>
        <family val="2"/>
        <scheme val="minor"/>
      </rPr>
      <t>2</t>
    </r>
    <r>
      <rPr>
        <sz val="16"/>
        <color rgb="FF000000"/>
        <rFont val="Calibri"/>
        <family val="2"/>
        <scheme val="minor"/>
      </rPr>
      <t>O</t>
    </r>
  </si>
  <si>
    <t xml:space="preserve">Stearic acid + Hydrogen → Hepadecane + Carbon monoxide + Water </t>
  </si>
  <si>
    <r>
      <rPr>
        <sz val="16"/>
        <color rgb="FF000000"/>
        <rFont val="Calibri"/>
        <family val="2"/>
        <scheme val="minor"/>
      </rP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 xml:space="preserve"> + CO + H</t>
    </r>
    <r>
      <rPr>
        <vertAlign val="subscript"/>
        <sz val="16"/>
        <color rgb="FF000000"/>
        <rFont val="Calibri"/>
        <family val="2"/>
        <scheme val="minor"/>
      </rPr>
      <t>2</t>
    </r>
    <r>
      <rPr>
        <sz val="16"/>
        <color rgb="FF000000"/>
        <rFont val="Calibri"/>
        <family val="2"/>
        <scheme val="minor"/>
      </rPr>
      <t>O</t>
    </r>
  </si>
  <si>
    <t>Oleic acid + Hydrogen → Heptadecene + Carbon monoxide + Water</t>
  </si>
  <si>
    <r>
      <t>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15</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 xml:space="preserve"> + CO + H</t>
    </r>
    <r>
      <rPr>
        <vertAlign val="subscript"/>
        <sz val="16"/>
        <color rgb="FF000000"/>
        <rFont val="Calibri"/>
        <family val="2"/>
        <scheme val="minor"/>
      </rPr>
      <t>2</t>
    </r>
    <r>
      <rPr>
        <sz val="16"/>
        <color rgb="FF000000"/>
        <rFont val="Calibri"/>
        <family val="2"/>
        <scheme val="minor"/>
      </rPr>
      <t>O</t>
    </r>
  </si>
  <si>
    <t>Palmitic acid + Hydrogen → Pentadecane + Carbon monoxide + Water</t>
  </si>
  <si>
    <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+ 3H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38</t>
    </r>
    <r>
      <rPr>
        <sz val="16"/>
        <color rgb="FF000000"/>
        <rFont val="Calibri"/>
        <family val="2"/>
        <scheme val="minor"/>
      </rPr>
      <t xml:space="preserve"> + 2H</t>
    </r>
    <r>
      <rPr>
        <vertAlign val="subscript"/>
        <sz val="16"/>
        <color rgb="FF000000"/>
        <rFont val="Calibri"/>
        <family val="2"/>
        <scheme val="minor"/>
      </rPr>
      <t>2</t>
    </r>
    <r>
      <rPr>
        <sz val="16"/>
        <color rgb="FF000000"/>
        <rFont val="Calibri"/>
        <family val="2"/>
        <scheme val="minor"/>
      </rPr>
      <t>O</t>
    </r>
  </si>
  <si>
    <t>Stearic acid + Hydrogen → Octadecane + Water</t>
  </si>
  <si>
    <r>
      <t>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+ 3H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 xml:space="preserve"> + 2H</t>
    </r>
    <r>
      <rPr>
        <vertAlign val="subscript"/>
        <sz val="16"/>
        <color rgb="FF000000"/>
        <rFont val="Calibri"/>
        <family val="2"/>
        <scheme val="minor"/>
      </rPr>
      <t>2</t>
    </r>
    <r>
      <rPr>
        <sz val="16"/>
        <color rgb="FF000000"/>
        <rFont val="Calibri"/>
        <family val="2"/>
        <scheme val="minor"/>
      </rPr>
      <t>O</t>
    </r>
  </si>
  <si>
    <r>
      <t>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O</t>
    </r>
    <r>
      <rPr>
        <vertAlign val="subscript"/>
        <sz val="16"/>
        <color rgb="FF000000"/>
        <rFont val="Calibri"/>
        <family val="2"/>
        <scheme val="minor"/>
      </rPr>
      <t>2</t>
    </r>
    <r>
      <rPr>
        <sz val="16"/>
        <color rgb="FF000000"/>
        <rFont val="Calibri"/>
        <family val="2"/>
        <scheme val="minor"/>
      </rPr>
      <t xml:space="preserve"> + 3H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 xml:space="preserve"> + 2H</t>
    </r>
    <r>
      <rPr>
        <vertAlign val="subscript"/>
        <sz val="16"/>
        <color rgb="FF000000"/>
        <rFont val="Calibri"/>
        <family val="2"/>
        <scheme val="minor"/>
      </rPr>
      <t>2</t>
    </r>
    <r>
      <rPr>
        <sz val="16"/>
        <color rgb="FF000000"/>
        <rFont val="Calibri"/>
        <family val="2"/>
        <scheme val="minor"/>
      </rPr>
      <t>O</t>
    </r>
  </si>
  <si>
    <t>Palmitic acid + Hydrogen → Hexadecane + Water</t>
  </si>
  <si>
    <t>E. Lo Vullo, M. Muntean, M. Duerr, A. Kona, P. Bertoldi, GHG Emission Factors for Electricity Consumption, in, Joint Research Centre (JRC), European Commission, 2020.</t>
  </si>
  <si>
    <t>Data for EU countries is averaged between 2017-2019. Data for rest of world is averaged between 2013-2015.</t>
  </si>
  <si>
    <t>These are IPCC default values, not LCA values, so do not consider the transmission and distribution cost.</t>
  </si>
  <si>
    <t>Initial heating temp for mesh filtration</t>
  </si>
  <si>
    <t>Second heating temp for water separation</t>
  </si>
  <si>
    <t>unknowns</t>
  </si>
  <si>
    <t>Stage 1</t>
  </si>
  <si>
    <t>Stage 2</t>
  </si>
  <si>
    <t>Total (kJ)</t>
  </si>
  <si>
    <t>Intrinsic CO2</t>
  </si>
  <si>
    <t>The used cooking oil is filtered in 2 Stages. 1. Heating the UCO from 25-35 C and pouring through a fine mesh to remove large particles. 2. Heating to 60 C and retaining for 30 minutes to remove water. It is then left to settle for 24 hours.</t>
  </si>
  <si>
    <t>There are no mass losses or residues left over in each reaction chamber.  All elemental mass is conserved. This is not evidenced.</t>
  </si>
  <si>
    <t>All chemical reactions are assumed to occur in one vessel, in a batch configuration accoridng to the reaction mechanism given in FuelProd5.</t>
  </si>
  <si>
    <t>Unknown triglcerides, diglycerides, and monoglycerides in fuel mixture are converted to analagous forms of carboxylic acids and follow the analagorous reaction mechanism.</t>
  </si>
  <si>
    <t>As unknown liquid phase products are produced,  their gaseous co-product gas comprise only propane, water,   CO &amp; CO2 as defined in the reaction mechanism.</t>
  </si>
  <si>
    <t>Reaction mechanism is not specified on the basis of structural isomers, it is simplified by describin only  normal alkane products, knowing that any structural isomers will follow the same mass flow. Hence the final composition of jet fuel HEFA is modelled as 100% normal alkanes. This is not evidenced.</t>
  </si>
  <si>
    <t xml:space="preserve">Consumption of stearic, oleic, and palmitic acid  is assumed to occur by three processes (Decarbonization, Decarbonylation, Hydrodeoxidation) at equal rates (ie. 0.33/0.33/0.33 by mass). </t>
  </si>
  <si>
    <t>Check for Balance  0 = Good</t>
  </si>
  <si>
    <t>Step 1</t>
  </si>
  <si>
    <t>Step 2</t>
  </si>
  <si>
    <t>Step 3</t>
  </si>
  <si>
    <t>Oleic acid + Hydrogen → Octadecene + Water</t>
  </si>
  <si>
    <t>Step 4</t>
  </si>
  <si>
    <r>
      <t xml:space="preserve">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36</t>
    </r>
  </si>
  <si>
    <t>Heptadecene + Hydrogen → Heptadecane</t>
  </si>
  <si>
    <r>
      <t xml:space="preserve">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38</t>
    </r>
  </si>
  <si>
    <t>Octadecene + Hydrogen → Octadecane</t>
  </si>
  <si>
    <t>Octadecane → Octadecane + Decane + Octane</t>
  </si>
  <si>
    <r>
      <t xml:space="preserve"> 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38</t>
    </r>
    <r>
      <rPr>
        <sz val="16"/>
        <color rgb="FF000000"/>
        <rFont val="Calibri"/>
        <family val="2"/>
        <scheme val="minor"/>
      </rPr>
      <t xml:space="preserve"> + 0.9H</t>
    </r>
    <r>
      <rPr>
        <vertAlign val="subscript"/>
        <sz val="16"/>
        <color rgb="FF000000"/>
        <rFont val="Calibri"/>
        <family val="2"/>
        <scheme val="minor"/>
      </rPr>
      <t>2</t>
    </r>
    <r>
      <rPr>
        <sz val="16"/>
        <color rgb="FF000000"/>
        <rFont val="Calibri"/>
        <family val="2"/>
        <scheme val="minor"/>
      </rPr>
      <t xml:space="preserve"> → 0.1C</t>
    </r>
    <r>
      <rPr>
        <vertAlign val="subscript"/>
        <sz val="16"/>
        <color rgb="FF000000"/>
        <rFont val="Calibri"/>
        <family val="2"/>
        <scheme val="minor"/>
      </rPr>
      <t>18</t>
    </r>
    <r>
      <rPr>
        <sz val="16"/>
        <color rgb="FF000000"/>
        <rFont val="Calibri"/>
        <family val="2"/>
        <scheme val="minor"/>
      </rPr>
      <t>H</t>
    </r>
    <r>
      <rPr>
        <vertAlign val="subscript"/>
        <sz val="16"/>
        <color rgb="FF000000"/>
        <rFont val="Calibri"/>
        <family val="2"/>
        <scheme val="minor"/>
      </rPr>
      <t xml:space="preserve">38 </t>
    </r>
    <r>
      <rPr>
        <sz val="16"/>
        <color rgb="FF000000"/>
        <rFont val="Calibri"/>
        <family val="2"/>
        <scheme val="minor"/>
      </rPr>
      <t>+ 0.9(C</t>
    </r>
    <r>
      <rPr>
        <vertAlign val="subscript"/>
        <sz val="16"/>
        <color rgb="FF000000"/>
        <rFont val="Calibri"/>
        <family val="2"/>
        <scheme val="minor"/>
      </rPr>
      <t>10</t>
    </r>
    <r>
      <rPr>
        <sz val="16"/>
        <color rgb="FF000000"/>
        <rFont val="Calibri"/>
        <family val="2"/>
        <scheme val="minor"/>
      </rPr>
      <t>H</t>
    </r>
    <r>
      <rPr>
        <vertAlign val="subscript"/>
        <sz val="16"/>
        <color rgb="FF000000"/>
        <rFont val="Calibri"/>
        <family val="2"/>
        <scheme val="minor"/>
      </rPr>
      <t>22</t>
    </r>
    <r>
      <rPr>
        <sz val="16"/>
        <color rgb="FF000000"/>
        <rFont val="Calibri"/>
        <family val="2"/>
        <scheme val="minor"/>
      </rPr>
      <t xml:space="preserve"> + C</t>
    </r>
    <r>
      <rPr>
        <vertAlign val="subscript"/>
        <sz val="16"/>
        <color rgb="FF000000"/>
        <rFont val="Calibri"/>
        <family val="2"/>
        <scheme val="minor"/>
      </rPr>
      <t>8</t>
    </r>
    <r>
      <rPr>
        <sz val="16"/>
        <color rgb="FF000000"/>
        <rFont val="Calibri"/>
        <family val="2"/>
        <scheme val="minor"/>
      </rPr>
      <t>H</t>
    </r>
    <r>
      <rPr>
        <vertAlign val="subscript"/>
        <sz val="16"/>
        <color rgb="FF000000"/>
        <rFont val="Calibri"/>
        <family val="2"/>
        <scheme val="minor"/>
      </rPr>
      <t>18</t>
    </r>
    <r>
      <rPr>
        <sz val="16"/>
        <color rgb="FF000000"/>
        <rFont val="Calibri"/>
        <family val="2"/>
        <scheme val="minor"/>
      </rPr>
      <t>)</t>
    </r>
  </si>
  <si>
    <t>After cracking</t>
  </si>
  <si>
    <t>Octadecane + Hydrogen → Octadecane + Decane + Octane</t>
  </si>
  <si>
    <t>Hexadecane + Hydrogen → Hexadecane + Nonane + Heptane</t>
  </si>
  <si>
    <t>Pentadecane + Hydrogen → Pentane + Nonane + Hexane</t>
  </si>
  <si>
    <t>n-Paraffins + Hydrogen → Undecane + Dodecane + Tridecane + Tetradecane + Pentadecane</t>
  </si>
  <si>
    <t>Heptadecane + Hydrogen → Heptadecane + Unedecane + Hexane + Ocatane + Nonane + Triecane + Butane + Dodecane + Pentane</t>
  </si>
  <si>
    <t>Step 5</t>
  </si>
  <si>
    <r>
      <t xml:space="preserve"> 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36</t>
    </r>
    <r>
      <rPr>
        <sz val="16"/>
        <color rgb="FF000000"/>
        <rFont val="Calibri"/>
        <family val="2"/>
        <scheme val="minor"/>
      </rPr>
      <t xml:space="preserve"> + H</t>
    </r>
    <r>
      <rPr>
        <vertAlign val="subscript"/>
        <sz val="16"/>
        <color rgb="FF000000"/>
        <rFont val="Calibri"/>
        <family val="2"/>
        <scheme val="minor"/>
      </rPr>
      <t>2</t>
    </r>
    <r>
      <rPr>
        <sz val="16"/>
        <color rgb="FF000000"/>
        <rFont val="Calibri"/>
        <family val="2"/>
        <scheme val="minor"/>
      </rPr>
      <t xml:space="preserve"> → 0.08C</t>
    </r>
    <r>
      <rPr>
        <vertAlign val="subscript"/>
        <sz val="16"/>
        <color rgb="FF000000"/>
        <rFont val="Calibri"/>
        <family val="2"/>
        <scheme val="minor"/>
      </rPr>
      <t>17</t>
    </r>
    <r>
      <rPr>
        <sz val="16"/>
        <color rgb="FF000000"/>
        <rFont val="Calibri"/>
        <family val="2"/>
        <scheme val="minor"/>
      </rPr>
      <t>H</t>
    </r>
    <r>
      <rPr>
        <vertAlign val="subscript"/>
        <sz val="16"/>
        <color rgb="FF000000"/>
        <rFont val="Calibri"/>
        <family val="2"/>
        <scheme val="minor"/>
      </rPr>
      <t xml:space="preserve">38 </t>
    </r>
    <r>
      <rPr>
        <sz val="16"/>
        <color rgb="FF000000"/>
        <rFont val="Calibri"/>
        <family val="2"/>
        <scheme val="minor"/>
      </rPr>
      <t>+ 0.29(C</t>
    </r>
    <r>
      <rPr>
        <vertAlign val="subscript"/>
        <sz val="16"/>
        <color rgb="FF000000"/>
        <rFont val="Calibri"/>
        <family val="2"/>
        <scheme val="minor"/>
      </rPr>
      <t>11</t>
    </r>
    <r>
      <rPr>
        <sz val="16"/>
        <color rgb="FF000000"/>
        <rFont val="Calibri"/>
        <family val="2"/>
        <scheme val="minor"/>
      </rPr>
      <t>H</t>
    </r>
    <r>
      <rPr>
        <vertAlign val="subscript"/>
        <sz val="16"/>
        <color rgb="FF000000"/>
        <rFont val="Calibri"/>
        <family val="2"/>
        <scheme val="minor"/>
      </rPr>
      <t>24</t>
    </r>
    <r>
      <rPr>
        <sz val="16"/>
        <color rgb="FF000000"/>
        <rFont val="Calibri"/>
        <family val="2"/>
        <scheme val="minor"/>
      </rPr>
      <t xml:space="preserve"> + C</t>
    </r>
    <r>
      <rPr>
        <vertAlign val="subscript"/>
        <sz val="16"/>
        <color rgb="FF000000"/>
        <rFont val="Calibri"/>
        <family val="2"/>
        <scheme val="minor"/>
      </rPr>
      <t>6</t>
    </r>
    <r>
      <rPr>
        <sz val="16"/>
        <color rgb="FF000000"/>
        <rFont val="Calibri"/>
        <family val="2"/>
        <scheme val="minor"/>
      </rPr>
      <t>H</t>
    </r>
    <r>
      <rPr>
        <vertAlign val="subscript"/>
        <sz val="16"/>
        <color rgb="FF000000"/>
        <rFont val="Calibri"/>
        <family val="2"/>
        <scheme val="minor"/>
      </rPr>
      <t>14</t>
    </r>
    <r>
      <rPr>
        <sz val="16"/>
        <color rgb="FF000000"/>
        <rFont val="Calibri"/>
        <family val="2"/>
        <scheme val="minor"/>
      </rPr>
      <t>) + 0.23(C</t>
    </r>
    <r>
      <rPr>
        <vertAlign val="subscript"/>
        <sz val="16"/>
        <color rgb="FF000000"/>
        <rFont val="Calibri"/>
        <family val="2"/>
        <scheme val="minor"/>
      </rPr>
      <t>8</t>
    </r>
    <r>
      <rPr>
        <sz val="16"/>
        <color rgb="FF000000"/>
        <rFont val="Calibri"/>
        <family val="2"/>
        <scheme val="minor"/>
      </rPr>
      <t>H</t>
    </r>
    <r>
      <rPr>
        <vertAlign val="subscript"/>
        <sz val="16"/>
        <color rgb="FF000000"/>
        <rFont val="Calibri"/>
        <family val="2"/>
        <scheme val="minor"/>
      </rPr>
      <t>18</t>
    </r>
    <r>
      <rPr>
        <sz val="16"/>
        <color rgb="FF000000"/>
        <rFont val="Calibri"/>
        <family val="2"/>
        <scheme val="minor"/>
      </rPr>
      <t xml:space="preserve"> + C</t>
    </r>
    <r>
      <rPr>
        <vertAlign val="subscript"/>
        <sz val="16"/>
        <color rgb="FF000000"/>
        <rFont val="Calibri"/>
        <family val="2"/>
        <scheme val="minor"/>
      </rPr>
      <t>9</t>
    </r>
    <r>
      <rPr>
        <sz val="16"/>
        <color rgb="FF000000"/>
        <rFont val="Calibri"/>
        <family val="2"/>
        <scheme val="minor"/>
      </rPr>
      <t>H</t>
    </r>
    <r>
      <rPr>
        <vertAlign val="subscript"/>
        <sz val="16"/>
        <color rgb="FF000000"/>
        <rFont val="Calibri"/>
        <family val="2"/>
        <scheme val="minor"/>
      </rPr>
      <t>20</t>
    </r>
    <r>
      <rPr>
        <sz val="16"/>
        <color rgb="FF000000"/>
        <rFont val="Calibri"/>
        <family val="2"/>
        <scheme val="minor"/>
      </rPr>
      <t>) + 0.17(C</t>
    </r>
    <r>
      <rPr>
        <vertAlign val="subscript"/>
        <sz val="16"/>
        <color rgb="FF000000"/>
        <rFont val="Calibri"/>
        <family val="2"/>
        <scheme val="minor"/>
      </rPr>
      <t>13</t>
    </r>
    <r>
      <rPr>
        <sz val="16"/>
        <color rgb="FF000000"/>
        <rFont val="Calibri"/>
        <family val="2"/>
        <scheme val="minor"/>
      </rPr>
      <t>H</t>
    </r>
    <r>
      <rPr>
        <vertAlign val="subscript"/>
        <sz val="16"/>
        <color rgb="FF000000"/>
        <rFont val="Calibri"/>
        <family val="2"/>
        <scheme val="minor"/>
      </rPr>
      <t>28</t>
    </r>
    <r>
      <rPr>
        <sz val="16"/>
        <color rgb="FF000000"/>
        <rFont val="Calibri"/>
        <family val="2"/>
        <scheme val="minor"/>
      </rPr>
      <t xml:space="preserve"> + C</t>
    </r>
    <r>
      <rPr>
        <vertAlign val="subscript"/>
        <sz val="16"/>
        <color rgb="FF000000"/>
        <rFont val="Calibri"/>
        <family val="2"/>
        <scheme val="minor"/>
      </rPr>
      <t>4</t>
    </r>
    <r>
      <rPr>
        <sz val="16"/>
        <color rgb="FF000000"/>
        <rFont val="Calibri"/>
        <family val="2"/>
        <scheme val="minor"/>
      </rPr>
      <t>H</t>
    </r>
    <r>
      <rPr>
        <vertAlign val="subscript"/>
        <sz val="16"/>
        <color rgb="FF000000"/>
        <rFont val="Calibri"/>
        <family val="2"/>
        <scheme val="minor"/>
      </rPr>
      <t>10</t>
    </r>
    <r>
      <rPr>
        <sz val="16"/>
        <color rgb="FF000000"/>
        <rFont val="Calibri"/>
        <family val="2"/>
        <scheme val="minor"/>
      </rPr>
      <t>) + 0.23(C</t>
    </r>
    <r>
      <rPr>
        <vertAlign val="subscript"/>
        <sz val="16"/>
        <color rgb="FF000000"/>
        <rFont val="Calibri"/>
        <family val="2"/>
        <scheme val="minor"/>
      </rPr>
      <t>12</t>
    </r>
    <r>
      <rPr>
        <sz val="16"/>
        <color rgb="FF000000"/>
        <rFont val="Calibri"/>
        <family val="2"/>
        <scheme val="minor"/>
      </rPr>
      <t>H</t>
    </r>
    <r>
      <rPr>
        <vertAlign val="subscript"/>
        <sz val="16"/>
        <color rgb="FF000000"/>
        <rFont val="Calibri"/>
        <family val="2"/>
        <scheme val="minor"/>
      </rPr>
      <t>26</t>
    </r>
    <r>
      <rPr>
        <sz val="16"/>
        <color rgb="FF000000"/>
        <rFont val="Calibri"/>
        <family val="2"/>
        <scheme val="minor"/>
      </rPr>
      <t>+C</t>
    </r>
    <r>
      <rPr>
        <vertAlign val="subscript"/>
        <sz val="16"/>
        <color rgb="FF000000"/>
        <rFont val="Calibri"/>
        <family val="2"/>
        <scheme val="minor"/>
      </rPr>
      <t>5</t>
    </r>
    <r>
      <rPr>
        <sz val="16"/>
        <color rgb="FF000000"/>
        <rFont val="Calibri"/>
        <family val="2"/>
        <scheme val="minor"/>
      </rPr>
      <t>H</t>
    </r>
    <r>
      <rPr>
        <vertAlign val="subscript"/>
        <sz val="16"/>
        <color rgb="FF000000"/>
        <rFont val="Calibri"/>
        <family val="2"/>
        <scheme val="minor"/>
      </rPr>
      <t>12</t>
    </r>
    <r>
      <rPr>
        <sz val="16"/>
        <color rgb="FF000000"/>
        <rFont val="Calibri"/>
        <family val="2"/>
        <scheme val="minor"/>
      </rPr>
      <t>)</t>
    </r>
  </si>
  <si>
    <r>
      <t xml:space="preserve"> 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 xml:space="preserve"> + 0.9H</t>
    </r>
    <r>
      <rPr>
        <vertAlign val="subscript"/>
        <sz val="16"/>
        <color rgb="FF000000"/>
        <rFont val="Calibri"/>
        <family val="2"/>
        <scheme val="minor"/>
      </rPr>
      <t>2</t>
    </r>
    <r>
      <rPr>
        <sz val="16"/>
        <color rgb="FF000000"/>
        <rFont val="Calibri"/>
        <family val="2"/>
        <scheme val="minor"/>
      </rPr>
      <t xml:space="preserve"> → 0.1C</t>
    </r>
    <r>
      <rPr>
        <vertAlign val="subscript"/>
        <sz val="16"/>
        <color rgb="FF000000"/>
        <rFont val="Calibri"/>
        <family val="2"/>
        <scheme val="minor"/>
      </rPr>
      <t>16</t>
    </r>
    <r>
      <rPr>
        <sz val="16"/>
        <color rgb="FF000000"/>
        <rFont val="Calibri"/>
        <family val="2"/>
        <scheme val="minor"/>
      </rPr>
      <t>H</t>
    </r>
    <r>
      <rPr>
        <vertAlign val="subscript"/>
        <sz val="16"/>
        <color rgb="FF000000"/>
        <rFont val="Calibri"/>
        <family val="2"/>
        <scheme val="minor"/>
      </rPr>
      <t>34</t>
    </r>
    <r>
      <rPr>
        <sz val="16"/>
        <color rgb="FF000000"/>
        <rFont val="Calibri"/>
        <family val="2"/>
        <scheme val="minor"/>
      </rPr>
      <t xml:space="preserve"> + 0.9(C</t>
    </r>
    <r>
      <rPr>
        <vertAlign val="subscript"/>
        <sz val="16"/>
        <color rgb="FF000000"/>
        <rFont val="Calibri"/>
        <family val="2"/>
        <scheme val="minor"/>
      </rPr>
      <t>9</t>
    </r>
    <r>
      <rPr>
        <sz val="16"/>
        <color rgb="FF000000"/>
        <rFont val="Calibri"/>
        <family val="2"/>
        <scheme val="minor"/>
      </rPr>
      <t>H</t>
    </r>
    <r>
      <rPr>
        <vertAlign val="subscript"/>
        <sz val="16"/>
        <color rgb="FF000000"/>
        <rFont val="Calibri"/>
        <family val="2"/>
        <scheme val="minor"/>
      </rPr>
      <t>20</t>
    </r>
    <r>
      <rPr>
        <sz val="16"/>
        <color rgb="FF000000"/>
        <rFont val="Calibri"/>
        <family val="2"/>
        <scheme val="minor"/>
      </rPr>
      <t xml:space="preserve"> + C</t>
    </r>
    <r>
      <rPr>
        <vertAlign val="subscript"/>
        <sz val="16"/>
        <color rgb="FF000000"/>
        <rFont val="Calibri"/>
        <family val="2"/>
        <scheme val="minor"/>
      </rPr>
      <t>7</t>
    </r>
    <r>
      <rPr>
        <sz val="16"/>
        <color rgb="FF000000"/>
        <rFont val="Calibri"/>
        <family val="2"/>
        <scheme val="minor"/>
      </rPr>
      <t>H</t>
    </r>
    <r>
      <rPr>
        <vertAlign val="subscript"/>
        <sz val="16"/>
        <color rgb="FF000000"/>
        <rFont val="Calibri"/>
        <family val="2"/>
        <scheme val="minor"/>
      </rPr>
      <t>16</t>
    </r>
    <r>
      <rPr>
        <sz val="16"/>
        <color rgb="FF000000"/>
        <rFont val="Calibri"/>
        <family val="2"/>
        <scheme val="minor"/>
      </rPr>
      <t>)</t>
    </r>
  </si>
  <si>
    <r>
      <t xml:space="preserve"> C</t>
    </r>
    <r>
      <rPr>
        <vertAlign val="subscript"/>
        <sz val="16"/>
        <color rgb="FF000000"/>
        <rFont val="Calibri"/>
        <family val="2"/>
        <scheme val="minor"/>
      </rPr>
      <t>15</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 xml:space="preserve"> + 2/3H</t>
    </r>
    <r>
      <rPr>
        <vertAlign val="subscript"/>
        <sz val="16"/>
        <color rgb="FF000000"/>
        <rFont val="Calibri"/>
        <family val="2"/>
        <scheme val="minor"/>
      </rPr>
      <t>2</t>
    </r>
    <r>
      <rPr>
        <sz val="16"/>
        <color rgb="FF000000"/>
        <rFont val="Calibri"/>
        <family val="2"/>
        <scheme val="minor"/>
      </rPr>
      <t xml:space="preserve"> → 1/3C</t>
    </r>
    <r>
      <rPr>
        <vertAlign val="subscript"/>
        <sz val="16"/>
        <color rgb="FF000000"/>
        <rFont val="Calibri"/>
        <family val="2"/>
        <scheme val="minor"/>
      </rPr>
      <t>15</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 xml:space="preserve"> + 2/3(C</t>
    </r>
    <r>
      <rPr>
        <vertAlign val="subscript"/>
        <sz val="16"/>
        <color rgb="FF000000"/>
        <rFont val="Calibri"/>
        <family val="2"/>
        <scheme val="minor"/>
      </rPr>
      <t>9</t>
    </r>
    <r>
      <rPr>
        <sz val="16"/>
        <color rgb="FF000000"/>
        <rFont val="Calibri"/>
        <family val="2"/>
        <scheme val="minor"/>
      </rPr>
      <t>H</t>
    </r>
    <r>
      <rPr>
        <vertAlign val="subscript"/>
        <sz val="16"/>
        <color rgb="FF000000"/>
        <rFont val="Calibri"/>
        <family val="2"/>
        <scheme val="minor"/>
      </rPr>
      <t>20</t>
    </r>
    <r>
      <rPr>
        <sz val="16"/>
        <color rgb="FF000000"/>
        <rFont val="Calibri"/>
        <family val="2"/>
        <scheme val="minor"/>
      </rPr>
      <t xml:space="preserve"> + C</t>
    </r>
    <r>
      <rPr>
        <vertAlign val="subscript"/>
        <sz val="16"/>
        <color rgb="FF000000"/>
        <rFont val="Calibri"/>
        <family val="2"/>
        <scheme val="minor"/>
      </rPr>
      <t>6</t>
    </r>
    <r>
      <rPr>
        <sz val="16"/>
        <color rgb="FF000000"/>
        <rFont val="Calibri"/>
        <family val="2"/>
        <scheme val="minor"/>
      </rPr>
      <t>H</t>
    </r>
    <r>
      <rPr>
        <vertAlign val="subscript"/>
        <sz val="16"/>
        <color rgb="FF000000"/>
        <rFont val="Calibri"/>
        <family val="2"/>
        <scheme val="minor"/>
      </rPr>
      <t>14</t>
    </r>
    <r>
      <rPr>
        <sz val="16"/>
        <color rgb="FF000000"/>
        <rFont val="Calibri"/>
        <family val="2"/>
        <scheme val="minor"/>
      </rPr>
      <t>)</t>
    </r>
  </si>
  <si>
    <r>
      <t xml:space="preserve"> C</t>
    </r>
    <r>
      <rPr>
        <vertAlign val="subscript"/>
        <sz val="16"/>
        <color rgb="FF000000"/>
        <rFont val="Calibri"/>
        <family val="2"/>
        <scheme val="minor"/>
      </rPr>
      <t>x</t>
    </r>
    <r>
      <rPr>
        <sz val="16"/>
        <color rgb="FF000000"/>
        <rFont val="Calibri"/>
        <family val="2"/>
        <scheme val="minor"/>
      </rPr>
      <t>H</t>
    </r>
    <r>
      <rPr>
        <vertAlign val="subscript"/>
        <sz val="16"/>
        <color rgb="FF000000"/>
        <rFont val="Calibri"/>
        <family val="2"/>
        <scheme val="minor"/>
      </rPr>
      <t>y</t>
    </r>
    <r>
      <rPr>
        <sz val="16"/>
        <color rgb="FF000000"/>
        <rFont val="Calibri"/>
        <family val="2"/>
        <scheme val="minor"/>
      </rPr>
      <t xml:space="preserve"> + 1.1375H</t>
    </r>
    <r>
      <rPr>
        <vertAlign val="subscript"/>
        <sz val="16"/>
        <color rgb="FF000000"/>
        <rFont val="Calibri"/>
        <family val="2"/>
        <scheme val="minor"/>
      </rPr>
      <t>2</t>
    </r>
    <r>
      <rPr>
        <sz val="16"/>
        <color rgb="FF000000"/>
        <rFont val="Calibri"/>
        <family val="2"/>
        <scheme val="minor"/>
      </rPr>
      <t xml:space="preserve"> → 0.2125(C</t>
    </r>
    <r>
      <rPr>
        <vertAlign val="subscript"/>
        <sz val="16"/>
        <color rgb="FF000000"/>
        <rFont val="Calibri"/>
        <family val="2"/>
        <scheme val="minor"/>
      </rPr>
      <t>11</t>
    </r>
    <r>
      <rPr>
        <sz val="16"/>
        <color rgb="FF000000"/>
        <rFont val="Calibri"/>
        <family val="2"/>
        <scheme val="minor"/>
      </rPr>
      <t>H</t>
    </r>
    <r>
      <rPr>
        <vertAlign val="subscript"/>
        <sz val="16"/>
        <color rgb="FF000000"/>
        <rFont val="Calibri"/>
        <family val="2"/>
        <scheme val="minor"/>
      </rPr>
      <t>24</t>
    </r>
    <r>
      <rPr>
        <sz val="16"/>
        <color rgb="FF000000"/>
        <rFont val="Calibri"/>
        <family val="2"/>
        <scheme val="minor"/>
      </rPr>
      <t>) + 0.175(C</t>
    </r>
    <r>
      <rPr>
        <vertAlign val="subscript"/>
        <sz val="16"/>
        <color rgb="FF000000"/>
        <rFont val="Calibri"/>
        <family val="2"/>
        <scheme val="minor"/>
      </rPr>
      <t>12</t>
    </r>
    <r>
      <rPr>
        <sz val="16"/>
        <color rgb="FF000000"/>
        <rFont val="Calibri"/>
        <family val="2"/>
        <scheme val="minor"/>
      </rPr>
      <t>H</t>
    </r>
    <r>
      <rPr>
        <vertAlign val="subscript"/>
        <sz val="16"/>
        <color rgb="FF000000"/>
        <rFont val="Calibri"/>
        <family val="2"/>
        <scheme val="minor"/>
      </rPr>
      <t>26</t>
    </r>
    <r>
      <rPr>
        <sz val="16"/>
        <color rgb="FF000000"/>
        <rFont val="Calibri"/>
        <family val="2"/>
        <scheme val="minor"/>
      </rPr>
      <t>) + 0.0875(C</t>
    </r>
    <r>
      <rPr>
        <vertAlign val="subscript"/>
        <sz val="16"/>
        <color rgb="FF000000"/>
        <rFont val="Calibri"/>
        <family val="2"/>
        <scheme val="minor"/>
      </rPr>
      <t>13</t>
    </r>
    <r>
      <rPr>
        <sz val="16"/>
        <color rgb="FF000000"/>
        <rFont val="Calibri"/>
        <family val="2"/>
        <scheme val="minor"/>
      </rPr>
      <t>H</t>
    </r>
    <r>
      <rPr>
        <vertAlign val="subscript"/>
        <sz val="16"/>
        <color rgb="FF000000"/>
        <rFont val="Calibri"/>
        <family val="2"/>
        <scheme val="minor"/>
      </rPr>
      <t>28</t>
    </r>
    <r>
      <rPr>
        <sz val="16"/>
        <color rgb="FF000000"/>
        <rFont val="Calibri"/>
        <family val="2"/>
        <scheme val="minor"/>
      </rPr>
      <t>) + 0.3125(C</t>
    </r>
    <r>
      <rPr>
        <vertAlign val="subscript"/>
        <sz val="16"/>
        <color rgb="FF000000"/>
        <rFont val="Calibri"/>
        <family val="2"/>
        <scheme val="minor"/>
      </rPr>
      <t>14</t>
    </r>
    <r>
      <rPr>
        <sz val="16"/>
        <color rgb="FF000000"/>
        <rFont val="Calibri"/>
        <family val="2"/>
        <scheme val="minor"/>
      </rPr>
      <t>H</t>
    </r>
    <r>
      <rPr>
        <vertAlign val="subscript"/>
        <sz val="16"/>
        <color rgb="FF000000"/>
        <rFont val="Calibri"/>
        <family val="2"/>
        <scheme val="minor"/>
      </rPr>
      <t>30</t>
    </r>
    <r>
      <rPr>
        <sz val="16"/>
        <color rgb="FF000000"/>
        <rFont val="Calibri"/>
        <family val="2"/>
        <scheme val="minor"/>
      </rPr>
      <t>) + 0.2125(C</t>
    </r>
    <r>
      <rPr>
        <vertAlign val="subscript"/>
        <sz val="16"/>
        <color rgb="FF000000"/>
        <rFont val="Calibri"/>
        <family val="2"/>
        <scheme val="minor"/>
      </rPr>
      <t>15</t>
    </r>
    <r>
      <rPr>
        <sz val="16"/>
        <color rgb="FF000000"/>
        <rFont val="Calibri"/>
        <family val="2"/>
        <scheme val="minor"/>
      </rPr>
      <t>H</t>
    </r>
    <r>
      <rPr>
        <vertAlign val="subscript"/>
        <sz val="16"/>
        <color rgb="FF000000"/>
        <rFont val="Calibri"/>
        <family val="2"/>
        <scheme val="minor"/>
      </rPr>
      <t>32</t>
    </r>
    <r>
      <rPr>
        <sz val="16"/>
        <color rgb="FF000000"/>
        <rFont val="Calibri"/>
        <family val="2"/>
        <scheme val="minor"/>
      </rPr>
      <t>)</t>
    </r>
  </si>
  <si>
    <r>
      <t xml:space="preserve"> C</t>
    </r>
    <r>
      <rPr>
        <vertAlign val="subscript"/>
        <sz val="16"/>
        <color rgb="FF000000"/>
        <rFont val="Calibri"/>
        <family val="2"/>
        <scheme val="minor"/>
      </rPr>
      <t>8</t>
    </r>
    <r>
      <rPr>
        <sz val="16"/>
        <color rgb="FF000000"/>
        <rFont val="Calibri"/>
        <family val="2"/>
        <scheme val="minor"/>
      </rPr>
      <t>H</t>
    </r>
    <r>
      <rPr>
        <vertAlign val="subscript"/>
        <sz val="16"/>
        <color rgb="FF000000"/>
        <rFont val="Calibri"/>
        <family val="2"/>
        <scheme val="minor"/>
      </rPr>
      <t>18</t>
    </r>
    <r>
      <rPr>
        <sz val="16"/>
        <color rgb="FF000000"/>
        <rFont val="Calibri"/>
        <family val="2"/>
        <scheme val="minor"/>
      </rPr>
      <t xml:space="preserve"> + 0.5H</t>
    </r>
    <r>
      <rPr>
        <vertAlign val="subscript"/>
        <sz val="16"/>
        <color rgb="FF000000"/>
        <rFont val="Calibri"/>
        <family val="2"/>
        <scheme val="minor"/>
      </rPr>
      <t>2</t>
    </r>
    <r>
      <rPr>
        <sz val="16"/>
        <color rgb="FF000000"/>
        <rFont val="Calibri"/>
        <family val="2"/>
        <scheme val="minor"/>
      </rPr>
      <t xml:space="preserve"> → 0.5(C</t>
    </r>
    <r>
      <rPr>
        <vertAlign val="subscript"/>
        <sz val="16"/>
        <color rgb="FF000000"/>
        <rFont val="Calibri"/>
        <family val="2"/>
        <scheme val="minor"/>
      </rPr>
      <t>8</t>
    </r>
    <r>
      <rPr>
        <sz val="16"/>
        <color rgb="FF000000"/>
        <rFont val="Calibri"/>
        <family val="2"/>
        <scheme val="minor"/>
      </rPr>
      <t>H</t>
    </r>
    <r>
      <rPr>
        <vertAlign val="subscript"/>
        <sz val="16"/>
        <color rgb="FF000000"/>
        <rFont val="Calibri"/>
        <family val="2"/>
        <scheme val="minor"/>
      </rPr>
      <t>18</t>
    </r>
    <r>
      <rPr>
        <sz val="16"/>
        <color rgb="FF000000"/>
        <rFont val="Calibri"/>
        <family val="2"/>
        <scheme val="minor"/>
      </rPr>
      <t>) + 0.5(2C</t>
    </r>
    <r>
      <rPr>
        <vertAlign val="subscript"/>
        <sz val="16"/>
        <color rgb="FF000000"/>
        <rFont val="Calibri"/>
        <family val="2"/>
        <scheme val="minor"/>
      </rPr>
      <t>4</t>
    </r>
    <r>
      <rPr>
        <sz val="16"/>
        <color rgb="FF000000"/>
        <rFont val="Calibri"/>
        <family val="2"/>
        <scheme val="minor"/>
      </rPr>
      <t>H</t>
    </r>
    <r>
      <rPr>
        <vertAlign val="subscript"/>
        <sz val="16"/>
        <color rgb="FF000000"/>
        <rFont val="Calibri"/>
        <family val="2"/>
        <scheme val="minor"/>
      </rPr>
      <t>10</t>
    </r>
    <r>
      <rPr>
        <sz val="16"/>
        <color rgb="FF000000"/>
        <rFont val="Calibri"/>
        <family val="2"/>
        <scheme val="minor"/>
      </rPr>
      <t>)</t>
    </r>
  </si>
  <si>
    <t>Moles cracked</t>
  </si>
  <si>
    <t>Moles H2 used per mole n-</t>
  </si>
  <si>
    <t>Total moles H2 used</t>
  </si>
  <si>
    <t>Total moles of H2 used in cracking</t>
  </si>
  <si>
    <t>Mass of H2 (kg)</t>
  </si>
  <si>
    <t>Hydrogen use Calculations - OLD METHODOLOGY</t>
  </si>
  <si>
    <t>Mass of H2 used in cracking (kg)</t>
  </si>
  <si>
    <t>P.L. Spath, M.K. Mann, Life Cycle Assessment of Hydrogen Production via Natural Gas Steam Reforming, in, Office of Scientific and Technical Information (OSTI), 2000.</t>
  </si>
  <si>
    <t>85% of the oleic acid acid is converted to stearic acid, 15% remains as oleic acid, as is defined by [51].</t>
  </si>
  <si>
    <t>M. Colket, J. Heyne, A.I.o. Aeronautics, Astronautics, Fuel Effects on Operability of Aircraft Gas Turbine Combustors, American Institute of Aeronautics and Astronautics, 2021.</t>
  </si>
  <si>
    <t>[70]</t>
  </si>
  <si>
    <t>Molecular cracking was manipulated to ensure the fuel mix contains a distribution of alkanes representative of Jet-A fuel. The distribution was made to represent a GC x GC analysis by J. Heynes [70].</t>
  </si>
  <si>
    <t>[53] [FP18]</t>
  </si>
  <si>
    <t>[52] [FP23]</t>
  </si>
  <si>
    <t>[53] [FP23]</t>
  </si>
  <si>
    <t>[54] [FP25]</t>
  </si>
  <si>
    <t>[FP27]</t>
  </si>
  <si>
    <t>[FP35]</t>
  </si>
  <si>
    <t>This is the reaction mechanism derived from [51], and used to supply the mass flow for the conversion of UCO to SAF &amp; co-products.</t>
  </si>
  <si>
    <t>Used Cooking Oil to fatty acids.</t>
  </si>
  <si>
    <r>
      <t xml:space="preserve">Fatty acid </t>
    </r>
    <r>
      <rPr>
        <b/>
        <sz val="16"/>
        <color theme="1"/>
        <rFont val="Calibri"/>
        <family val="2"/>
        <scheme val="minor"/>
      </rPr>
      <t>hydrogenation</t>
    </r>
    <r>
      <rPr>
        <sz val="16"/>
        <color theme="1"/>
        <rFont val="Calibri"/>
        <family val="2"/>
        <scheme val="minor"/>
      </rPr>
      <t xml:space="preserve"> to saturated fatty acid (100%).</t>
    </r>
  </si>
  <si>
    <r>
      <t xml:space="preserve">Fatty acid </t>
    </r>
    <r>
      <rPr>
        <b/>
        <sz val="16"/>
        <color theme="1"/>
        <rFont val="Calibri"/>
        <family val="2"/>
        <scheme val="minor"/>
      </rPr>
      <t>hydrogenation</t>
    </r>
    <r>
      <rPr>
        <sz val="16"/>
        <color theme="1"/>
        <rFont val="Calibri"/>
        <family val="2"/>
        <scheme val="minor"/>
      </rPr>
      <t xml:space="preserve"> to saturated fatty acid (15%).</t>
    </r>
  </si>
  <si>
    <r>
      <t xml:space="preserve">Saturated fatty acid </t>
    </r>
    <r>
      <rPr>
        <b/>
        <sz val="16"/>
        <color theme="1"/>
        <rFont val="Calibri"/>
        <family val="2"/>
        <scheme val="minor"/>
      </rPr>
      <t>decarboxylation</t>
    </r>
    <r>
      <rPr>
        <sz val="16"/>
        <color theme="1"/>
        <rFont val="Calibri"/>
        <family val="2"/>
        <scheme val="minor"/>
      </rPr>
      <t xml:space="preserve"> to (normal) alkanes.</t>
    </r>
  </si>
  <si>
    <r>
      <t xml:space="preserve">Fatty acid </t>
    </r>
    <r>
      <rPr>
        <b/>
        <sz val="16"/>
        <color theme="1"/>
        <rFont val="Calibri"/>
        <family val="2"/>
        <scheme val="minor"/>
      </rPr>
      <t>decarboxylation</t>
    </r>
    <r>
      <rPr>
        <sz val="16"/>
        <color theme="1"/>
        <rFont val="Calibri"/>
        <family val="2"/>
        <scheme val="minor"/>
      </rPr>
      <t xml:space="preserve"> to (normal) alkenes.</t>
    </r>
  </si>
  <si>
    <r>
      <t xml:space="preserve">Saturated fatty acid </t>
    </r>
    <r>
      <rPr>
        <b/>
        <sz val="16"/>
        <color theme="1"/>
        <rFont val="Calibri"/>
        <family val="2"/>
        <scheme val="minor"/>
      </rPr>
      <t>decarbonylation</t>
    </r>
    <r>
      <rPr>
        <sz val="16"/>
        <color theme="1"/>
        <rFont val="Calibri"/>
        <family val="2"/>
        <scheme val="minor"/>
      </rPr>
      <t xml:space="preserve"> to (normal) alkanes.</t>
    </r>
  </si>
  <si>
    <r>
      <t xml:space="preserve">Fatty acid </t>
    </r>
    <r>
      <rPr>
        <b/>
        <sz val="16"/>
        <color theme="1"/>
        <rFont val="Calibri"/>
        <family val="2"/>
        <scheme val="minor"/>
      </rPr>
      <t>decarbonylation</t>
    </r>
    <r>
      <rPr>
        <sz val="16"/>
        <color theme="1"/>
        <rFont val="Calibri"/>
        <family val="2"/>
        <scheme val="minor"/>
      </rPr>
      <t xml:space="preserve"> to (normal) alkenes.</t>
    </r>
  </si>
  <si>
    <r>
      <t xml:space="preserve">Saturated fatty acid </t>
    </r>
    <r>
      <rPr>
        <b/>
        <sz val="16"/>
        <color theme="1"/>
        <rFont val="Calibri"/>
        <family val="2"/>
        <scheme val="minor"/>
      </rPr>
      <t>hydrodeoxygenation</t>
    </r>
    <r>
      <rPr>
        <sz val="16"/>
        <color theme="1"/>
        <rFont val="Calibri"/>
        <family val="2"/>
        <scheme val="minor"/>
      </rPr>
      <t xml:space="preserve"> to (normal) alkanes.</t>
    </r>
  </si>
  <si>
    <r>
      <t xml:space="preserve">Fatty acid </t>
    </r>
    <r>
      <rPr>
        <b/>
        <sz val="16"/>
        <color theme="1"/>
        <rFont val="Calibri"/>
        <family val="2"/>
        <scheme val="minor"/>
      </rPr>
      <t>hydrodeoxygenation</t>
    </r>
    <r>
      <rPr>
        <sz val="16"/>
        <color theme="1"/>
        <rFont val="Calibri"/>
        <family val="2"/>
        <scheme val="minor"/>
      </rPr>
      <t xml:space="preserve"> to (normal) alkenes.</t>
    </r>
  </si>
  <si>
    <r>
      <t xml:space="preserve">Alkenes </t>
    </r>
    <r>
      <rPr>
        <b/>
        <sz val="16"/>
        <color theme="1"/>
        <rFont val="Calibri"/>
        <family val="2"/>
        <scheme val="minor"/>
      </rPr>
      <t>hydrogenation</t>
    </r>
    <r>
      <rPr>
        <sz val="16"/>
        <color theme="1"/>
        <rFont val="Calibri"/>
        <family val="2"/>
        <scheme val="minor"/>
      </rPr>
      <t xml:space="preserve"> to alkanes.</t>
    </r>
  </si>
  <si>
    <r>
      <t>Alkenes</t>
    </r>
    <r>
      <rPr>
        <b/>
        <sz val="16"/>
        <color theme="1"/>
        <rFont val="Calibri"/>
        <family val="2"/>
        <scheme val="minor"/>
      </rPr>
      <t xml:space="preserve"> hydrogenation</t>
    </r>
    <r>
      <rPr>
        <sz val="16"/>
        <color theme="1"/>
        <rFont val="Calibri"/>
        <family val="2"/>
        <scheme val="minor"/>
      </rPr>
      <t xml:space="preserve"> to alkanes.</t>
    </r>
  </si>
  <si>
    <r>
      <rPr>
        <b/>
        <sz val="16"/>
        <color theme="1"/>
        <rFont val="Calibri"/>
        <family val="2"/>
        <scheme val="minor"/>
      </rPr>
      <t>Cracking</t>
    </r>
    <r>
      <rPr>
        <sz val="16"/>
        <color theme="1"/>
        <rFont val="Calibri"/>
        <family val="2"/>
        <scheme val="minor"/>
      </rPr>
      <t xml:space="preserve"> of octadecane.</t>
    </r>
  </si>
  <si>
    <r>
      <rPr>
        <b/>
        <sz val="16"/>
        <color theme="1"/>
        <rFont val="Calibri"/>
        <family val="2"/>
        <scheme val="minor"/>
      </rPr>
      <t>Cracking</t>
    </r>
    <r>
      <rPr>
        <sz val="16"/>
        <color theme="1"/>
        <rFont val="Calibri"/>
        <family val="2"/>
        <scheme val="minor"/>
      </rPr>
      <t xml:space="preserve"> of heptadecane.</t>
    </r>
  </si>
  <si>
    <r>
      <rPr>
        <b/>
        <sz val="16"/>
        <color theme="1"/>
        <rFont val="Calibri"/>
        <family val="2"/>
        <scheme val="minor"/>
      </rPr>
      <t>Cracking</t>
    </r>
    <r>
      <rPr>
        <sz val="16"/>
        <color theme="1"/>
        <rFont val="Calibri"/>
        <family val="2"/>
        <scheme val="minor"/>
      </rPr>
      <t xml:space="preserve"> of hexadecane.</t>
    </r>
  </si>
  <si>
    <r>
      <rPr>
        <b/>
        <sz val="16"/>
        <color theme="1"/>
        <rFont val="Calibri"/>
        <family val="2"/>
        <scheme val="minor"/>
      </rPr>
      <t>Cracking</t>
    </r>
    <r>
      <rPr>
        <sz val="16"/>
        <color theme="1"/>
        <rFont val="Calibri"/>
        <family val="2"/>
        <scheme val="minor"/>
      </rPr>
      <t xml:space="preserve"> of pentadecane.</t>
    </r>
  </si>
  <si>
    <r>
      <rPr>
        <b/>
        <sz val="16"/>
        <color theme="1"/>
        <rFont val="Calibri"/>
        <family val="2"/>
        <scheme val="minor"/>
      </rPr>
      <t>Cracking</t>
    </r>
    <r>
      <rPr>
        <sz val="16"/>
        <color theme="1"/>
        <rFont val="Calibri"/>
        <family val="2"/>
        <scheme val="minor"/>
      </rPr>
      <t xml:space="preserve"> of unknown paraffins.</t>
    </r>
  </si>
  <si>
    <r>
      <rPr>
        <b/>
        <sz val="16"/>
        <color theme="1"/>
        <rFont val="Calibri"/>
        <family val="2"/>
        <scheme val="minor"/>
      </rPr>
      <t>Cracking</t>
    </r>
    <r>
      <rPr>
        <sz val="16"/>
        <color theme="1"/>
        <rFont val="Calibri"/>
        <family val="2"/>
        <scheme val="minor"/>
      </rPr>
      <t xml:space="preserve"> of octane.</t>
    </r>
  </si>
  <si>
    <t>The assumption is thought to be accurate</t>
  </si>
  <si>
    <t>B. Gawron, T. Białecki, A. Janicka, T. Suchocki, Combustion and Emissions Characteristics of the Turbine Engine Fueled with HEFA Blends from Different Feedstocks, Energies, 13 (2020) 1277.</t>
  </si>
  <si>
    <t>[71]</t>
  </si>
  <si>
    <t>42.8 = ASTM D 7566 min.</t>
  </si>
  <si>
    <t>C9</t>
  </si>
  <si>
    <t>C10</t>
  </si>
  <si>
    <t>C11</t>
  </si>
  <si>
    <t>C12</t>
  </si>
  <si>
    <t>C13</t>
  </si>
  <si>
    <t>C14</t>
  </si>
  <si>
    <t>C15</t>
  </si>
  <si>
    <t>C16</t>
  </si>
  <si>
    <t>P. Vozka et al. (HEFA)</t>
  </si>
  <si>
    <t>Second Hydrotreatment</t>
  </si>
  <si>
    <t>Water/Gas Removal</t>
  </si>
  <si>
    <r>
      <t>This result is purely for energy use, does not include the hydrogen production and the intrinsic CO</t>
    </r>
    <r>
      <rPr>
        <vertAlign val="subscript"/>
        <sz val="11"/>
        <color theme="1"/>
        <rFont val="Calibri"/>
        <family val="2"/>
        <scheme val="minor"/>
      </rPr>
      <t>2</t>
    </r>
  </si>
  <si>
    <t>SAF Energy Density (MJ/kg)</t>
  </si>
  <si>
    <t>System Efficiency</t>
  </si>
  <si>
    <t>this is new JRC data</t>
  </si>
  <si>
    <t>Initial Hydrocracking</t>
  </si>
  <si>
    <t>Deoxygenation / Decarbonisation / Hydrodeoxygenation</t>
  </si>
  <si>
    <t>Water Removal/ Separation of Co-Product Gases</t>
  </si>
  <si>
    <t>Naphtha purifcation</t>
  </si>
  <si>
    <t>[46][71]</t>
  </si>
  <si>
    <t>Neat HEFA UCO Aviation Fuel</t>
  </si>
  <si>
    <t>Fossil Jet-A1</t>
  </si>
  <si>
    <t>40% Blend HEFA UCO Aviation Fuel vs Fossil Jet-A1</t>
  </si>
  <si>
    <t>[A40]</t>
  </si>
  <si>
    <t>[A41]</t>
  </si>
  <si>
    <t>[A42]</t>
  </si>
  <si>
    <t>V. Oreopoulou, M. Krokida, D. Marinos-Kouris, 52 Frying of Foods, Handbook of Industrial Drying, Fourth Edition, (2006).</t>
  </si>
  <si>
    <t>Oleic Acid</t>
  </si>
  <si>
    <t xml:space="preserve">Palmitic Acid </t>
  </si>
  <si>
    <t>Palmitic Acid</t>
  </si>
  <si>
    <t>TCDFPM</t>
  </si>
  <si>
    <t>Palmitic Acid is a molecule within the fuel mixture.</t>
  </si>
  <si>
    <t>Oleic Acid is a molecule within the fuel mixture.</t>
  </si>
  <si>
    <t>Heat loss</t>
  </si>
  <si>
    <t>Initial Hydrotreatment</t>
  </si>
  <si>
    <t>Jet fuel yield</t>
  </si>
  <si>
    <t>Jathropa</t>
  </si>
  <si>
    <t>Pennycress</t>
  </si>
  <si>
    <t>Castor</t>
  </si>
  <si>
    <t>Yellow grease</t>
  </si>
  <si>
    <t>Diesel yield</t>
  </si>
  <si>
    <t>Gasoline</t>
  </si>
  <si>
    <t>n-parraffins</t>
  </si>
  <si>
    <t>Naptha</t>
  </si>
  <si>
    <t>EF</t>
  </si>
  <si>
    <t>gCO2/kg SAF</t>
  </si>
  <si>
    <t>gCO2e/MJ SAF</t>
  </si>
  <si>
    <t>kg CO2/mmBTU</t>
  </si>
  <si>
    <t>https://www.eia.gov/environment/emissions/co2_vol_mass.php</t>
  </si>
  <si>
    <t>https://www.sciencedirect.com/science/article/pii/S0016236122031726</t>
  </si>
  <si>
    <t>Energy allocation Results</t>
  </si>
  <si>
    <t>Production Process</t>
  </si>
  <si>
    <t>Biodiesel</t>
  </si>
  <si>
    <t>Biodeisel</t>
  </si>
  <si>
    <t>Jet fuel</t>
  </si>
  <si>
    <t>MJ/100 kg UCO</t>
  </si>
  <si>
    <t>gCO2e/100kg UCO</t>
  </si>
  <si>
    <t>Energy (MJ) /</t>
  </si>
  <si>
    <t>(Energy (MJ) /MJ SAF Produced)*EF_method*EF Share</t>
  </si>
  <si>
    <t>MJ SAF produced</t>
  </si>
  <si>
    <t xml:space="preserve"> MJ SAF produced</t>
  </si>
  <si>
    <t>Reaction Mechanism Breakdown:</t>
  </si>
  <si>
    <t xml:space="preserve">kg </t>
  </si>
  <si>
    <t>H2 use</t>
  </si>
  <si>
    <t>Hydrogen Production Emissions Value</t>
  </si>
  <si>
    <t>Tool</t>
  </si>
  <si>
    <r>
      <t>(kg H</t>
    </r>
    <r>
      <rPr>
        <b/>
        <vertAlign val="subscript"/>
        <sz val="9"/>
        <color theme="1"/>
        <rFont val="Calibri"/>
        <family val="2"/>
        <scheme val="minor"/>
      </rPr>
      <t>2</t>
    </r>
    <r>
      <rPr>
        <b/>
        <sz val="9"/>
        <color theme="1"/>
        <rFont val="Calibri"/>
        <family val="2"/>
        <scheme val="minor"/>
      </rPr>
      <t>/kg HRJ)</t>
    </r>
  </si>
  <si>
    <r>
      <t>Hydrogen Emission Factor (kgCO</t>
    </r>
    <r>
      <rPr>
        <b/>
        <vertAlign val="subscript"/>
        <sz val="9"/>
        <color theme="1"/>
        <rFont val="Calibri"/>
        <family val="2"/>
        <scheme val="minor"/>
      </rPr>
      <t>2</t>
    </r>
    <r>
      <rPr>
        <b/>
        <sz val="9"/>
        <color theme="1"/>
        <rFont val="Calibri"/>
        <family val="2"/>
        <scheme val="minor"/>
      </rPr>
      <t>/kg H</t>
    </r>
    <r>
      <rPr>
        <b/>
        <vertAlign val="subscript"/>
        <sz val="9"/>
        <color theme="1"/>
        <rFont val="Calibri"/>
        <family val="2"/>
        <scheme val="minor"/>
      </rPr>
      <t>2</t>
    </r>
    <r>
      <rPr>
        <b/>
        <sz val="9"/>
        <color theme="1"/>
        <rFont val="Calibri"/>
        <family val="2"/>
        <scheme val="minor"/>
      </rPr>
      <t>)</t>
    </r>
  </si>
  <si>
    <t>Yield of HRJ from 100% feedstock</t>
  </si>
  <si>
    <t>HRJ LHV (MJ/kg HRJ)</t>
  </si>
  <si>
    <r>
      <t>Unallocated Hydrogen Production Emissions (gCO</t>
    </r>
    <r>
      <rPr>
        <b/>
        <vertAlign val="subscript"/>
        <sz val="9"/>
        <color theme="1"/>
        <rFont val="Calibri"/>
        <family val="2"/>
        <scheme val="minor"/>
      </rPr>
      <t>2</t>
    </r>
    <r>
      <rPr>
        <b/>
        <sz val="9"/>
        <color theme="1"/>
        <rFont val="Calibri"/>
        <family val="2"/>
        <scheme val="minor"/>
      </rPr>
      <t>e/MJ)</t>
    </r>
  </si>
  <si>
    <t>Allocation of co-products</t>
  </si>
  <si>
    <r>
      <t>(gCO</t>
    </r>
    <r>
      <rPr>
        <b/>
        <vertAlign val="subscript"/>
        <sz val="9"/>
        <color rgb="FF000000"/>
        <rFont val="Calibri"/>
        <family val="2"/>
        <scheme val="minor"/>
      </rPr>
      <t>2</t>
    </r>
    <r>
      <rPr>
        <b/>
        <sz val="9"/>
        <color rgb="FF000000"/>
        <rFont val="Calibri"/>
        <family val="2"/>
        <scheme val="minor"/>
      </rPr>
      <t>e/MJ)</t>
    </r>
  </si>
  <si>
    <r>
      <t>Allocated Hydrogen Production Emissions (gCO</t>
    </r>
    <r>
      <rPr>
        <b/>
        <vertAlign val="subscript"/>
        <sz val="9"/>
        <color theme="1"/>
        <rFont val="Calibri"/>
        <family val="2"/>
        <scheme val="minor"/>
      </rPr>
      <t>2</t>
    </r>
    <r>
      <rPr>
        <b/>
        <sz val="9"/>
        <color theme="1"/>
        <rFont val="Calibri"/>
        <family val="2"/>
        <scheme val="minor"/>
      </rPr>
      <t>e/MJ)</t>
    </r>
  </si>
  <si>
    <t>ratio of products</t>
  </si>
  <si>
    <t xml:space="preserve">Decrease products by </t>
  </si>
  <si>
    <t>Hydrogen leftover</t>
  </si>
  <si>
    <t>Current</t>
  </si>
  <si>
    <t>Property analysis</t>
  </si>
  <si>
    <t>isomerised</t>
  </si>
  <si>
    <t>Total misture fractions</t>
  </si>
  <si>
    <t>alkanes</t>
  </si>
  <si>
    <t>iso-alkanes</t>
  </si>
  <si>
    <t>nonane</t>
  </si>
  <si>
    <t>Viscosity @ -20</t>
  </si>
  <si>
    <t>uPa*s</t>
  </si>
  <si>
    <t>Density</t>
  </si>
  <si>
    <t>Density @ 20 C</t>
  </si>
  <si>
    <t>mol/l</t>
  </si>
  <si>
    <t>decane</t>
  </si>
  <si>
    <t>dodecane</t>
  </si>
  <si>
    <t>kg/m^3</t>
  </si>
  <si>
    <t>undecane</t>
  </si>
  <si>
    <t>at -9</t>
  </si>
  <si>
    <t>at low pressure</t>
  </si>
  <si>
    <t>tridecane</t>
  </si>
  <si>
    <t>tetradecane</t>
  </si>
  <si>
    <t>pentadecane</t>
  </si>
  <si>
    <t>Freexing point</t>
  </si>
  <si>
    <t>kg m-3</t>
  </si>
  <si>
    <t>Flash Point</t>
  </si>
  <si>
    <t>Smoke Point</t>
  </si>
  <si>
    <t>Net heat of Combustion</t>
  </si>
  <si>
    <t>Aromatics</t>
  </si>
  <si>
    <t>Distillation temperature</t>
  </si>
  <si>
    <t>10% recovered</t>
  </si>
  <si>
    <t>50% recovered</t>
  </si>
  <si>
    <t>90% recovered</t>
  </si>
  <si>
    <t>Final boiling point</t>
  </si>
  <si>
    <t>Distillation residue</t>
  </si>
  <si>
    <t>Distillation loss</t>
  </si>
  <si>
    <t>Acidity</t>
  </si>
  <si>
    <t>Viscosity</t>
  </si>
  <si>
    <t>Gum content</t>
  </si>
  <si>
    <t>Sulfur</t>
  </si>
  <si>
    <t>DCN</t>
  </si>
  <si>
    <t>mm</t>
  </si>
  <si>
    <t>vol%</t>
  </si>
  <si>
    <t>mg KOH/g</t>
  </si>
  <si>
    <t>mm^2/s @-20 C</t>
  </si>
  <si>
    <t>mg /100 ml</t>
  </si>
  <si>
    <t>wi%</t>
  </si>
  <si>
    <t>PubChem</t>
  </si>
  <si>
    <t>Surface Tension</t>
  </si>
  <si>
    <t>uPa*s @-20</t>
  </si>
  <si>
    <t>atmospheric</t>
  </si>
  <si>
    <t>10MP</t>
  </si>
  <si>
    <t>mN/m</t>
  </si>
  <si>
    <t>at 25 C</t>
  </si>
  <si>
    <t>name</t>
  </si>
  <si>
    <t>chain length</t>
  </si>
  <si>
    <t>ChemSpider</t>
  </si>
  <si>
    <t>MatWebb</t>
  </si>
  <si>
    <t>mm2/s at 5 C</t>
  </si>
  <si>
    <t>mm2/s at -10 C</t>
  </si>
  <si>
    <t>mm2/s at -10</t>
  </si>
  <si>
    <t>Landolt-Bornstein</t>
  </si>
  <si>
    <t>10.1007/b60566</t>
  </si>
  <si>
    <t>For a pure alkane fuel</t>
  </si>
  <si>
    <t>Properties</t>
  </si>
  <si>
    <t>Boiling Point</t>
  </si>
  <si>
    <t>mm2/s at -20</t>
  </si>
  <si>
    <t xml:space="preserve">mm2/s </t>
  </si>
  <si>
    <t>Freezing Point (C)</t>
  </si>
  <si>
    <t>Density (kg/m^3 at 15 C)</t>
  </si>
  <si>
    <t>Net heat of combustion (MJ/kg)</t>
  </si>
  <si>
    <t>Smoke Point (mm)</t>
  </si>
  <si>
    <t xml:space="preserve">Flash Point (C) </t>
  </si>
  <si>
    <t>Aromatics (vol%)</t>
  </si>
  <si>
    <t xml:space="preserve">Distillation temperature (C) </t>
  </si>
  <si>
    <t xml:space="preserve">10% recovered (C) </t>
  </si>
  <si>
    <t>90% recovered (C)</t>
  </si>
  <si>
    <t>50% recovered (C)</t>
  </si>
  <si>
    <t xml:space="preserve">Final boiling point (C) </t>
  </si>
  <si>
    <t>Distillation residue (%)</t>
  </si>
  <si>
    <t>Distillation loss (%)</t>
  </si>
  <si>
    <t>Gum content (mg/100 ml)</t>
  </si>
  <si>
    <t>Viscosity (mm^2/s at -20 C)</t>
  </si>
  <si>
    <t>Acidity (mg KOH/g)</t>
  </si>
  <si>
    <t>Sulfur (wt%)</t>
  </si>
  <si>
    <t>Limits</t>
  </si>
  <si>
    <t>Result - Verma</t>
  </si>
  <si>
    <t>Result - LM1</t>
  </si>
  <si>
    <t>D 5972</t>
  </si>
  <si>
    <t>-40 Jet A</t>
  </si>
  <si>
    <t>D 4052</t>
  </si>
  <si>
    <t>775-840</t>
  </si>
  <si>
    <t>D 3828F</t>
  </si>
  <si>
    <t>38 (min)</t>
  </si>
  <si>
    <t>D 1322</t>
  </si>
  <si>
    <t>18 (min)</t>
  </si>
  <si>
    <t>D 4529</t>
  </si>
  <si>
    <t>42.8 (min)</t>
  </si>
  <si>
    <t>D 1319</t>
  </si>
  <si>
    <t>25 (max)</t>
  </si>
  <si>
    <t>D 86D</t>
  </si>
  <si>
    <t>205 (max)</t>
  </si>
  <si>
    <t>300 (max)</t>
  </si>
  <si>
    <t>1.5 (max)</t>
  </si>
  <si>
    <t>D 3242</t>
  </si>
  <si>
    <t>0.1 (max)</t>
  </si>
  <si>
    <t>D 445</t>
  </si>
  <si>
    <t>8 (max)</t>
  </si>
  <si>
    <t>D 381</t>
  </si>
  <si>
    <t>7 (max)</t>
  </si>
  <si>
    <t>D 4294</t>
  </si>
  <si>
    <t>0.30 (max)</t>
  </si>
  <si>
    <t>Compendium of experimental cetane numbers</t>
  </si>
  <si>
    <t>Mannion extrapolation</t>
  </si>
  <si>
    <t>Mannion interpolation</t>
  </si>
  <si>
    <t>D 6890</t>
  </si>
  <si>
    <t>42-80</t>
  </si>
  <si>
    <t>10.1002/slct.201802021</t>
  </si>
  <si>
    <t>kJ/mol</t>
  </si>
  <si>
    <t>net heat of combustion</t>
  </si>
  <si>
    <t>2-methyl-undecane</t>
  </si>
  <si>
    <t>2-methyl-octane</t>
  </si>
  <si>
    <t>2-methyl-nonane</t>
  </si>
  <si>
    <t>2-methyl-decane</t>
  </si>
  <si>
    <t>2-methyl-dodecane</t>
  </si>
  <si>
    <t>2-methyl-tridecane</t>
  </si>
  <si>
    <t>2-methyl-tetradecane</t>
  </si>
  <si>
    <t>Chemspider</t>
  </si>
  <si>
    <t>freezing point</t>
  </si>
  <si>
    <t>Yield</t>
  </si>
  <si>
    <t>Decarbonization Pathways</t>
  </si>
  <si>
    <t>Mannion</t>
  </si>
  <si>
    <t>unknown</t>
  </si>
  <si>
    <t>known</t>
  </si>
  <si>
    <t>Verma</t>
  </si>
  <si>
    <t>Tao</t>
  </si>
  <si>
    <t>Seber</t>
  </si>
  <si>
    <t>Barbera</t>
  </si>
  <si>
    <t>Capaz</t>
  </si>
  <si>
    <t>Zhang</t>
  </si>
  <si>
    <t>Chen</t>
  </si>
  <si>
    <t>Pure alkane fuel mix</t>
  </si>
  <si>
    <t>Literature</t>
  </si>
  <si>
    <t>Mass flow SAF property analyis (mass% mixing)</t>
  </si>
  <si>
    <t>Heynes et al. (HRJ)</t>
  </si>
  <si>
    <t>Pubchem</t>
  </si>
  <si>
    <t>Sigmaaldrich</t>
  </si>
  <si>
    <t>Result - LM2</t>
  </si>
  <si>
    <t>Chemeo</t>
  </si>
  <si>
    <t>ChemSrc</t>
  </si>
  <si>
    <t>730-772</t>
  </si>
  <si>
    <t>low due to no cycloalkanes - TM</t>
  </si>
  <si>
    <t>Low due to no cycloalkanes</t>
  </si>
  <si>
    <t>TM comments</t>
  </si>
  <si>
    <t>D 1331</t>
  </si>
  <si>
    <t>22-29*</t>
  </si>
  <si>
    <t>* Temperature dependant, -10 to 40 C. Value at 20 C is ~26 +/-1</t>
  </si>
  <si>
    <t xml:space="preserve">Density </t>
  </si>
  <si>
    <t xml:space="preserve">Viscosity </t>
  </si>
  <si>
    <t xml:space="preserve">Acidity </t>
  </si>
  <si>
    <t>Net heat of combustion</t>
  </si>
  <si>
    <t>Freezing Point</t>
  </si>
  <si>
    <t>kg/m^3 at 15 C</t>
  </si>
  <si>
    <t xml:space="preserve"> MJ/kg</t>
  </si>
  <si>
    <t xml:space="preserve"> vol%</t>
  </si>
  <si>
    <t>mm^2/s at -20 C</t>
  </si>
  <si>
    <t xml:space="preserve"> wt%</t>
  </si>
  <si>
    <t xml:space="preserve">Total moles cracked </t>
  </si>
  <si>
    <t>mass H2</t>
  </si>
  <si>
    <t>2 H used per 1 crack</t>
  </si>
  <si>
    <t>Hydrogen Use</t>
  </si>
  <si>
    <t>Hydrogen Emissions</t>
  </si>
  <si>
    <t>Mean</t>
  </si>
  <si>
    <t>St. Deviation</t>
  </si>
  <si>
    <t>St. Deviation by hand</t>
  </si>
  <si>
    <t>Average</t>
  </si>
  <si>
    <t>Chu</t>
  </si>
  <si>
    <t>Pearlson</t>
  </si>
  <si>
    <t>C3H8</t>
  </si>
  <si>
    <t>Data for plots</t>
  </si>
  <si>
    <t>Figure 3</t>
  </si>
  <si>
    <t>Figure 5</t>
  </si>
  <si>
    <t>Scenario 1</t>
  </si>
  <si>
    <t>Scenario 2</t>
  </si>
  <si>
    <t>Scenario 3</t>
  </si>
  <si>
    <t>Scenario 4</t>
  </si>
  <si>
    <t>Figure 6</t>
  </si>
  <si>
    <t>Appendix Table 1</t>
  </si>
  <si>
    <t>Mannion average</t>
  </si>
  <si>
    <t>H:C</t>
  </si>
  <si>
    <t>H:c</t>
  </si>
  <si>
    <t>H:</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</si>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</sst>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0.00000"/>
    <numFmt numFmtId="166" formatCode="_-* #,##0_-;\-* #,##0_-;_-* &quot;-&quot;??_-;_-@_-"/>
    <numFmt numFmtId="167" formatCode="_-* #,##0.00000000_-;\-* #,##0.00000000_-;_-* &quot;-&quot;??_-;_-@_-"/>
    <numFmt numFmtId="168" formatCode="0.0"/>
    <numFmt numFmtId="169" formatCode="0.000"/>
    <numFmt numFmtId="170" formatCode="0.0000"/>
  </numFmts>
  <fonts count="5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
      <b/>
      <sz val="11"/>
      <color theme="0"/>
      <name val="Calibri"/>
      <family val="2"/>
      <scheme val="minor"/>
    </font>
    <font>
      <u/>
      <sz val="11"/>
      <color theme="1"/>
      <name val="Calibri"/>
      <family val="2"/>
      <scheme val="minor"/>
    </font>
    <font>
      <sz val="11"/>
      <color rgb="FFFF0000"/>
      <name val="Calibri"/>
      <family val="2"/>
      <scheme val="minor"/>
    </font>
    <font>
      <sz val="11"/>
      <color theme="0"/>
      <name val="Calibri"/>
      <family val="2"/>
      <scheme val="minor"/>
    </font>
    <font>
      <sz val="10"/>
      <color theme="1"/>
      <name val="Calibri"/>
      <family val="2"/>
      <scheme val="minor"/>
    </font>
    <font>
      <sz val="9"/>
      <color indexed="81"/>
      <name val="Tahoma"/>
      <family val="2"/>
    </font>
    <font>
      <b/>
      <sz val="18"/>
      <color theme="1"/>
      <name val="Calibri"/>
      <family val="2"/>
      <scheme val="minor"/>
    </font>
    <font>
      <b/>
      <sz val="14"/>
      <color theme="1"/>
      <name val="Calibri"/>
      <family val="2"/>
      <scheme val="minor"/>
    </font>
    <font>
      <b/>
      <sz val="12"/>
      <color theme="1"/>
      <name val="Calibri"/>
      <family val="2"/>
      <scheme val="minor"/>
    </font>
    <font>
      <b/>
      <vertAlign val="subscript"/>
      <sz val="12"/>
      <color theme="1"/>
      <name val="Calibri"/>
      <family val="2"/>
      <scheme val="minor"/>
    </font>
    <font>
      <b/>
      <sz val="11"/>
      <name val="Calibri"/>
      <family val="2"/>
      <scheme val="minor"/>
    </font>
    <font>
      <vertAlign val="subscript"/>
      <sz val="11"/>
      <color theme="1"/>
      <name val="Calibri"/>
      <family val="2"/>
      <scheme val="minor"/>
    </font>
    <font>
      <b/>
      <sz val="9"/>
      <color indexed="81"/>
      <name val="Tahoma"/>
      <family val="2"/>
    </font>
    <font>
      <b/>
      <sz val="22"/>
      <color theme="1"/>
      <name val="Calibri"/>
      <family val="2"/>
      <scheme val="minor"/>
    </font>
    <font>
      <sz val="26"/>
      <color theme="1"/>
      <name val="Calibri"/>
      <family val="2"/>
      <scheme val="minor"/>
    </font>
    <font>
      <b/>
      <vertAlign val="subscript"/>
      <sz val="11"/>
      <color theme="1"/>
      <name val="Calibri"/>
      <family val="2"/>
      <scheme val="minor"/>
    </font>
    <font>
      <vertAlign val="subscript"/>
      <sz val="11"/>
      <name val="Calibri"/>
      <family val="2"/>
      <scheme val="minor"/>
    </font>
    <font>
      <sz val="11"/>
      <name val="Calibri"/>
      <family val="2"/>
    </font>
    <font>
      <sz val="11"/>
      <color rgb="FF000000"/>
      <name val="Calibri"/>
      <family val="2"/>
    </font>
    <font>
      <sz val="11"/>
      <color rgb="FFFFFFFF"/>
      <name val="Calibri"/>
      <family val="2"/>
    </font>
    <font>
      <b/>
      <sz val="11"/>
      <color theme="0"/>
      <name val="Calibri"/>
      <family val="2"/>
    </font>
    <font>
      <b/>
      <sz val="11"/>
      <color rgb="FF000000"/>
      <name val="Calibri"/>
      <family val="2"/>
    </font>
    <font>
      <b/>
      <vertAlign val="subscript"/>
      <sz val="11"/>
      <color rgb="FF000000"/>
      <name val="Calibri"/>
      <family val="2"/>
    </font>
    <font>
      <b/>
      <sz val="11"/>
      <name val="Calibri"/>
      <family val="2"/>
    </font>
    <font>
      <vertAlign val="subscript"/>
      <sz val="11"/>
      <name val="Calibri"/>
      <family val="2"/>
    </font>
    <font>
      <vertAlign val="subscript"/>
      <sz val="11"/>
      <color rgb="FF000000"/>
      <name val="Calibri"/>
      <family val="2"/>
    </font>
    <font>
      <b/>
      <sz val="11"/>
      <color rgb="FFFFFFFF"/>
      <name val="Calibri"/>
      <family val="2"/>
    </font>
    <font>
      <sz val="9"/>
      <color rgb="FF000000"/>
      <name val="Calibri"/>
      <family val="2"/>
    </font>
    <font>
      <sz val="9"/>
      <color theme="1"/>
      <name val="Times New Roman"/>
      <family val="1"/>
    </font>
    <font>
      <sz val="9"/>
      <color rgb="FF000000"/>
      <name val="Times New Roman"/>
      <family val="1"/>
    </font>
    <font>
      <sz val="9"/>
      <color rgb="FFFFFFFF"/>
      <name val="Times New Roman"/>
      <family val="1"/>
    </font>
    <font>
      <sz val="9"/>
      <color theme="1"/>
      <name val="Calibri"/>
      <family val="2"/>
    </font>
    <font>
      <vertAlign val="superscript"/>
      <sz val="9"/>
      <color theme="1"/>
      <name val="Times New Roman"/>
      <family val="1"/>
    </font>
    <font>
      <sz val="9"/>
      <color rgb="FFFFFFFF"/>
      <name val="Calibri"/>
      <family val="2"/>
    </font>
    <font>
      <sz val="9"/>
      <color theme="0"/>
      <name val="Times New Roman"/>
      <family val="1"/>
    </font>
    <font>
      <b/>
      <vertAlign val="subscript"/>
      <sz val="11"/>
      <color theme="0"/>
      <name val="Calibri"/>
      <family val="2"/>
      <scheme val="minor"/>
    </font>
    <font>
      <sz val="12"/>
      <color theme="1"/>
      <name val="Calibri"/>
      <family val="2"/>
      <scheme val="minor"/>
    </font>
    <font>
      <b/>
      <sz val="12"/>
      <color rgb="FFFF0000"/>
      <name val="Calibri"/>
      <family val="2"/>
      <scheme val="minor"/>
    </font>
    <font>
      <b/>
      <sz val="16"/>
      <color theme="1"/>
      <name val="Calibri"/>
      <family val="2"/>
      <scheme val="minor"/>
    </font>
    <font>
      <sz val="16"/>
      <color rgb="FF000000"/>
      <name val="Calibri"/>
      <family val="2"/>
      <scheme val="minor"/>
    </font>
    <font>
      <vertAlign val="subscript"/>
      <sz val="16"/>
      <color rgb="FF000000"/>
      <name val="Calibri"/>
      <family val="2"/>
      <scheme val="minor"/>
    </font>
    <font>
      <sz val="16"/>
      <color theme="1"/>
      <name val="Calibri"/>
      <family val="2"/>
      <scheme val="minor"/>
    </font>
    <font>
      <b/>
      <sz val="9"/>
      <color theme="1"/>
      <name val="Calibri"/>
      <family val="2"/>
      <scheme val="minor"/>
    </font>
    <font>
      <b/>
      <vertAlign val="subscript"/>
      <sz val="9"/>
      <color theme="1"/>
      <name val="Calibri"/>
      <family val="2"/>
      <scheme val="minor"/>
    </font>
    <font>
      <b/>
      <sz val="9"/>
      <color rgb="FF000000"/>
      <name val="Calibri"/>
      <family val="2"/>
      <scheme val="minor"/>
    </font>
    <font>
      <b/>
      <vertAlign val="subscript"/>
      <sz val="9"/>
      <color rgb="FF000000"/>
      <name val="Calibri"/>
      <family val="2"/>
      <scheme val="minor"/>
    </font>
    <font>
      <sz val="9"/>
      <color rgb="FF000000"/>
      <name val="Calibri"/>
      <family val="2"/>
      <scheme val="minor"/>
    </font>
  </fonts>
  <fills count="4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bgColor indexed="64"/>
      </patternFill>
    </fill>
    <fill>
      <patternFill patternType="solid">
        <fgColor theme="0"/>
        <bgColor indexed="64"/>
      </patternFill>
    </fill>
    <fill>
      <patternFill patternType="solid">
        <fgColor theme="9" tint="0.39997558519241921"/>
        <bgColor indexed="64"/>
      </patternFill>
    </fill>
    <fill>
      <patternFill patternType="solid">
        <fgColor rgb="FFF20000"/>
        <bgColor indexed="64"/>
      </patternFill>
    </fill>
    <fill>
      <patternFill patternType="solid">
        <fgColor rgb="FF00DE64"/>
        <bgColor indexed="64"/>
      </patternFill>
    </fill>
    <fill>
      <patternFill patternType="solid">
        <fgColor rgb="FF00B050"/>
        <bgColor indexed="64"/>
      </patternFill>
    </fill>
    <fill>
      <patternFill patternType="solid">
        <fgColor rgb="FFFFEBAB"/>
        <bgColor indexed="64"/>
      </patternFill>
    </fill>
    <fill>
      <patternFill patternType="solid">
        <fgColor rgb="FFCC66FF"/>
        <bgColor indexed="64"/>
      </patternFill>
    </fill>
    <fill>
      <patternFill patternType="solid">
        <fgColor rgb="FF3FCDFF"/>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theme="4" tint="-0.499984740745262"/>
        <bgColor indexed="64"/>
      </patternFill>
    </fill>
    <fill>
      <patternFill patternType="solid">
        <fgColor rgb="FF203764"/>
        <bgColor indexed="64"/>
      </patternFill>
    </fill>
    <fill>
      <patternFill patternType="solid">
        <fgColor rgb="FFFFFFFF"/>
        <bgColor indexed="64"/>
      </patternFill>
    </fill>
    <fill>
      <patternFill patternType="solid">
        <fgColor rgb="FFDDEBF7"/>
        <bgColor indexed="64"/>
      </patternFill>
    </fill>
    <fill>
      <patternFill patternType="solid">
        <fgColor rgb="FFD9E2F3"/>
        <bgColor indexed="64"/>
      </patternFill>
    </fill>
    <fill>
      <patternFill patternType="solid">
        <fgColor rgb="FF8EAADB"/>
        <bgColor indexed="64"/>
      </patternFill>
    </fill>
    <fill>
      <patternFill patternType="solid">
        <fgColor rgb="FFD9D9D9"/>
        <bgColor indexed="64"/>
      </patternFill>
    </fill>
    <fill>
      <patternFill patternType="solid">
        <fgColor rgb="FF002060"/>
        <bgColor indexed="64"/>
      </patternFill>
    </fill>
    <fill>
      <patternFill patternType="solid">
        <fgColor rgb="FF1F4E79"/>
        <bgColor indexed="64"/>
      </patternFill>
    </fill>
    <fill>
      <patternFill patternType="solid">
        <fgColor theme="2" tint="-0.499984740745262"/>
        <bgColor indexed="64"/>
      </patternFill>
    </fill>
    <fill>
      <patternFill patternType="solid">
        <fgColor theme="8" tint="0.59999389629810485"/>
        <bgColor indexed="64"/>
      </patternFill>
    </fill>
    <fill>
      <patternFill patternType="solid">
        <fgColor theme="5"/>
        <bgColor indexed="64"/>
      </patternFill>
    </fill>
    <fill>
      <patternFill patternType="solid">
        <fgColor theme="5" tint="-0.249977111117893"/>
        <bgColor indexed="64"/>
      </patternFill>
    </fill>
    <fill>
      <patternFill patternType="solid">
        <fgColor theme="7"/>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1" tint="0.34998626667073579"/>
        <bgColor indexed="64"/>
      </patternFill>
    </fill>
  </fills>
  <borders count="8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ck">
        <color auto="1"/>
      </left>
      <right/>
      <top/>
      <bottom/>
      <diagonal/>
    </border>
    <border>
      <left/>
      <right style="thick">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thin">
        <color indexed="64"/>
      </top>
      <bottom/>
      <diagonal/>
    </border>
    <border>
      <left style="thin">
        <color auto="1"/>
      </left>
      <right style="medium">
        <color auto="1"/>
      </right>
      <top style="thin">
        <color auto="1"/>
      </top>
      <bottom style="thin">
        <color auto="1"/>
      </bottom>
      <diagonal/>
    </border>
    <border>
      <left style="medium">
        <color indexed="64"/>
      </left>
      <right style="medium">
        <color indexed="64"/>
      </right>
      <top style="medium">
        <color indexed="64"/>
      </top>
      <bottom/>
      <diagonal/>
    </border>
    <border>
      <left style="medium">
        <color auto="1"/>
      </left>
      <right style="thin">
        <color auto="1"/>
      </right>
      <top style="medium">
        <color auto="1"/>
      </top>
      <bottom/>
      <diagonal/>
    </border>
    <border>
      <left style="thin">
        <color auto="1"/>
      </left>
      <right style="thin">
        <color auto="1"/>
      </right>
      <top style="medium">
        <color indexed="64"/>
      </top>
      <bottom/>
      <diagonal/>
    </border>
    <border>
      <left style="thin">
        <color auto="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medium">
        <color indexed="64"/>
      </left>
      <right style="medium">
        <color indexed="64"/>
      </right>
      <top style="medium">
        <color indexed="64"/>
      </top>
      <bottom style="thin">
        <color auto="1"/>
      </bottom>
      <diagonal/>
    </border>
    <border>
      <left/>
      <right style="thin">
        <color auto="1"/>
      </right>
      <top style="medium">
        <color auto="1"/>
      </top>
      <bottom style="medium">
        <color auto="1"/>
      </bottom>
      <diagonal/>
    </border>
    <border>
      <left style="thin">
        <color auto="1"/>
      </left>
      <right style="medium">
        <color auto="1"/>
      </right>
      <top/>
      <bottom style="thin">
        <color auto="1"/>
      </bottom>
      <diagonal/>
    </border>
    <border>
      <left style="medium">
        <color indexed="64"/>
      </left>
      <right style="medium">
        <color indexed="64"/>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indexed="64"/>
      </right>
      <top style="thin">
        <color auto="1"/>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bottom style="medium">
        <color auto="1"/>
      </bottom>
      <diagonal/>
    </border>
    <border>
      <left style="thin">
        <color auto="1"/>
      </left>
      <right style="medium">
        <color auto="1"/>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medium">
        <color auto="1"/>
      </right>
      <top style="thin">
        <color auto="1"/>
      </top>
      <bottom/>
      <diagonal/>
    </border>
    <border>
      <left style="thin">
        <color auto="1"/>
      </left>
      <right style="thin">
        <color auto="1"/>
      </right>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thin">
        <color auto="1"/>
      </right>
      <top style="thin">
        <color auto="1"/>
      </top>
      <bottom/>
      <diagonal/>
    </border>
    <border>
      <left style="thin">
        <color auto="1"/>
      </left>
      <right style="medium">
        <color auto="1"/>
      </right>
      <top style="thin">
        <color auto="1"/>
      </top>
      <bottom style="medium">
        <color auto="1"/>
      </bottom>
      <diagonal/>
    </border>
    <border>
      <left style="medium">
        <color indexed="64"/>
      </left>
      <right style="medium">
        <color indexed="64"/>
      </right>
      <top/>
      <bottom/>
      <diagonal/>
    </border>
    <border>
      <left/>
      <right style="thin">
        <color auto="1"/>
      </right>
      <top style="medium">
        <color auto="1"/>
      </top>
      <bottom/>
      <diagonal/>
    </border>
    <border>
      <left style="medium">
        <color indexed="64"/>
      </left>
      <right style="thin">
        <color auto="1"/>
      </right>
      <top/>
      <bottom style="medium">
        <color indexed="64"/>
      </bottom>
      <diagonal/>
    </border>
    <border>
      <left/>
      <right style="thin">
        <color auto="1"/>
      </right>
      <top style="medium">
        <color auto="1"/>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auto="1"/>
      </left>
      <right style="thin">
        <color auto="1"/>
      </right>
      <top/>
      <bottom style="thin">
        <color auto="1"/>
      </bottom>
      <diagonal/>
    </border>
    <border>
      <left style="medium">
        <color indexed="64"/>
      </left>
      <right style="medium">
        <color indexed="64"/>
      </right>
      <top/>
      <bottom style="medium">
        <color rgb="FF000000"/>
      </bottom>
      <diagonal/>
    </border>
    <border>
      <left/>
      <right style="medium">
        <color rgb="FF000000"/>
      </right>
      <top style="medium">
        <color indexed="64"/>
      </top>
      <bottom style="medium">
        <color indexed="64"/>
      </bottom>
      <diagonal/>
    </border>
    <border>
      <left style="medium">
        <color indexed="64"/>
      </left>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1249">
    <xf numFmtId="0" fontId="0" fillId="0" borderId="0" xfId="0"/>
    <xf numFmtId="0" fontId="2" fillId="0" borderId="0" xfId="0" applyFont="1"/>
    <xf numFmtId="0" fontId="3" fillId="0" borderId="0" xfId="0" applyFont="1"/>
    <xf numFmtId="0" fontId="2" fillId="0" borderId="0" xfId="0" applyFont="1" applyAlignment="1">
      <alignment horizontal="center"/>
    </xf>
    <xf numFmtId="0" fontId="0" fillId="2" borderId="0" xfId="0" applyFill="1"/>
    <xf numFmtId="0" fontId="0" fillId="0" borderId="0" xfId="0" applyFill="1"/>
    <xf numFmtId="0" fontId="0" fillId="0" borderId="0" xfId="0" applyFont="1"/>
    <xf numFmtId="0" fontId="0" fillId="3" borderId="0" xfId="0" applyFill="1"/>
    <xf numFmtId="0" fontId="0" fillId="4" borderId="0" xfId="0" applyFill="1"/>
    <xf numFmtId="0" fontId="0" fillId="5" borderId="0" xfId="0" applyFill="1"/>
    <xf numFmtId="15" fontId="0" fillId="0" borderId="0" xfId="0" applyNumberFormat="1"/>
    <xf numFmtId="0" fontId="0" fillId="0" borderId="4" xfId="0" applyBorder="1"/>
    <xf numFmtId="0" fontId="0" fillId="6" borderId="0" xfId="0" applyFill="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10" xfId="0" applyBorder="1" applyAlignment="1">
      <alignment horizontal="center" wrapText="1"/>
    </xf>
    <xf numFmtId="11" fontId="0" fillId="0" borderId="0" xfId="1" applyNumberFormat="1" applyFont="1" applyFill="1" applyBorder="1" applyAlignment="1">
      <alignment horizontal="center" wrapText="1"/>
    </xf>
    <xf numFmtId="0" fontId="0" fillId="0" borderId="11" xfId="0" applyBorder="1" applyAlignment="1">
      <alignment wrapText="1"/>
    </xf>
    <xf numFmtId="0" fontId="0" fillId="0" borderId="9" xfId="0" applyBorder="1" applyAlignment="1">
      <alignment wrapText="1"/>
    </xf>
    <xf numFmtId="165" fontId="0" fillId="0" borderId="0" xfId="0" applyNumberFormat="1" applyBorder="1" applyAlignment="1">
      <alignment horizontal="center" wrapText="1"/>
    </xf>
    <xf numFmtId="165" fontId="0" fillId="0" borderId="6" xfId="0" applyNumberFormat="1" applyBorder="1" applyAlignment="1">
      <alignment horizontal="center" wrapText="1"/>
    </xf>
    <xf numFmtId="0" fontId="2" fillId="0" borderId="0" xfId="0" applyFont="1" applyAlignment="1">
      <alignment wrapText="1"/>
    </xf>
    <xf numFmtId="0" fontId="0" fillId="0" borderId="0" xfId="0" applyFill="1" applyBorder="1"/>
    <xf numFmtId="0" fontId="0" fillId="0" borderId="0" xfId="0" applyAlignment="1"/>
    <xf numFmtId="0" fontId="4" fillId="0" borderId="0" xfId="3" applyAlignment="1"/>
    <xf numFmtId="0" fontId="6" fillId="0" borderId="0" xfId="0" applyFont="1" applyAlignment="1"/>
    <xf numFmtId="0" fontId="0" fillId="0" borderId="10" xfId="0" applyFill="1" applyBorder="1"/>
    <xf numFmtId="0" fontId="0" fillId="0" borderId="0" xfId="0" applyAlignment="1">
      <alignment horizontal="center" wrapText="1"/>
    </xf>
    <xf numFmtId="0" fontId="0" fillId="0" borderId="0" xfId="0" applyBorder="1"/>
    <xf numFmtId="0" fontId="0" fillId="0" borderId="5" xfId="0" applyBorder="1"/>
    <xf numFmtId="0" fontId="0" fillId="0" borderId="6" xfId="0" applyBorder="1"/>
    <xf numFmtId="0" fontId="0" fillId="0" borderId="7" xfId="0" applyBorder="1"/>
    <xf numFmtId="0" fontId="0" fillId="3" borderId="0" xfId="0" applyFill="1" applyBorder="1"/>
    <xf numFmtId="2" fontId="0" fillId="0" borderId="0" xfId="0" applyNumberFormat="1" applyFill="1" applyBorder="1"/>
    <xf numFmtId="0" fontId="0" fillId="0" borderId="4"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1" xfId="0" applyFill="1" applyBorder="1" applyAlignment="1">
      <alignment wrapText="1"/>
    </xf>
    <xf numFmtId="0" fontId="0" fillId="0" borderId="0" xfId="0" applyBorder="1" applyAlignment="1">
      <alignment horizontal="center" vertical="center" wrapText="1"/>
    </xf>
    <xf numFmtId="0" fontId="0" fillId="0" borderId="0" xfId="0" applyFill="1" applyBorder="1" applyAlignment="1">
      <alignment horizontal="center" wrapText="1"/>
    </xf>
    <xf numFmtId="0" fontId="0" fillId="0" borderId="0" xfId="0"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6" fillId="0" borderId="0" xfId="3" applyFont="1" applyAlignment="1"/>
    <xf numFmtId="2" fontId="0" fillId="0" borderId="0" xfId="0" applyNumberFormat="1" applyBorder="1" applyAlignment="1">
      <alignment horizontal="center" wrapText="1"/>
    </xf>
    <xf numFmtId="165" fontId="0" fillId="0" borderId="10" xfId="0" applyNumberFormat="1" applyBorder="1" applyAlignment="1">
      <alignment horizontal="center" wrapText="1"/>
    </xf>
    <xf numFmtId="165" fontId="0" fillId="0" borderId="8" xfId="0" applyNumberFormat="1" applyBorder="1" applyAlignment="1">
      <alignment horizontal="center" wrapText="1"/>
    </xf>
    <xf numFmtId="0" fontId="0" fillId="0" borderId="4" xfId="0" applyBorder="1" applyAlignment="1">
      <alignment horizontal="center" vertical="center" wrapText="1"/>
    </xf>
    <xf numFmtId="0" fontId="8" fillId="10" borderId="13" xfId="0" applyFont="1" applyFill="1" applyBorder="1" applyAlignment="1">
      <alignment horizontal="center" vertical="center" wrapText="1"/>
    </xf>
    <xf numFmtId="0" fontId="0" fillId="9" borderId="9"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8" xfId="0" applyFill="1" applyBorder="1" applyAlignment="1">
      <alignment horizontal="center" vertical="center" wrapText="1"/>
    </xf>
    <xf numFmtId="0" fontId="0" fillId="9" borderId="4" xfId="0" applyFill="1" applyBorder="1" applyAlignment="1">
      <alignment horizontal="center" vertical="center" wrapText="1"/>
    </xf>
    <xf numFmtId="0" fontId="0" fillId="9" borderId="8" xfId="0" applyFill="1" applyBorder="1" applyAlignment="1">
      <alignment horizontal="center" wrapText="1"/>
    </xf>
    <xf numFmtId="0" fontId="0" fillId="9" borderId="14" xfId="0" applyFill="1" applyBorder="1" applyAlignment="1">
      <alignment horizontal="center" wrapText="1"/>
    </xf>
    <xf numFmtId="0" fontId="8" fillId="10" borderId="14" xfId="0" applyFont="1" applyFill="1" applyBorder="1" applyAlignment="1">
      <alignment horizontal="center" wrapText="1"/>
    </xf>
    <xf numFmtId="0" fontId="0" fillId="11" borderId="10" xfId="0" applyFill="1" applyBorder="1" applyAlignment="1">
      <alignment horizontal="center" wrapText="1"/>
    </xf>
    <xf numFmtId="0" fontId="0" fillId="11" borderId="0" xfId="0" applyFill="1" applyBorder="1" applyAlignment="1">
      <alignment horizontal="center" wrapText="1"/>
    </xf>
    <xf numFmtId="0" fontId="0" fillId="11" borderId="8" xfId="0" applyFill="1" applyBorder="1" applyAlignment="1">
      <alignment horizontal="center" vertical="center" wrapText="1"/>
    </xf>
    <xf numFmtId="0" fontId="0" fillId="11" borderId="8" xfId="0" applyFill="1" applyBorder="1" applyAlignment="1">
      <alignment horizontal="center" wrapText="1"/>
    </xf>
    <xf numFmtId="2" fontId="0" fillId="11" borderId="0" xfId="0" applyNumberFormat="1" applyFill="1" applyBorder="1" applyAlignment="1">
      <alignment horizontal="center" wrapText="1"/>
    </xf>
    <xf numFmtId="165" fontId="0" fillId="11" borderId="0" xfId="0" applyNumberFormat="1" applyFill="1" applyBorder="1" applyAlignment="1">
      <alignment horizontal="center" wrapText="1"/>
    </xf>
    <xf numFmtId="165" fontId="0" fillId="11" borderId="10" xfId="0" applyNumberFormat="1" applyFill="1" applyBorder="1" applyAlignment="1">
      <alignment horizontal="center" wrapText="1"/>
    </xf>
    <xf numFmtId="0" fontId="0" fillId="11" borderId="0" xfId="0" applyFill="1" applyAlignment="1">
      <alignment horizontal="center" wrapText="1"/>
    </xf>
    <xf numFmtId="165" fontId="0" fillId="11" borderId="8" xfId="0" applyNumberFormat="1" applyFill="1" applyBorder="1" applyAlignment="1">
      <alignment horizontal="center" wrapText="1"/>
    </xf>
    <xf numFmtId="11" fontId="0" fillId="11" borderId="0" xfId="0" applyNumberFormat="1" applyFill="1" applyAlignment="1">
      <alignment horizontal="center" wrapText="1"/>
    </xf>
    <xf numFmtId="0" fontId="0" fillId="11" borderId="13" xfId="0" applyFill="1" applyBorder="1" applyAlignment="1">
      <alignment horizontal="center" wrapText="1"/>
    </xf>
    <xf numFmtId="0" fontId="0" fillId="11" borderId="14" xfId="0" applyFill="1" applyBorder="1" applyAlignment="1">
      <alignment horizontal="center" wrapText="1"/>
    </xf>
    <xf numFmtId="0" fontId="8" fillId="10" borderId="8" xfId="0" applyFont="1" applyFill="1" applyBorder="1" applyAlignment="1">
      <alignment horizontal="center" wrapText="1"/>
    </xf>
    <xf numFmtId="0" fontId="8" fillId="10" borderId="10" xfId="0" applyFont="1" applyFill="1" applyBorder="1" applyAlignment="1">
      <alignment horizontal="center" vertical="center" wrapText="1"/>
    </xf>
    <xf numFmtId="0" fontId="0" fillId="9" borderId="10" xfId="0" applyFill="1" applyBorder="1" applyAlignment="1">
      <alignment horizontal="center" wrapText="1"/>
    </xf>
    <xf numFmtId="9" fontId="0" fillId="11" borderId="5" xfId="2" applyFont="1" applyFill="1" applyBorder="1" applyAlignment="1">
      <alignment horizontal="center" wrapText="1"/>
    </xf>
    <xf numFmtId="0" fontId="0" fillId="11" borderId="4" xfId="0" applyFill="1" applyBorder="1" applyAlignment="1">
      <alignment horizontal="center" wrapText="1"/>
    </xf>
    <xf numFmtId="0" fontId="6" fillId="0" borderId="0" xfId="3" applyFont="1" applyBorder="1" applyAlignment="1"/>
    <xf numFmtId="0" fontId="8" fillId="0" borderId="0" xfId="0" applyFont="1" applyFill="1" applyBorder="1" applyAlignment="1">
      <alignment horizontal="center" vertical="center" wrapText="1"/>
    </xf>
    <xf numFmtId="0" fontId="0" fillId="0" borderId="0" xfId="0" applyBorder="1" applyAlignment="1"/>
    <xf numFmtId="0" fontId="8" fillId="10" borderId="0" xfId="0" applyFont="1" applyFill="1" applyAlignment="1">
      <alignment horizontal="center" vertical="center" wrapText="1"/>
    </xf>
    <xf numFmtId="9" fontId="0" fillId="0" borderId="0" xfId="2" applyFont="1" applyFill="1" applyBorder="1" applyAlignment="1">
      <alignment horizontal="center" wrapText="1"/>
    </xf>
    <xf numFmtId="0" fontId="0" fillId="0" borderId="14" xfId="0" applyBorder="1" applyAlignment="1">
      <alignment horizontal="center" wrapText="1"/>
    </xf>
    <xf numFmtId="0" fontId="0" fillId="0" borderId="8" xfId="0" applyFill="1" applyBorder="1" applyAlignment="1">
      <alignment horizontal="center" wrapText="1"/>
    </xf>
    <xf numFmtId="11" fontId="0" fillId="0" borderId="0" xfId="0" applyNumberFormat="1" applyAlignment="1">
      <alignment horizontal="center" wrapText="1"/>
    </xf>
    <xf numFmtId="0" fontId="0" fillId="0" borderId="6" xfId="0" applyBorder="1" applyAlignment="1">
      <alignment wrapText="1"/>
    </xf>
    <xf numFmtId="0" fontId="0" fillId="0" borderId="8" xfId="0" applyBorder="1" applyAlignment="1">
      <alignment wrapText="1"/>
    </xf>
    <xf numFmtId="0" fontId="0" fillId="13" borderId="10" xfId="0" applyFill="1" applyBorder="1" applyAlignment="1">
      <alignment horizontal="center" wrapText="1"/>
    </xf>
    <xf numFmtId="0" fontId="0" fillId="13" borderId="0" xfId="0" applyFill="1" applyBorder="1" applyAlignment="1">
      <alignment horizontal="center" wrapText="1"/>
    </xf>
    <xf numFmtId="2" fontId="0" fillId="13" borderId="0" xfId="0" applyNumberFormat="1" applyFill="1" applyBorder="1" applyAlignment="1">
      <alignment horizontal="center" wrapText="1"/>
    </xf>
    <xf numFmtId="165" fontId="0" fillId="13" borderId="0" xfId="0" applyNumberFormat="1" applyFill="1" applyBorder="1" applyAlignment="1">
      <alignment horizontal="center" wrapText="1"/>
    </xf>
    <xf numFmtId="165" fontId="0" fillId="13" borderId="6" xfId="0" applyNumberFormat="1" applyFill="1" applyBorder="1" applyAlignment="1">
      <alignment horizontal="center" wrapText="1"/>
    </xf>
    <xf numFmtId="165" fontId="0" fillId="13" borderId="10" xfId="0" applyNumberFormat="1" applyFill="1" applyBorder="1" applyAlignment="1">
      <alignment horizontal="center" wrapText="1"/>
    </xf>
    <xf numFmtId="0" fontId="0" fillId="13" borderId="0" xfId="0" applyFill="1" applyAlignment="1">
      <alignment horizontal="center" wrapText="1"/>
    </xf>
    <xf numFmtId="0" fontId="0" fillId="13" borderId="8" xfId="0" applyFill="1" applyBorder="1" applyAlignment="1">
      <alignment horizontal="center" wrapText="1"/>
    </xf>
    <xf numFmtId="0" fontId="0" fillId="13" borderId="4" xfId="0" applyFill="1" applyBorder="1" applyAlignment="1">
      <alignment horizontal="center" wrapText="1"/>
    </xf>
    <xf numFmtId="0" fontId="0" fillId="13" borderId="14" xfId="0" applyFill="1" applyBorder="1" applyAlignment="1">
      <alignment horizontal="center" wrapText="1"/>
    </xf>
    <xf numFmtId="0" fontId="0" fillId="0" borderId="5" xfId="0" applyBorder="1" applyAlignment="1">
      <alignment wrapText="1"/>
    </xf>
    <xf numFmtId="0" fontId="0" fillId="0" borderId="0" xfId="0" applyFill="1" applyBorder="1" applyAlignment="1"/>
    <xf numFmtId="0" fontId="0" fillId="0" borderId="15" xfId="0" applyBorder="1" applyAlignment="1">
      <alignment wrapText="1"/>
    </xf>
    <xf numFmtId="0" fontId="0" fillId="0" borderId="16" xfId="0" applyBorder="1" applyAlignment="1">
      <alignment wrapText="1"/>
    </xf>
    <xf numFmtId="0" fontId="0" fillId="0" borderId="10" xfId="0" applyBorder="1" applyAlignment="1"/>
    <xf numFmtId="0" fontId="0" fillId="0" borderId="12" xfId="0" applyFill="1" applyBorder="1" applyAlignment="1"/>
    <xf numFmtId="0" fontId="0" fillId="0" borderId="0" xfId="0" applyAlignment="1">
      <alignment horizontal="left" wrapText="1"/>
    </xf>
    <xf numFmtId="0" fontId="9" fillId="0" borderId="0" xfId="0" applyFont="1" applyAlignment="1"/>
    <xf numFmtId="0" fontId="8" fillId="10" borderId="0" xfId="0" applyFont="1" applyFill="1" applyBorder="1" applyAlignment="1">
      <alignment horizontal="center" vertical="center" wrapText="1"/>
    </xf>
    <xf numFmtId="0" fontId="0" fillId="0" borderId="11" xfId="0" applyFill="1" applyBorder="1"/>
    <xf numFmtId="0" fontId="2" fillId="0" borderId="11" xfId="0" applyFont="1" applyBorder="1"/>
    <xf numFmtId="0" fontId="0" fillId="6" borderId="11" xfId="0" applyFill="1" applyBorder="1"/>
    <xf numFmtId="0" fontId="0" fillId="0" borderId="11" xfId="0" applyBorder="1" applyAlignment="1"/>
    <xf numFmtId="0" fontId="6" fillId="0" borderId="11" xfId="0" applyFont="1" applyBorder="1" applyAlignment="1"/>
    <xf numFmtId="0" fontId="0" fillId="5" borderId="11" xfId="0" applyFill="1" applyBorder="1" applyAlignment="1"/>
    <xf numFmtId="0" fontId="0" fillId="6" borderId="11" xfId="0" applyFill="1" applyBorder="1" applyAlignment="1"/>
    <xf numFmtId="0" fontId="0" fillId="6" borderId="11" xfId="0" applyFill="1" applyBorder="1" applyAlignment="1">
      <alignment wrapText="1"/>
    </xf>
    <xf numFmtId="0" fontId="0" fillId="6" borderId="11" xfId="0" applyFill="1" applyBorder="1" applyAlignment="1">
      <alignment horizontal="center" vertical="center" wrapText="1"/>
    </xf>
    <xf numFmtId="0" fontId="0" fillId="11" borderId="4" xfId="0" applyFill="1" applyBorder="1" applyAlignment="1">
      <alignment horizontal="center" wrapText="1"/>
    </xf>
    <xf numFmtId="0" fontId="0" fillId="11" borderId="6" xfId="0" applyFill="1" applyBorder="1" applyAlignment="1">
      <alignment horizontal="center" wrapText="1"/>
    </xf>
    <xf numFmtId="0" fontId="0" fillId="0" borderId="6" xfId="0" applyBorder="1" applyAlignment="1">
      <alignment horizontal="center" wrapText="1"/>
    </xf>
    <xf numFmtId="0" fontId="8" fillId="10" borderId="0" xfId="0" applyFont="1" applyFill="1" applyAlignment="1">
      <alignment horizontal="center" wrapText="1"/>
    </xf>
    <xf numFmtId="0" fontId="0" fillId="0" borderId="17" xfId="0" applyBorder="1" applyAlignment="1">
      <alignment vertical="center"/>
    </xf>
    <xf numFmtId="0" fontId="0" fillId="0" borderId="0" xfId="0" applyAlignment="1">
      <alignment horizontal="center" vertical="center" wrapText="1"/>
    </xf>
    <xf numFmtId="0" fontId="0" fillId="0" borderId="17" xfId="0" applyBorder="1" applyAlignment="1">
      <alignment horizontal="left"/>
    </xf>
    <xf numFmtId="2" fontId="0" fillId="13" borderId="17" xfId="0" applyNumberFormat="1" applyFill="1" applyBorder="1" applyAlignment="1">
      <alignment horizontal="right"/>
    </xf>
    <xf numFmtId="0" fontId="0" fillId="15" borderId="10" xfId="0" applyFill="1" applyBorder="1"/>
    <xf numFmtId="10" fontId="0" fillId="3" borderId="13" xfId="0" applyNumberFormat="1" applyFill="1" applyBorder="1" applyAlignment="1">
      <alignment horizontal="center"/>
    </xf>
    <xf numFmtId="0" fontId="0" fillId="0" borderId="15" xfId="0" applyBorder="1"/>
    <xf numFmtId="10" fontId="0" fillId="3" borderId="5" xfId="0" applyNumberFormat="1" applyFill="1" applyBorder="1"/>
    <xf numFmtId="10" fontId="0" fillId="3" borderId="10" xfId="0" applyNumberFormat="1" applyFill="1" applyBorder="1"/>
    <xf numFmtId="0" fontId="0" fillId="13" borderId="17" xfId="0" applyFill="1" applyBorder="1" applyAlignment="1">
      <alignment horizontal="right"/>
    </xf>
    <xf numFmtId="0" fontId="0" fillId="15" borderId="8" xfId="0" applyFill="1" applyBorder="1"/>
    <xf numFmtId="10" fontId="0" fillId="3" borderId="14" xfId="0" applyNumberFormat="1" applyFill="1" applyBorder="1" applyAlignment="1">
      <alignment horizontal="center"/>
    </xf>
    <xf numFmtId="10" fontId="0" fillId="3" borderId="8" xfId="0" applyNumberFormat="1" applyFill="1" applyBorder="1"/>
    <xf numFmtId="0" fontId="0" fillId="3" borderId="5" xfId="0" applyFill="1" applyBorder="1"/>
    <xf numFmtId="9" fontId="0" fillId="3" borderId="15" xfId="0" applyNumberFormat="1" applyFill="1" applyBorder="1"/>
    <xf numFmtId="0" fontId="0" fillId="3" borderId="18" xfId="0" applyFill="1" applyBorder="1"/>
    <xf numFmtId="0" fontId="0" fillId="3" borderId="17" xfId="0" applyFill="1" applyBorder="1"/>
    <xf numFmtId="0" fontId="0" fillId="0" borderId="17" xfId="0" applyBorder="1"/>
    <xf numFmtId="0" fontId="0" fillId="0" borderId="17" xfId="0" applyBorder="1" applyAlignment="1">
      <alignment horizontal="right"/>
    </xf>
    <xf numFmtId="2" fontId="0" fillId="0" borderId="17" xfId="0" applyNumberFormat="1" applyBorder="1" applyAlignment="1">
      <alignment horizontal="right"/>
    </xf>
    <xf numFmtId="2" fontId="0" fillId="13" borderId="18" xfId="0" applyNumberFormat="1" applyFill="1" applyBorder="1"/>
    <xf numFmtId="2" fontId="0" fillId="13" borderId="17" xfId="0" applyNumberFormat="1" applyFill="1" applyBorder="1"/>
    <xf numFmtId="2" fontId="0" fillId="0" borderId="0" xfId="0" applyNumberFormat="1"/>
    <xf numFmtId="0" fontId="0" fillId="0" borderId="17" xfId="0" applyBorder="1" applyAlignment="1">
      <alignment horizontal="center"/>
    </xf>
    <xf numFmtId="0" fontId="0" fillId="0" borderId="13" xfId="0" applyBorder="1"/>
    <xf numFmtId="0" fontId="0" fillId="3" borderId="13" xfId="0" applyFill="1" applyBorder="1"/>
    <xf numFmtId="0" fontId="0" fillId="0" borderId="14" xfId="0" applyBorder="1"/>
    <xf numFmtId="0" fontId="0" fillId="3" borderId="14" xfId="0" applyFill="1" applyBorder="1"/>
    <xf numFmtId="0" fontId="2" fillId="0" borderId="5" xfId="0" applyFont="1" applyBorder="1" applyAlignment="1">
      <alignment horizontal="left"/>
    </xf>
    <xf numFmtId="0" fontId="0" fillId="0" borderId="5" xfId="0" applyBorder="1" applyAlignment="1">
      <alignment horizontal="center"/>
    </xf>
    <xf numFmtId="0" fontId="2" fillId="0" borderId="18" xfId="0" applyFont="1" applyBorder="1" applyAlignment="1">
      <alignment horizontal="left"/>
    </xf>
    <xf numFmtId="2" fontId="0" fillId="3" borderId="5" xfId="0" applyNumberFormat="1" applyFill="1" applyBorder="1"/>
    <xf numFmtId="167" fontId="0" fillId="0" borderId="17" xfId="4" applyNumberFormat="1" applyFont="1" applyFill="1" applyBorder="1"/>
    <xf numFmtId="0" fontId="0" fillId="0" borderId="16" xfId="0" applyBorder="1"/>
    <xf numFmtId="2" fontId="0" fillId="3" borderId="10" xfId="0" applyNumberFormat="1" applyFill="1" applyBorder="1"/>
    <xf numFmtId="9" fontId="0" fillId="3" borderId="18" xfId="0" applyNumberFormat="1" applyFill="1" applyBorder="1"/>
    <xf numFmtId="9" fontId="0" fillId="3" borderId="13" xfId="0" applyNumberFormat="1" applyFill="1" applyBorder="1"/>
    <xf numFmtId="2" fontId="0" fillId="3" borderId="8" xfId="0" applyNumberFormat="1" applyFill="1" applyBorder="1"/>
    <xf numFmtId="0" fontId="12" fillId="0" borderId="8" xfId="0" applyFont="1" applyBorder="1" applyAlignment="1">
      <alignment horizontal="center"/>
    </xf>
    <xf numFmtId="0" fontId="12" fillId="0" borderId="4" xfId="0" applyFont="1" applyBorder="1" applyAlignment="1">
      <alignment horizontal="center"/>
    </xf>
    <xf numFmtId="0" fontId="12" fillId="0" borderId="14" xfId="0" applyFont="1" applyBorder="1" applyAlignment="1">
      <alignment horizontal="center"/>
    </xf>
    <xf numFmtId="9" fontId="0" fillId="3" borderId="14" xfId="0" applyNumberFormat="1" applyFill="1" applyBorder="1"/>
    <xf numFmtId="0" fontId="12" fillId="0" borderId="0" xfId="0" applyFont="1" applyAlignment="1">
      <alignment horizontal="center"/>
    </xf>
    <xf numFmtId="167" fontId="0" fillId="0" borderId="0" xfId="4" applyNumberFormat="1" applyFont="1" applyFill="1" applyBorder="1"/>
    <xf numFmtId="0" fontId="0" fillId="3" borderId="17" xfId="0" applyFill="1" applyBorder="1" applyAlignment="1">
      <alignment horizontal="center"/>
    </xf>
    <xf numFmtId="2" fontId="0" fillId="5" borderId="2" xfId="4" applyNumberFormat="1" applyFont="1" applyFill="1" applyBorder="1"/>
    <xf numFmtId="0" fontId="0" fillId="0" borderId="3" xfId="0" applyBorder="1"/>
    <xf numFmtId="43" fontId="0" fillId="0" borderId="0" xfId="4" applyFont="1" applyFill="1" applyBorder="1"/>
    <xf numFmtId="166" fontId="0" fillId="0" borderId="0" xfId="4" applyNumberFormat="1" applyFont="1" applyFill="1" applyBorder="1"/>
    <xf numFmtId="0" fontId="0" fillId="0" borderId="19" xfId="0" applyBorder="1"/>
    <xf numFmtId="0" fontId="0" fillId="0" borderId="20" xfId="0" applyBorder="1"/>
    <xf numFmtId="0" fontId="0" fillId="0" borderId="24" xfId="0" applyBorder="1" applyAlignment="1">
      <alignment horizontal="center" vertical="center"/>
    </xf>
    <xf numFmtId="0" fontId="0" fillId="0" borderId="6" xfId="0" applyBorder="1" applyAlignment="1">
      <alignment horizontal="center" vertical="center"/>
    </xf>
    <xf numFmtId="9" fontId="0" fillId="0" borderId="30" xfId="0" applyNumberFormat="1" applyBorder="1"/>
    <xf numFmtId="0" fontId="0" fillId="0" borderId="35" xfId="0" applyBorder="1" applyAlignment="1">
      <alignment horizontal="center" vertical="center"/>
    </xf>
    <xf numFmtId="0" fontId="0" fillId="0" borderId="17" xfId="0" applyBorder="1" applyAlignment="1">
      <alignment horizontal="center" vertical="center"/>
    </xf>
    <xf numFmtId="0" fontId="0" fillId="15" borderId="43" xfId="0" applyFill="1" applyBorder="1"/>
    <xf numFmtId="0" fontId="0" fillId="15" borderId="0" xfId="0" applyFill="1"/>
    <xf numFmtId="0" fontId="0" fillId="15" borderId="11" xfId="0" applyFill="1" applyBorder="1"/>
    <xf numFmtId="0" fontId="0" fillId="0" borderId="26" xfId="0" applyBorder="1" applyAlignment="1">
      <alignment horizontal="center"/>
    </xf>
    <xf numFmtId="0" fontId="0" fillId="0" borderId="45" xfId="0" applyBorder="1" applyAlignment="1">
      <alignment horizontal="center"/>
    </xf>
    <xf numFmtId="0" fontId="0" fillId="0" borderId="13"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34" xfId="0" applyBorder="1" applyAlignment="1">
      <alignment horizontal="center"/>
    </xf>
    <xf numFmtId="0" fontId="0" fillId="0" borderId="46" xfId="0" applyBorder="1" applyAlignment="1">
      <alignment horizontal="center"/>
    </xf>
    <xf numFmtId="0" fontId="0" fillId="0" borderId="16" xfId="0" applyBorder="1" applyAlignment="1">
      <alignment horizontal="center"/>
    </xf>
    <xf numFmtId="0" fontId="0" fillId="0" borderId="25" xfId="0" applyBorder="1" applyAlignment="1">
      <alignment horizontal="center"/>
    </xf>
    <xf numFmtId="0" fontId="0" fillId="19" borderId="46" xfId="0" applyFill="1" applyBorder="1" applyAlignment="1">
      <alignment horizontal="center"/>
    </xf>
    <xf numFmtId="0" fontId="0" fillId="0" borderId="47" xfId="0" applyBorder="1"/>
    <xf numFmtId="2" fontId="0" fillId="8" borderId="38" xfId="0" applyNumberFormat="1" applyFill="1" applyBorder="1"/>
    <xf numFmtId="0" fontId="0" fillId="0" borderId="39" xfId="0" applyBorder="1"/>
    <xf numFmtId="10" fontId="0" fillId="0" borderId="40" xfId="0" applyNumberFormat="1" applyBorder="1"/>
    <xf numFmtId="0" fontId="0" fillId="0" borderId="35" xfId="0" applyBorder="1" applyAlignment="1">
      <alignment horizontal="right"/>
    </xf>
    <xf numFmtId="0" fontId="0" fillId="8" borderId="17" xfId="0" applyFill="1" applyBorder="1"/>
    <xf numFmtId="10" fontId="0" fillId="0" borderId="48" xfId="0" applyNumberFormat="1" applyBorder="1"/>
    <xf numFmtId="0" fontId="0" fillId="19" borderId="49" xfId="0" applyFill="1" applyBorder="1" applyAlignment="1">
      <alignment horizontal="center"/>
    </xf>
    <xf numFmtId="2" fontId="0" fillId="8" borderId="17" xfId="0" applyNumberFormat="1" applyFill="1" applyBorder="1"/>
    <xf numFmtId="10" fontId="0" fillId="3" borderId="17" xfId="0" applyNumberFormat="1" applyFill="1" applyBorder="1"/>
    <xf numFmtId="10" fontId="0" fillId="0" borderId="25" xfId="0" applyNumberFormat="1" applyBorder="1"/>
    <xf numFmtId="0" fontId="0" fillId="0" borderId="9" xfId="0" applyBorder="1" applyAlignment="1">
      <alignment horizontal="right"/>
    </xf>
    <xf numFmtId="2" fontId="0" fillId="8" borderId="14" xfId="0" applyNumberFormat="1" applyFill="1" applyBorder="1" applyAlignment="1">
      <alignment horizontal="right"/>
    </xf>
    <xf numFmtId="10" fontId="0" fillId="0" borderId="39" xfId="0" applyNumberFormat="1" applyBorder="1"/>
    <xf numFmtId="0" fontId="0" fillId="15" borderId="55" xfId="0" applyFill="1" applyBorder="1"/>
    <xf numFmtId="0" fontId="0" fillId="15" borderId="56" xfId="0" applyFill="1" applyBorder="1"/>
    <xf numFmtId="0" fontId="0" fillId="15" borderId="57" xfId="0" applyFill="1" applyBorder="1"/>
    <xf numFmtId="16" fontId="0" fillId="0" borderId="49" xfId="0" applyNumberFormat="1" applyBorder="1" applyAlignment="1">
      <alignment horizontal="center"/>
    </xf>
    <xf numFmtId="0" fontId="0" fillId="0" borderId="16" xfId="0" applyBorder="1" applyAlignment="1">
      <alignment horizontal="right"/>
    </xf>
    <xf numFmtId="2" fontId="0" fillId="0" borderId="17" xfId="0" applyNumberFormat="1" applyBorder="1" applyAlignment="1">
      <alignment horizontal="center"/>
    </xf>
    <xf numFmtId="0" fontId="0" fillId="0" borderId="37" xfId="0" applyBorder="1"/>
    <xf numFmtId="0" fontId="0" fillId="9" borderId="2" xfId="0" applyFill="1" applyBorder="1"/>
    <xf numFmtId="2" fontId="0" fillId="8" borderId="17" xfId="0" applyNumberFormat="1" applyFill="1" applyBorder="1" applyAlignment="1">
      <alignment horizontal="right"/>
    </xf>
    <xf numFmtId="0" fontId="0" fillId="0" borderId="49" xfId="0" applyBorder="1" applyAlignment="1">
      <alignment horizontal="center"/>
    </xf>
    <xf numFmtId="0" fontId="0" fillId="0" borderId="30" xfId="0" applyBorder="1" applyAlignment="1">
      <alignment horizontal="center"/>
    </xf>
    <xf numFmtId="0" fontId="0" fillId="0" borderId="11" xfId="0" applyBorder="1" applyAlignment="1">
      <alignment horizontal="right"/>
    </xf>
    <xf numFmtId="0" fontId="0" fillId="0" borderId="36" xfId="0" applyBorder="1" applyAlignment="1">
      <alignment horizontal="center"/>
    </xf>
    <xf numFmtId="0" fontId="0" fillId="0" borderId="61" xfId="0" applyBorder="1"/>
    <xf numFmtId="0" fontId="0" fillId="0" borderId="52" xfId="0" applyBorder="1" applyAlignment="1">
      <alignment horizontal="right"/>
    </xf>
    <xf numFmtId="2" fontId="0" fillId="0" borderId="62" xfId="0" applyNumberFormat="1" applyBorder="1" applyAlignment="1">
      <alignment horizontal="right"/>
    </xf>
    <xf numFmtId="10" fontId="0" fillId="0" borderId="63" xfId="0" applyNumberFormat="1" applyBorder="1"/>
    <xf numFmtId="0" fontId="0" fillId="0" borderId="45" xfId="0" applyBorder="1" applyAlignment="1">
      <alignment horizontal="right"/>
    </xf>
    <xf numFmtId="2" fontId="0" fillId="8" borderId="13" xfId="0" applyNumberFormat="1" applyFill="1" applyBorder="1"/>
    <xf numFmtId="10" fontId="0" fillId="0" borderId="64" xfId="0" applyNumberFormat="1" applyBorder="1"/>
    <xf numFmtId="2" fontId="0" fillId="0" borderId="17" xfId="0" applyNumberFormat="1" applyBorder="1"/>
    <xf numFmtId="0" fontId="0" fillId="0" borderId="18" xfId="0" applyBorder="1"/>
    <xf numFmtId="2" fontId="0" fillId="8" borderId="18" xfId="0" applyNumberFormat="1" applyFill="1" applyBorder="1"/>
    <xf numFmtId="10" fontId="0" fillId="0" borderId="67" xfId="0" applyNumberFormat="1" applyBorder="1"/>
    <xf numFmtId="0" fontId="0" fillId="0" borderId="47" xfId="0" applyBorder="1" applyAlignment="1">
      <alignment horizontal="right"/>
    </xf>
    <xf numFmtId="2" fontId="0" fillId="0" borderId="2" xfId="0" applyNumberFormat="1" applyBorder="1"/>
    <xf numFmtId="0" fontId="0" fillId="0" borderId="2" xfId="0" applyBorder="1"/>
    <xf numFmtId="0" fontId="0" fillId="0" borderId="35" xfId="0" applyBorder="1"/>
    <xf numFmtId="0" fontId="0" fillId="0" borderId="25" xfId="0" applyBorder="1"/>
    <xf numFmtId="0" fontId="0" fillId="0" borderId="43" xfId="0" applyBorder="1" applyAlignment="1">
      <alignment horizontal="left"/>
    </xf>
    <xf numFmtId="0" fontId="0" fillId="19" borderId="49" xfId="0" applyFill="1" applyBorder="1"/>
    <xf numFmtId="0" fontId="0" fillId="0" borderId="57" xfId="0" applyBorder="1"/>
    <xf numFmtId="2" fontId="0" fillId="8" borderId="68" xfId="0" applyNumberFormat="1" applyFill="1" applyBorder="1"/>
    <xf numFmtId="0" fontId="0" fillId="0" borderId="55" xfId="0" applyBorder="1" applyAlignment="1">
      <alignment horizontal="left"/>
    </xf>
    <xf numFmtId="0" fontId="0" fillId="19" borderId="69" xfId="0" applyFill="1" applyBorder="1" applyAlignment="1">
      <alignment horizontal="center"/>
    </xf>
    <xf numFmtId="0" fontId="0" fillId="0" borderId="0" xfId="0" applyAlignment="1">
      <alignment horizontal="left"/>
    </xf>
    <xf numFmtId="0" fontId="0" fillId="0" borderId="70" xfId="0" applyBorder="1"/>
    <xf numFmtId="10" fontId="0" fillId="0" borderId="18" xfId="0" applyNumberFormat="1" applyBorder="1"/>
    <xf numFmtId="0" fontId="0" fillId="0" borderId="67" xfId="0" applyBorder="1"/>
    <xf numFmtId="0" fontId="2" fillId="0" borderId="65" xfId="0" applyFont="1" applyBorder="1"/>
    <xf numFmtId="0" fontId="0" fillId="0" borderId="60" xfId="0" applyBorder="1"/>
    <xf numFmtId="0" fontId="0" fillId="0" borderId="66" xfId="0" applyBorder="1"/>
    <xf numFmtId="0" fontId="0" fillId="3" borderId="62" xfId="0" applyFill="1" applyBorder="1"/>
    <xf numFmtId="10" fontId="0" fillId="0" borderId="62" xfId="0" applyNumberFormat="1" applyBorder="1"/>
    <xf numFmtId="0" fontId="0" fillId="0" borderId="62" xfId="0" applyBorder="1"/>
    <xf numFmtId="10" fontId="0" fillId="0" borderId="71" xfId="0" applyNumberFormat="1" applyBorder="1"/>
    <xf numFmtId="0" fontId="0" fillId="0" borderId="49" xfId="0" applyBorder="1"/>
    <xf numFmtId="0" fontId="0" fillId="0" borderId="44" xfId="0" applyBorder="1"/>
    <xf numFmtId="0" fontId="0" fillId="0" borderId="69" xfId="0" applyBorder="1"/>
    <xf numFmtId="0" fontId="0" fillId="0" borderId="52" xfId="0" applyBorder="1"/>
    <xf numFmtId="2" fontId="0" fillId="0" borderId="62" xfId="0" applyNumberFormat="1" applyBorder="1"/>
    <xf numFmtId="168" fontId="0" fillId="0" borderId="53" xfId="0" applyNumberFormat="1" applyBorder="1"/>
    <xf numFmtId="0" fontId="0" fillId="0" borderId="65" xfId="0" applyBorder="1"/>
    <xf numFmtId="0" fontId="0" fillId="23" borderId="49" xfId="0" applyFill="1" applyBorder="1" applyAlignment="1">
      <alignment horizontal="center"/>
    </xf>
    <xf numFmtId="0" fontId="0" fillId="0" borderId="16" xfId="0" applyBorder="1" applyAlignment="1">
      <alignment horizontal="left"/>
    </xf>
    <xf numFmtId="2" fontId="0" fillId="9" borderId="17" xfId="0" applyNumberFormat="1" applyFill="1" applyBorder="1" applyAlignment="1">
      <alignment horizontal="right"/>
    </xf>
    <xf numFmtId="10" fontId="0" fillId="0" borderId="17" xfId="0" applyNumberFormat="1" applyBorder="1"/>
    <xf numFmtId="0" fontId="0" fillId="0" borderId="44" xfId="0" applyBorder="1" applyAlignment="1">
      <alignment horizontal="left"/>
    </xf>
    <xf numFmtId="0" fontId="16" fillId="0" borderId="44" xfId="0" applyFont="1" applyBorder="1" applyAlignment="1">
      <alignment horizontal="center"/>
    </xf>
    <xf numFmtId="0" fontId="0" fillId="0" borderId="30" xfId="0" applyBorder="1"/>
    <xf numFmtId="2" fontId="0" fillId="8" borderId="71" xfId="0" applyNumberFormat="1" applyFill="1" applyBorder="1"/>
    <xf numFmtId="2" fontId="0" fillId="9" borderId="3" xfId="0" applyNumberFormat="1" applyFill="1" applyBorder="1"/>
    <xf numFmtId="0" fontId="0" fillId="0" borderId="71" xfId="0" applyBorder="1"/>
    <xf numFmtId="0" fontId="0" fillId="0" borderId="43" xfId="0" applyBorder="1"/>
    <xf numFmtId="0" fontId="0" fillId="9" borderId="17" xfId="0" applyFill="1" applyBorder="1" applyAlignment="1">
      <alignment horizontal="right"/>
    </xf>
    <xf numFmtId="0" fontId="0" fillId="0" borderId="35" xfId="0" applyBorder="1" applyAlignment="1">
      <alignment horizontal="center"/>
    </xf>
    <xf numFmtId="0" fontId="0" fillId="0" borderId="55" xfId="0" applyBorder="1"/>
    <xf numFmtId="0" fontId="0" fillId="0" borderId="56" xfId="0" applyBorder="1"/>
    <xf numFmtId="0" fontId="0" fillId="0" borderId="59" xfId="0" applyBorder="1"/>
    <xf numFmtId="0" fontId="0" fillId="0" borderId="11" xfId="0" applyBorder="1" applyAlignment="1">
      <alignment horizontal="left"/>
    </xf>
    <xf numFmtId="0" fontId="2" fillId="0" borderId="43" xfId="0" applyFont="1" applyBorder="1" applyAlignment="1">
      <alignment horizontal="right"/>
    </xf>
    <xf numFmtId="0" fontId="2" fillId="0" borderId="43" xfId="0" applyFont="1" applyBorder="1"/>
    <xf numFmtId="2" fontId="0" fillId="9" borderId="18" xfId="0" applyNumberFormat="1" applyFill="1" applyBorder="1" applyAlignment="1">
      <alignment horizontal="right"/>
    </xf>
    <xf numFmtId="0" fontId="0" fillId="19" borderId="72" xfId="0" applyFill="1" applyBorder="1" applyAlignment="1">
      <alignment horizontal="center"/>
    </xf>
    <xf numFmtId="0" fontId="0" fillId="0" borderId="7" xfId="0" applyBorder="1" applyAlignment="1">
      <alignment horizontal="left"/>
    </xf>
    <xf numFmtId="0" fontId="0" fillId="0" borderId="69" xfId="0" applyBorder="1" applyAlignment="1">
      <alignment horizontal="center"/>
    </xf>
    <xf numFmtId="0" fontId="0" fillId="2" borderId="46" xfId="0" applyFill="1" applyBorder="1" applyAlignment="1">
      <alignment horizontal="center" vertical="center"/>
    </xf>
    <xf numFmtId="2" fontId="0" fillId="9" borderId="17" xfId="0" applyNumberFormat="1" applyFill="1" applyBorder="1"/>
    <xf numFmtId="10" fontId="0" fillId="0" borderId="15" xfId="0" applyNumberFormat="1" applyBorder="1"/>
    <xf numFmtId="2" fontId="0" fillId="24" borderId="17" xfId="0" applyNumberFormat="1" applyFill="1" applyBorder="1"/>
    <xf numFmtId="2" fontId="0" fillId="0" borderId="18" xfId="0" applyNumberFormat="1" applyBorder="1" applyAlignment="1">
      <alignment horizontal="right"/>
    </xf>
    <xf numFmtId="2" fontId="0" fillId="0" borderId="18" xfId="0" applyNumberFormat="1" applyBorder="1"/>
    <xf numFmtId="0" fontId="0" fillId="2" borderId="49" xfId="0" applyFill="1" applyBorder="1" applyAlignment="1">
      <alignment horizontal="center" vertical="center"/>
    </xf>
    <xf numFmtId="0" fontId="0" fillId="0" borderId="73" xfId="0" applyBorder="1" applyAlignment="1">
      <alignment horizontal="right"/>
    </xf>
    <xf numFmtId="2" fontId="0" fillId="0" borderId="32" xfId="0" applyNumberFormat="1" applyBorder="1" applyAlignment="1">
      <alignment horizontal="right"/>
    </xf>
    <xf numFmtId="10" fontId="0" fillId="0" borderId="32" xfId="0" applyNumberFormat="1" applyBorder="1"/>
    <xf numFmtId="0" fontId="0" fillId="0" borderId="32" xfId="0" applyBorder="1"/>
    <xf numFmtId="0" fontId="0" fillId="0" borderId="34" xfId="0" applyBorder="1"/>
    <xf numFmtId="0" fontId="0" fillId="23" borderId="69" xfId="0" applyFill="1" applyBorder="1" applyAlignment="1">
      <alignment horizontal="center"/>
    </xf>
    <xf numFmtId="0" fontId="0" fillId="0" borderId="74" xfId="0" applyBorder="1"/>
    <xf numFmtId="2" fontId="0" fillId="0" borderId="68" xfId="0" applyNumberFormat="1" applyBorder="1"/>
    <xf numFmtId="2" fontId="0" fillId="24" borderId="18" xfId="0" applyNumberFormat="1" applyFill="1" applyBorder="1"/>
    <xf numFmtId="0" fontId="0" fillId="0" borderId="68" xfId="0" applyBorder="1"/>
    <xf numFmtId="0" fontId="0" fillId="0" borderId="63" xfId="0" applyBorder="1"/>
    <xf numFmtId="0" fontId="0" fillId="19" borderId="49" xfId="0" applyFill="1" applyBorder="1" applyAlignment="1">
      <alignment horizontal="center" vertical="center"/>
    </xf>
    <xf numFmtId="0" fontId="0" fillId="0" borderId="49" xfId="0" applyBorder="1" applyAlignment="1">
      <alignment horizontal="center" vertical="center"/>
    </xf>
    <xf numFmtId="10" fontId="0" fillId="0" borderId="53" xfId="0" applyNumberFormat="1" applyBorder="1"/>
    <xf numFmtId="2" fontId="0" fillId="9" borderId="71" xfId="0" applyNumberFormat="1" applyFill="1" applyBorder="1"/>
    <xf numFmtId="2" fontId="0" fillId="9" borderId="68" xfId="0" applyNumberFormat="1" applyFill="1" applyBorder="1"/>
    <xf numFmtId="10" fontId="0" fillId="0" borderId="10" xfId="0" applyNumberFormat="1" applyBorder="1"/>
    <xf numFmtId="2" fontId="0" fillId="9" borderId="38" xfId="0" applyNumberFormat="1" applyFill="1" applyBorder="1"/>
    <xf numFmtId="9" fontId="0" fillId="0" borderId="0" xfId="0" applyNumberFormat="1"/>
    <xf numFmtId="9" fontId="0" fillId="0" borderId="44" xfId="0" applyNumberFormat="1" applyBorder="1"/>
    <xf numFmtId="9" fontId="0" fillId="0" borderId="43" xfId="0" applyNumberFormat="1" applyBorder="1"/>
    <xf numFmtId="10" fontId="0" fillId="0" borderId="58" xfId="0" applyNumberFormat="1" applyBorder="1"/>
    <xf numFmtId="2" fontId="0" fillId="0" borderId="43" xfId="0" applyNumberFormat="1" applyBorder="1"/>
    <xf numFmtId="2" fontId="0" fillId="0" borderId="44" xfId="0" applyNumberFormat="1" applyBorder="1"/>
    <xf numFmtId="2" fontId="0" fillId="0" borderId="56" xfId="0" applyNumberFormat="1" applyBorder="1"/>
    <xf numFmtId="2" fontId="0" fillId="0" borderId="55" xfId="0" applyNumberFormat="1" applyBorder="1"/>
    <xf numFmtId="2" fontId="0" fillId="0" borderId="59" xfId="0" applyNumberFormat="1" applyBorder="1"/>
    <xf numFmtId="0" fontId="0" fillId="8" borderId="71" xfId="0" applyFill="1" applyBorder="1"/>
    <xf numFmtId="0" fontId="0" fillId="2" borderId="49" xfId="0" applyFill="1" applyBorder="1" applyAlignment="1">
      <alignment horizontal="center"/>
    </xf>
    <xf numFmtId="0" fontId="0" fillId="23" borderId="46" xfId="0" applyFill="1" applyBorder="1" applyAlignment="1">
      <alignment horizontal="center"/>
    </xf>
    <xf numFmtId="10" fontId="0" fillId="0" borderId="5" xfId="0" applyNumberFormat="1" applyBorder="1"/>
    <xf numFmtId="10" fontId="0" fillId="0" borderId="0" xfId="0" applyNumberFormat="1"/>
    <xf numFmtId="168" fontId="0" fillId="9" borderId="38" xfId="0" applyNumberFormat="1" applyFill="1" applyBorder="1"/>
    <xf numFmtId="168" fontId="0" fillId="0" borderId="58" xfId="0" applyNumberFormat="1" applyBorder="1"/>
    <xf numFmtId="2" fontId="0" fillId="0" borderId="10" xfId="0" applyNumberFormat="1" applyBorder="1"/>
    <xf numFmtId="2" fontId="0" fillId="0" borderId="38" xfId="0" applyNumberFormat="1" applyBorder="1"/>
    <xf numFmtId="2" fontId="0" fillId="0" borderId="39" xfId="0" applyNumberFormat="1" applyBorder="1"/>
    <xf numFmtId="2" fontId="0" fillId="8" borderId="63" xfId="0" applyNumberFormat="1" applyFill="1" applyBorder="1"/>
    <xf numFmtId="0" fontId="0" fillId="9" borderId="17" xfId="0" applyFill="1" applyBorder="1"/>
    <xf numFmtId="0" fontId="0" fillId="0" borderId="16" xfId="0" applyBorder="1" applyAlignment="1">
      <alignment vertical="center"/>
    </xf>
    <xf numFmtId="0" fontId="0" fillId="0" borderId="12" xfId="0" applyBorder="1" applyAlignment="1">
      <alignment horizontal="center"/>
    </xf>
    <xf numFmtId="0" fontId="0" fillId="0" borderId="15" xfId="0" applyBorder="1" applyAlignment="1">
      <alignment horizontal="center"/>
    </xf>
    <xf numFmtId="0" fontId="0" fillId="23" borderId="49" xfId="0" applyFill="1" applyBorder="1" applyAlignment="1">
      <alignment horizontal="center" vertical="center"/>
    </xf>
    <xf numFmtId="2" fontId="0" fillId="9" borderId="18" xfId="0" applyNumberFormat="1" applyFill="1" applyBorder="1"/>
    <xf numFmtId="0" fontId="6" fillId="0" borderId="16" xfId="0" applyFont="1" applyBorder="1"/>
    <xf numFmtId="0" fontId="0" fillId="23" borderId="49" xfId="0" applyFill="1" applyBorder="1"/>
    <xf numFmtId="0" fontId="6" fillId="0" borderId="7" xfId="0" applyFont="1" applyBorder="1"/>
    <xf numFmtId="0" fontId="16" fillId="0" borderId="0" xfId="0" applyFont="1" applyAlignment="1">
      <alignment horizontal="center"/>
    </xf>
    <xf numFmtId="10" fontId="0" fillId="0" borderId="13" xfId="0" applyNumberFormat="1" applyBorder="1"/>
    <xf numFmtId="10" fontId="0" fillId="0" borderId="28" xfId="0" applyNumberFormat="1" applyBorder="1"/>
    <xf numFmtId="0" fontId="0" fillId="0" borderId="28" xfId="0" applyBorder="1"/>
    <xf numFmtId="2" fontId="0" fillId="0" borderId="28" xfId="0" applyNumberFormat="1" applyBorder="1"/>
    <xf numFmtId="0" fontId="0" fillId="0" borderId="29" xfId="0" applyBorder="1"/>
    <xf numFmtId="0" fontId="0" fillId="0" borderId="0" xfId="0" applyAlignment="1">
      <alignment horizontal="center"/>
    </xf>
    <xf numFmtId="0" fontId="0" fillId="0" borderId="0" xfId="0" applyAlignment="1">
      <alignment horizontal="right"/>
    </xf>
    <xf numFmtId="10" fontId="0" fillId="0" borderId="68" xfId="0" applyNumberFormat="1" applyBorder="1"/>
    <xf numFmtId="0" fontId="0" fillId="9" borderId="3" xfId="0" applyFill="1" applyBorder="1"/>
    <xf numFmtId="0" fontId="0" fillId="9" borderId="71" xfId="0" applyFill="1" applyBorder="1"/>
    <xf numFmtId="2" fontId="0" fillId="8" borderId="3" xfId="0" applyNumberFormat="1" applyFill="1" applyBorder="1"/>
    <xf numFmtId="0" fontId="0" fillId="0" borderId="54" xfId="0" applyBorder="1"/>
    <xf numFmtId="0" fontId="0" fillId="0" borderId="26" xfId="0" applyBorder="1" applyAlignment="1">
      <alignment horizontal="center" vertical="center"/>
    </xf>
    <xf numFmtId="0" fontId="0" fillId="23" borderId="46" xfId="0" applyFill="1" applyBorder="1" applyAlignment="1">
      <alignment horizontal="center" vertical="center"/>
    </xf>
    <xf numFmtId="0" fontId="0" fillId="0" borderId="69" xfId="0" applyBorder="1" applyAlignment="1">
      <alignment horizontal="center" vertical="center"/>
    </xf>
    <xf numFmtId="9" fontId="0" fillId="0" borderId="17" xfId="0" applyNumberFormat="1" applyBorder="1"/>
    <xf numFmtId="9" fontId="0" fillId="0" borderId="25" xfId="0" applyNumberFormat="1" applyBorder="1"/>
    <xf numFmtId="2" fontId="0" fillId="0" borderId="60" xfId="0" applyNumberFormat="1" applyBorder="1"/>
    <xf numFmtId="2" fontId="0" fillId="8" borderId="40" xfId="0" applyNumberFormat="1" applyFill="1" applyBorder="1"/>
    <xf numFmtId="2" fontId="0" fillId="9" borderId="40" xfId="0" applyNumberFormat="1" applyFill="1" applyBorder="1"/>
    <xf numFmtId="0" fontId="0" fillId="0" borderId="64" xfId="0" applyBorder="1"/>
    <xf numFmtId="0" fontId="0" fillId="0" borderId="27" xfId="0" applyBorder="1" applyAlignment="1">
      <alignment horizontal="right"/>
    </xf>
    <xf numFmtId="0" fontId="0" fillId="0" borderId="53" xfId="0" applyBorder="1"/>
    <xf numFmtId="0" fontId="0" fillId="23" borderId="26" xfId="0" applyFill="1" applyBorder="1" applyAlignment="1">
      <alignment horizontal="center"/>
    </xf>
    <xf numFmtId="0" fontId="0" fillId="0" borderId="36" xfId="0" applyBorder="1"/>
    <xf numFmtId="2" fontId="0" fillId="0" borderId="20" xfId="0" applyNumberFormat="1" applyBorder="1"/>
    <xf numFmtId="0" fontId="0" fillId="0" borderId="76" xfId="0" applyBorder="1"/>
    <xf numFmtId="0" fontId="0" fillId="0" borderId="77" xfId="0" applyBorder="1"/>
    <xf numFmtId="2" fontId="0" fillId="0" borderId="78" xfId="0" applyNumberFormat="1" applyBorder="1"/>
    <xf numFmtId="0" fontId="15" fillId="25" borderId="30" xfId="0" applyFont="1" applyFill="1" applyBorder="1" applyAlignment="1">
      <alignment horizontal="center" vertical="center"/>
    </xf>
    <xf numFmtId="0" fontId="0" fillId="0" borderId="5" xfId="0" applyBorder="1" applyAlignment="1">
      <alignment horizontal="center" vertical="center"/>
    </xf>
    <xf numFmtId="0" fontId="2" fillId="0" borderId="14" xfId="0" applyFont="1" applyBorder="1"/>
    <xf numFmtId="0" fontId="2" fillId="0" borderId="13" xfId="0" applyFont="1" applyBorder="1"/>
    <xf numFmtId="168" fontId="0" fillId="0" borderId="10" xfId="0" applyNumberFormat="1" applyBorder="1"/>
    <xf numFmtId="168" fontId="0" fillId="0" borderId="0" xfId="0" applyNumberFormat="1"/>
    <xf numFmtId="168" fontId="0" fillId="0" borderId="11" xfId="0" applyNumberFormat="1" applyBorder="1"/>
    <xf numFmtId="0" fontId="2" fillId="0" borderId="17" xfId="0" applyFont="1" applyBorder="1"/>
    <xf numFmtId="0" fontId="0" fillId="0" borderId="38" xfId="0" applyBorder="1"/>
    <xf numFmtId="0" fontId="15" fillId="0" borderId="0" xfId="0" applyFont="1" applyAlignment="1">
      <alignment vertical="center"/>
    </xf>
    <xf numFmtId="0" fontId="2" fillId="0" borderId="18" xfId="0" applyFont="1" applyBorder="1"/>
    <xf numFmtId="0" fontId="0" fillId="3" borderId="10" xfId="0" applyFill="1" applyBorder="1"/>
    <xf numFmtId="0" fontId="0" fillId="3" borderId="11" xfId="0" applyFill="1" applyBorder="1"/>
    <xf numFmtId="168" fontId="0" fillId="3" borderId="10" xfId="0" applyNumberFormat="1" applyFill="1" applyBorder="1"/>
    <xf numFmtId="168" fontId="0" fillId="3" borderId="0" xfId="0" applyNumberFormat="1" applyFill="1"/>
    <xf numFmtId="168" fontId="0" fillId="3" borderId="11" xfId="0" applyNumberFormat="1" applyFill="1" applyBorder="1"/>
    <xf numFmtId="0" fontId="0" fillId="0" borderId="10" xfId="0" applyBorder="1" applyAlignment="1">
      <alignment horizontal="center"/>
    </xf>
    <xf numFmtId="0" fontId="0" fillId="0" borderId="45" xfId="0" applyBorder="1"/>
    <xf numFmtId="168" fontId="0" fillId="0" borderId="8" xfId="0" applyNumberFormat="1" applyBorder="1"/>
    <xf numFmtId="168" fontId="0" fillId="0" borderId="4" xfId="0" applyNumberFormat="1" applyBorder="1"/>
    <xf numFmtId="168" fontId="0" fillId="0" borderId="9" xfId="0" applyNumberFormat="1" applyBorder="1"/>
    <xf numFmtId="0" fontId="0" fillId="23" borderId="35" xfId="0" applyFill="1" applyBorder="1"/>
    <xf numFmtId="169" fontId="0" fillId="0" borderId="15" xfId="0" applyNumberFormat="1" applyBorder="1"/>
    <xf numFmtId="169" fontId="0" fillId="0" borderId="12" xfId="0" applyNumberFormat="1" applyBorder="1"/>
    <xf numFmtId="169" fontId="0" fillId="0" borderId="16" xfId="0" applyNumberFormat="1" applyBorder="1"/>
    <xf numFmtId="0" fontId="2" fillId="0" borderId="8" xfId="0" applyFont="1" applyBorder="1"/>
    <xf numFmtId="0" fontId="2" fillId="0" borderId="5" xfId="0" applyFont="1" applyBorder="1"/>
    <xf numFmtId="0" fontId="2" fillId="0" borderId="7" xfId="0" applyFont="1" applyBorder="1"/>
    <xf numFmtId="0" fontId="0" fillId="23" borderId="70" xfId="0" applyFill="1" applyBorder="1"/>
    <xf numFmtId="0" fontId="0" fillId="19" borderId="70" xfId="0" applyFill="1" applyBorder="1"/>
    <xf numFmtId="0" fontId="0" fillId="0" borderId="11" xfId="0" applyBorder="1" applyAlignment="1">
      <alignment horizontal="center"/>
    </xf>
    <xf numFmtId="0" fontId="0" fillId="0" borderId="35" xfId="0" applyBorder="1" applyAlignment="1">
      <alignment vertical="center"/>
    </xf>
    <xf numFmtId="0" fontId="0" fillId="0" borderId="0" xfId="0" applyAlignment="1">
      <alignment horizontal="center" wrapText="1"/>
    </xf>
    <xf numFmtId="0" fontId="0" fillId="0" borderId="36" xfId="0" applyBorder="1" applyAlignment="1">
      <alignment horizontal="center" vertical="center"/>
    </xf>
    <xf numFmtId="2" fontId="0" fillId="0" borderId="26" xfId="0" applyNumberFormat="1" applyBorder="1"/>
    <xf numFmtId="10" fontId="0" fillId="0" borderId="66" xfId="0" applyNumberFormat="1" applyBorder="1"/>
    <xf numFmtId="0" fontId="0" fillId="0" borderId="31" xfId="0" applyBorder="1"/>
    <xf numFmtId="2" fontId="0" fillId="9" borderId="60" xfId="0" applyNumberFormat="1" applyFill="1" applyBorder="1"/>
    <xf numFmtId="10" fontId="0" fillId="0" borderId="60" xfId="0" applyNumberFormat="1" applyBorder="1"/>
    <xf numFmtId="2" fontId="0" fillId="9" borderId="65" xfId="0" applyNumberFormat="1" applyFill="1" applyBorder="1"/>
    <xf numFmtId="0" fontId="0" fillId="0" borderId="26" xfId="0" applyBorder="1"/>
    <xf numFmtId="12" fontId="0" fillId="0" borderId="26" xfId="0" applyNumberFormat="1" applyBorder="1"/>
    <xf numFmtId="2" fontId="0" fillId="0" borderId="72" xfId="0" applyNumberFormat="1" applyBorder="1"/>
    <xf numFmtId="10" fontId="0" fillId="0" borderId="44" xfId="0" applyNumberFormat="1" applyBorder="1"/>
    <xf numFmtId="2" fontId="0" fillId="9" borderId="35" xfId="0" applyNumberFormat="1" applyFill="1" applyBorder="1"/>
    <xf numFmtId="0" fontId="0" fillId="0" borderId="72" xfId="0" applyBorder="1"/>
    <xf numFmtId="2" fontId="0" fillId="0" borderId="36" xfId="0" applyNumberFormat="1" applyBorder="1"/>
    <xf numFmtId="12" fontId="0" fillId="0" borderId="26" xfId="0" applyNumberFormat="1" applyBorder="1" applyAlignment="1">
      <alignment vertical="center" wrapText="1"/>
    </xf>
    <xf numFmtId="0" fontId="0" fillId="0" borderId="26" xfId="0" applyBorder="1" applyAlignment="1">
      <alignment vertical="center" wrapText="1"/>
    </xf>
    <xf numFmtId="2" fontId="0" fillId="9" borderId="70" xfId="0" applyNumberFormat="1" applyFill="1" applyBorder="1"/>
    <xf numFmtId="10" fontId="0" fillId="0" borderId="59" xfId="0" applyNumberFormat="1" applyBorder="1"/>
    <xf numFmtId="2" fontId="0" fillId="9" borderId="62" xfId="0" applyNumberFormat="1" applyFill="1" applyBorder="1"/>
    <xf numFmtId="10" fontId="0" fillId="0" borderId="56" xfId="0" applyNumberFormat="1" applyBorder="1"/>
    <xf numFmtId="2" fontId="0" fillId="9" borderId="61" xfId="0" applyNumberFormat="1" applyFill="1" applyBorder="1"/>
    <xf numFmtId="0" fontId="0" fillId="0" borderId="1" xfId="0" applyBorder="1"/>
    <xf numFmtId="2" fontId="0" fillId="0" borderId="30" xfId="0" applyNumberFormat="1" applyBorder="1"/>
    <xf numFmtId="12" fontId="0" fillId="0" borderId="72" xfId="0" applyNumberFormat="1" applyBorder="1"/>
    <xf numFmtId="0" fontId="25" fillId="15" borderId="71" xfId="0" applyFont="1" applyFill="1" applyBorder="1" applyAlignment="1">
      <alignment horizontal="left" vertical="center"/>
    </xf>
    <xf numFmtId="2" fontId="25" fillId="15" borderId="62" xfId="0" applyNumberFormat="1" applyFont="1" applyFill="1" applyBorder="1" applyAlignment="1">
      <alignment horizontal="center" vertical="center"/>
    </xf>
    <xf numFmtId="0" fontId="25" fillId="15" borderId="61" xfId="0" applyFont="1" applyFill="1" applyBorder="1" applyAlignment="1">
      <alignment horizontal="center" vertical="center"/>
    </xf>
    <xf numFmtId="0" fontId="26" fillId="11" borderId="25" xfId="0" applyFont="1" applyFill="1" applyBorder="1" applyAlignment="1">
      <alignment horizontal="left" vertical="center"/>
    </xf>
    <xf numFmtId="2" fontId="26" fillId="11" borderId="17" xfId="0" applyNumberFormat="1" applyFont="1" applyFill="1" applyBorder="1" applyAlignment="1">
      <alignment horizontal="center" vertical="center"/>
    </xf>
    <xf numFmtId="0" fontId="25" fillId="11" borderId="35" xfId="0" applyFont="1" applyFill="1" applyBorder="1" applyAlignment="1">
      <alignment horizontal="center" vertical="center"/>
    </xf>
    <xf numFmtId="0" fontId="25" fillId="15" borderId="25" xfId="0" applyFont="1" applyFill="1" applyBorder="1" applyAlignment="1">
      <alignment horizontal="left" vertical="center"/>
    </xf>
    <xf numFmtId="2" fontId="25" fillId="15" borderId="17" xfId="0" applyNumberFormat="1" applyFont="1" applyFill="1" applyBorder="1" applyAlignment="1">
      <alignment horizontal="center" vertical="center"/>
    </xf>
    <xf numFmtId="0" fontId="25" fillId="15" borderId="35" xfId="0" applyFont="1" applyFill="1" applyBorder="1" applyAlignment="1">
      <alignment horizontal="center" vertical="center"/>
    </xf>
    <xf numFmtId="0" fontId="26" fillId="28" borderId="44" xfId="0" applyFont="1" applyFill="1" applyBorder="1" applyAlignment="1">
      <alignment horizontal="center" vertical="center"/>
    </xf>
    <xf numFmtId="0" fontId="26" fillId="29" borderId="59" xfId="0" applyFont="1" applyFill="1" applyBorder="1" applyAlignment="1">
      <alignment horizontal="center" vertical="center"/>
    </xf>
    <xf numFmtId="0" fontId="26" fillId="28" borderId="59" xfId="0" applyFont="1" applyFill="1" applyBorder="1" applyAlignment="1">
      <alignment horizontal="center" vertical="center"/>
    </xf>
    <xf numFmtId="0" fontId="29" fillId="11" borderId="40" xfId="0" applyFont="1" applyFill="1" applyBorder="1" applyAlignment="1">
      <alignment horizontal="left" vertical="center"/>
    </xf>
    <xf numFmtId="0" fontId="29" fillId="11" borderId="38" xfId="0" applyFont="1" applyFill="1" applyBorder="1" applyAlignment="1">
      <alignment horizontal="center" vertical="center"/>
    </xf>
    <xf numFmtId="0" fontId="31" fillId="11" borderId="37" xfId="0" applyFont="1" applyFill="1" applyBorder="1" applyAlignment="1">
      <alignment horizontal="center" vertical="center"/>
    </xf>
    <xf numFmtId="0" fontId="25" fillId="15" borderId="67" xfId="0" applyFont="1" applyFill="1" applyBorder="1" applyAlignment="1">
      <alignment horizontal="left" vertical="center"/>
    </xf>
    <xf numFmtId="0" fontId="25" fillId="15" borderId="18" xfId="0" applyFont="1" applyFill="1" applyBorder="1" applyAlignment="1">
      <alignment horizontal="center" vertical="center"/>
    </xf>
    <xf numFmtId="0" fontId="25" fillId="15" borderId="70" xfId="0" applyFont="1" applyFill="1" applyBorder="1" applyAlignment="1">
      <alignment horizontal="center" vertical="center"/>
    </xf>
    <xf numFmtId="0" fontId="26" fillId="11" borderId="17" xfId="0" applyFont="1" applyFill="1" applyBorder="1" applyAlignment="1">
      <alignment horizontal="center" vertical="center"/>
    </xf>
    <xf numFmtId="0" fontId="25" fillId="15" borderId="17" xfId="0" applyFont="1" applyFill="1" applyBorder="1" applyAlignment="1">
      <alignment horizontal="center" vertical="center"/>
    </xf>
    <xf numFmtId="0" fontId="26" fillId="28" borderId="44" xfId="0" applyFont="1" applyFill="1" applyBorder="1" applyAlignment="1">
      <alignment horizontal="left" vertical="center"/>
    </xf>
    <xf numFmtId="0" fontId="26" fillId="28" borderId="72" xfId="0" applyFont="1" applyFill="1" applyBorder="1" applyAlignment="1">
      <alignment horizontal="center" vertical="center"/>
    </xf>
    <xf numFmtId="0" fontId="26" fillId="29" borderId="59" xfId="0" applyFont="1" applyFill="1" applyBorder="1" applyAlignment="1">
      <alignment horizontal="left" vertical="center"/>
    </xf>
    <xf numFmtId="0" fontId="26" fillId="29" borderId="36" xfId="0" applyFont="1" applyFill="1" applyBorder="1" applyAlignment="1">
      <alignment horizontal="center" vertical="center"/>
    </xf>
    <xf numFmtId="0" fontId="26" fillId="28" borderId="59" xfId="0" applyFont="1" applyFill="1" applyBorder="1" applyAlignment="1">
      <alignment horizontal="left" vertical="center"/>
    </xf>
    <xf numFmtId="0" fontId="26" fillId="28" borderId="36" xfId="0" applyFont="1" applyFill="1" applyBorder="1" applyAlignment="1">
      <alignment horizontal="center" vertical="center"/>
    </xf>
    <xf numFmtId="0" fontId="0" fillId="0" borderId="0" xfId="0" applyAlignment="1">
      <alignment vertical="center" wrapText="1"/>
    </xf>
    <xf numFmtId="0" fontId="35" fillId="30" borderId="59" xfId="0" applyFont="1" applyFill="1" applyBorder="1" applyAlignment="1">
      <alignment horizontal="left" vertical="center" wrapText="1"/>
    </xf>
    <xf numFmtId="0" fontId="35" fillId="30" borderId="59" xfId="0" applyFont="1" applyFill="1" applyBorder="1" applyAlignment="1">
      <alignment horizontal="left" vertical="center"/>
    </xf>
    <xf numFmtId="0" fontId="35" fillId="30" borderId="59" xfId="0" applyFont="1" applyFill="1" applyBorder="1" applyAlignment="1">
      <alignment horizontal="right" vertical="center"/>
    </xf>
    <xf numFmtId="0" fontId="35" fillId="30" borderId="59" xfId="0" applyFont="1" applyFill="1" applyBorder="1" applyAlignment="1">
      <alignment horizontal="right" vertical="center" wrapText="1"/>
    </xf>
    <xf numFmtId="0" fontId="35" fillId="30" borderId="36" xfId="0" applyFont="1" applyFill="1" applyBorder="1" applyAlignment="1">
      <alignment horizontal="right" vertical="center" wrapText="1"/>
    </xf>
    <xf numFmtId="0" fontId="35" fillId="0" borderId="59" xfId="0" applyFont="1" applyBorder="1" applyAlignment="1">
      <alignment horizontal="left" vertical="center" wrapText="1"/>
    </xf>
    <xf numFmtId="0" fontId="35" fillId="28" borderId="59" xfId="0" applyFont="1" applyFill="1" applyBorder="1" applyAlignment="1">
      <alignment horizontal="left" vertical="center"/>
    </xf>
    <xf numFmtId="0" fontId="35" fillId="28" borderId="59" xfId="0" applyFont="1" applyFill="1" applyBorder="1" applyAlignment="1">
      <alignment horizontal="right" vertical="center"/>
    </xf>
    <xf numFmtId="0" fontId="35" fillId="28" borderId="59" xfId="0" applyFont="1" applyFill="1" applyBorder="1" applyAlignment="1">
      <alignment horizontal="right" vertical="center" wrapText="1"/>
    </xf>
    <xf numFmtId="0" fontId="35" fillId="28" borderId="36" xfId="0" applyFont="1" applyFill="1" applyBorder="1" applyAlignment="1">
      <alignment horizontal="right" vertical="center" wrapText="1"/>
    </xf>
    <xf numFmtId="2" fontId="0" fillId="0" borderId="25" xfId="0" applyNumberFormat="1" applyBorder="1"/>
    <xf numFmtId="0" fontId="0" fillId="0" borderId="59" xfId="0" applyBorder="1" applyAlignment="1">
      <alignment vertical="top"/>
    </xf>
    <xf numFmtId="0" fontId="36" fillId="0" borderId="59" xfId="0" applyFont="1" applyBorder="1" applyAlignment="1">
      <alignment horizontal="justify" vertical="center"/>
    </xf>
    <xf numFmtId="0" fontId="37" fillId="31" borderId="36" xfId="0" applyFont="1" applyFill="1" applyBorder="1" applyAlignment="1">
      <alignment horizontal="right" vertical="center"/>
    </xf>
    <xf numFmtId="0" fontId="0" fillId="30" borderId="59" xfId="0" applyFill="1" applyBorder="1" applyAlignment="1">
      <alignment vertical="top"/>
    </xf>
    <xf numFmtId="0" fontId="37" fillId="30" borderId="59" xfId="0" applyFont="1" applyFill="1" applyBorder="1" applyAlignment="1">
      <alignment horizontal="justify" vertical="center"/>
    </xf>
    <xf numFmtId="0" fontId="35" fillId="28" borderId="59" xfId="0" applyFont="1" applyFill="1" applyBorder="1" applyAlignment="1">
      <alignment horizontal="left" vertical="center" wrapText="1"/>
    </xf>
    <xf numFmtId="0" fontId="29" fillId="32" borderId="17" xfId="0" applyFont="1" applyFill="1" applyBorder="1" applyAlignment="1">
      <alignment vertical="center" wrapText="1"/>
    </xf>
    <xf numFmtId="0" fontId="0" fillId="33" borderId="59" xfId="0" applyFill="1" applyBorder="1" applyAlignment="1">
      <alignment vertical="top"/>
    </xf>
    <xf numFmtId="0" fontId="38" fillId="33" borderId="36" xfId="0" applyFont="1" applyFill="1" applyBorder="1" applyAlignment="1">
      <alignment horizontal="justify" vertical="center"/>
    </xf>
    <xf numFmtId="0" fontId="36" fillId="0" borderId="59" xfId="0" applyFont="1" applyBorder="1" applyAlignment="1">
      <alignment horizontal="left" vertical="center" wrapText="1"/>
    </xf>
    <xf numFmtId="0" fontId="36" fillId="33" borderId="59" xfId="0" applyFont="1" applyFill="1" applyBorder="1" applyAlignment="1">
      <alignment horizontal="justify" vertical="center" wrapText="1"/>
    </xf>
    <xf numFmtId="0" fontId="37" fillId="30" borderId="59" xfId="0" applyFont="1" applyFill="1" applyBorder="1" applyAlignment="1">
      <alignment horizontal="right" vertical="center" wrapText="1"/>
    </xf>
    <xf numFmtId="0" fontId="37" fillId="30" borderId="36" xfId="0" applyFont="1" applyFill="1" applyBorder="1" applyAlignment="1">
      <alignment horizontal="right" vertical="center" wrapText="1"/>
    </xf>
    <xf numFmtId="0" fontId="37" fillId="30" borderId="59" xfId="0" applyFont="1" applyFill="1" applyBorder="1" applyAlignment="1">
      <alignment horizontal="justify" vertical="center" wrapText="1"/>
    </xf>
    <xf numFmtId="0" fontId="37" fillId="28" borderId="59" xfId="0" applyFont="1" applyFill="1" applyBorder="1" applyAlignment="1">
      <alignment horizontal="right" vertical="center" wrapText="1"/>
    </xf>
    <xf numFmtId="0" fontId="37" fillId="28" borderId="36" xfId="0" applyFont="1" applyFill="1" applyBorder="1" applyAlignment="1">
      <alignment horizontal="right" vertical="center" wrapText="1"/>
    </xf>
    <xf numFmtId="0" fontId="26" fillId="0" borderId="59" xfId="0" applyFont="1" applyBorder="1" applyAlignment="1">
      <alignment horizontal="left" vertical="center"/>
    </xf>
    <xf numFmtId="0" fontId="26" fillId="0" borderId="56" xfId="0" applyFont="1" applyBorder="1" applyAlignment="1">
      <alignment horizontal="right" vertical="center"/>
    </xf>
    <xf numFmtId="0" fontId="26" fillId="0" borderId="55" xfId="0" applyFont="1" applyBorder="1" applyAlignment="1">
      <alignment horizontal="left" vertical="center"/>
    </xf>
    <xf numFmtId="0" fontId="38" fillId="33" borderId="3" xfId="0" applyFont="1" applyFill="1" applyBorder="1" applyAlignment="1">
      <alignment horizontal="justify" vertical="center"/>
    </xf>
    <xf numFmtId="0" fontId="42" fillId="33" borderId="30" xfId="0" applyFont="1" applyFill="1" applyBorder="1" applyAlignment="1">
      <alignment horizontal="justify" vertical="center"/>
    </xf>
    <xf numFmtId="0" fontId="26" fillId="0" borderId="44" xfId="0" applyFont="1" applyBorder="1" applyAlignment="1">
      <alignment horizontal="left" vertical="center"/>
    </xf>
    <xf numFmtId="0" fontId="26" fillId="0" borderId="0" xfId="0" applyFont="1" applyAlignment="1">
      <alignment horizontal="right" vertical="center"/>
    </xf>
    <xf numFmtId="0" fontId="26" fillId="0" borderId="43" xfId="0" applyFont="1" applyBorder="1" applyAlignment="1">
      <alignment horizontal="left" vertical="center"/>
    </xf>
    <xf numFmtId="2" fontId="0" fillId="0" borderId="66" xfId="0" applyNumberFormat="1" applyBorder="1"/>
    <xf numFmtId="9" fontId="0" fillId="0" borderId="36" xfId="0" applyNumberFormat="1" applyBorder="1"/>
    <xf numFmtId="9" fontId="0" fillId="0" borderId="72" xfId="0" applyNumberFormat="1" applyBorder="1"/>
    <xf numFmtId="0" fontId="8" fillId="10" borderId="0" xfId="0" applyFont="1" applyFill="1" applyAlignment="1">
      <alignment horizontal="center" wrapText="1"/>
    </xf>
    <xf numFmtId="0" fontId="0" fillId="11" borderId="4" xfId="0" applyFill="1" applyBorder="1" applyAlignment="1">
      <alignment horizontal="center" wrapText="1"/>
    </xf>
    <xf numFmtId="0" fontId="0" fillId="11" borderId="6" xfId="0" applyFill="1" applyBorder="1" applyAlignment="1">
      <alignment horizontal="center" wrapText="1"/>
    </xf>
    <xf numFmtId="0" fontId="0" fillId="0" borderId="6" xfId="0" applyBorder="1" applyAlignment="1">
      <alignment horizontal="center" wrapText="1"/>
    </xf>
    <xf numFmtId="0" fontId="0" fillId="0" borderId="0" xfId="0" applyAlignment="1">
      <alignment horizontal="center" vertical="center" wrapText="1"/>
    </xf>
    <xf numFmtId="0" fontId="0" fillId="0" borderId="35" xfId="0" applyBorder="1" applyAlignment="1">
      <alignment horizontal="center"/>
    </xf>
    <xf numFmtId="0" fontId="0" fillId="0" borderId="17" xfId="0" applyBorder="1" applyAlignment="1">
      <alignment horizontal="center"/>
    </xf>
    <xf numFmtId="0" fontId="0" fillId="0" borderId="25" xfId="0" applyBorder="1" applyAlignment="1">
      <alignment horizontal="center"/>
    </xf>
    <xf numFmtId="0" fontId="0" fillId="0" borderId="44" xfId="0" applyBorder="1" applyAlignment="1">
      <alignment horizontal="left"/>
    </xf>
    <xf numFmtId="0" fontId="0" fillId="0" borderId="17" xfId="0" applyBorder="1" applyAlignment="1">
      <alignment horizontal="center" vertical="center"/>
    </xf>
    <xf numFmtId="0" fontId="0" fillId="0" borderId="0" xfId="0" applyAlignment="1">
      <alignment horizontal="center" wrapText="1"/>
    </xf>
    <xf numFmtId="2" fontId="0" fillId="0" borderId="0" xfId="0" applyNumberFormat="1" applyBorder="1"/>
    <xf numFmtId="0" fontId="0" fillId="35" borderId="43" xfId="0" applyFill="1" applyBorder="1"/>
    <xf numFmtId="0" fontId="0" fillId="35" borderId="0" xfId="0" applyFill="1" applyBorder="1"/>
    <xf numFmtId="0" fontId="0" fillId="35" borderId="0" xfId="0" applyFill="1" applyBorder="1" applyAlignment="1">
      <alignment horizontal="right"/>
    </xf>
    <xf numFmtId="168" fontId="0" fillId="35" borderId="0" xfId="0" applyNumberFormat="1" applyFill="1" applyBorder="1" applyAlignment="1">
      <alignment horizontal="right"/>
    </xf>
    <xf numFmtId="2" fontId="0" fillId="35" borderId="0" xfId="0" applyNumberFormat="1" applyFill="1" applyBorder="1"/>
    <xf numFmtId="0" fontId="0" fillId="35" borderId="55" xfId="0" applyFill="1" applyBorder="1"/>
    <xf numFmtId="0" fontId="0" fillId="35" borderId="56" xfId="0" applyFill="1" applyBorder="1"/>
    <xf numFmtId="0" fontId="0" fillId="0" borderId="65" xfId="0" applyFill="1" applyBorder="1"/>
    <xf numFmtId="0" fontId="4" fillId="0" borderId="17" xfId="3" applyBorder="1"/>
    <xf numFmtId="0" fontId="0" fillId="0" borderId="35" xfId="0" applyBorder="1" applyAlignment="1">
      <alignment horizontal="center" vertical="center"/>
    </xf>
    <xf numFmtId="0" fontId="4" fillId="0" borderId="35" xfId="3" applyBorder="1"/>
    <xf numFmtId="0" fontId="0" fillId="3" borderId="32" xfId="0" applyFill="1" applyBorder="1"/>
    <xf numFmtId="0" fontId="0" fillId="0" borderId="30" xfId="0" applyFill="1" applyBorder="1" applyAlignment="1">
      <alignment horizontal="center" vertical="center"/>
    </xf>
    <xf numFmtId="0" fontId="0" fillId="36" borderId="17" xfId="0" applyFill="1" applyBorder="1"/>
    <xf numFmtId="2" fontId="0" fillId="36" borderId="17" xfId="0" applyNumberFormat="1" applyFill="1" applyBorder="1"/>
    <xf numFmtId="0" fontId="0" fillId="0" borderId="31" xfId="0" applyFill="1" applyBorder="1"/>
    <xf numFmtId="0" fontId="0" fillId="0" borderId="35" xfId="0" applyFill="1" applyBorder="1"/>
    <xf numFmtId="2" fontId="0" fillId="36" borderId="62" xfId="0" applyNumberFormat="1" applyFill="1" applyBorder="1"/>
    <xf numFmtId="0" fontId="0" fillId="0" borderId="0" xfId="0" applyBorder="1" applyAlignment="1">
      <alignment horizontal="left"/>
    </xf>
    <xf numFmtId="0" fontId="0" fillId="0" borderId="1" xfId="0" applyFill="1" applyBorder="1" applyAlignment="1">
      <alignment horizontal="center" vertical="center"/>
    </xf>
    <xf numFmtId="2" fontId="0" fillId="37" borderId="17" xfId="0" applyNumberFormat="1" applyFill="1" applyBorder="1"/>
    <xf numFmtId="0" fontId="0" fillId="0" borderId="1" xfId="0" applyFill="1" applyBorder="1"/>
    <xf numFmtId="2" fontId="0" fillId="37" borderId="18" xfId="0" applyNumberFormat="1" applyFill="1" applyBorder="1"/>
    <xf numFmtId="0" fontId="0" fillId="0" borderId="33" xfId="0" applyBorder="1"/>
    <xf numFmtId="2" fontId="0" fillId="11" borderId="17" xfId="0" applyNumberFormat="1" applyFill="1" applyBorder="1"/>
    <xf numFmtId="2" fontId="0" fillId="37" borderId="62" xfId="0" applyNumberFormat="1" applyFill="1" applyBorder="1"/>
    <xf numFmtId="2" fontId="0" fillId="5" borderId="17" xfId="0" applyNumberFormat="1" applyFill="1" applyBorder="1"/>
    <xf numFmtId="0" fontId="0" fillId="9" borderId="0" xfId="0" applyFill="1" applyBorder="1" applyAlignment="1">
      <alignment horizontal="center" wrapText="1"/>
    </xf>
    <xf numFmtId="0" fontId="0" fillId="9" borderId="13" xfId="0" applyFill="1" applyBorder="1" applyAlignment="1">
      <alignment horizontal="center" wrapText="1"/>
    </xf>
    <xf numFmtId="0" fontId="0" fillId="11" borderId="18" xfId="0" applyFill="1" applyBorder="1" applyAlignment="1">
      <alignment horizontal="center" wrapText="1"/>
    </xf>
    <xf numFmtId="0" fontId="0" fillId="11" borderId="14" xfId="0" applyFill="1" applyBorder="1" applyAlignment="1">
      <alignment horizontal="center"/>
    </xf>
    <xf numFmtId="0" fontId="0" fillId="0" borderId="13" xfId="0" applyBorder="1" applyAlignment="1">
      <alignment horizontal="center" wrapText="1"/>
    </xf>
    <xf numFmtId="0" fontId="0" fillId="0" borderId="13" xfId="0" applyFill="1" applyBorder="1" applyAlignment="1">
      <alignment horizontal="center"/>
    </xf>
    <xf numFmtId="0" fontId="0" fillId="0" borderId="18" xfId="0" applyBorder="1" applyAlignment="1">
      <alignment horizontal="center" wrapText="1"/>
    </xf>
    <xf numFmtId="0" fontId="0" fillId="0" borderId="14" xfId="0" applyFill="1" applyBorder="1" applyAlignment="1">
      <alignment horizontal="center"/>
    </xf>
    <xf numFmtId="0" fontId="0" fillId="0" borderId="32" xfId="0" applyBorder="1" applyAlignment="1">
      <alignment horizontal="center" vertical="center"/>
    </xf>
    <xf numFmtId="0" fontId="0" fillId="0" borderId="1" xfId="0" applyBorder="1" applyAlignment="1">
      <alignment horizontal="center" vertical="center"/>
    </xf>
    <xf numFmtId="0" fontId="2" fillId="0" borderId="0" xfId="0" applyFont="1" applyBorder="1"/>
    <xf numFmtId="170" fontId="0" fillId="0" borderId="0" xfId="0" applyNumberFormat="1"/>
    <xf numFmtId="0" fontId="2" fillId="0" borderId="10" xfId="0" applyFont="1" applyBorder="1"/>
    <xf numFmtId="0" fontId="2" fillId="0" borderId="15" xfId="0" applyFont="1" applyFill="1" applyBorder="1"/>
    <xf numFmtId="170" fontId="0" fillId="0" borderId="17" xfId="0" applyNumberFormat="1" applyBorder="1"/>
    <xf numFmtId="170" fontId="0" fillId="0" borderId="14" xfId="0" applyNumberFormat="1" applyBorder="1"/>
    <xf numFmtId="0" fontId="0" fillId="0" borderId="45" xfId="0" applyFill="1" applyBorder="1"/>
    <xf numFmtId="0" fontId="0" fillId="0" borderId="17" xfId="0" applyFill="1" applyBorder="1" applyAlignment="1">
      <alignment horizontal="right"/>
    </xf>
    <xf numFmtId="0" fontId="0" fillId="11" borderId="17" xfId="0" applyFill="1" applyBorder="1"/>
    <xf numFmtId="0" fontId="0" fillId="0" borderId="17" xfId="0" applyFont="1" applyBorder="1"/>
    <xf numFmtId="0" fontId="0" fillId="0" borderId="17" xfId="0" applyFont="1" applyFill="1" applyBorder="1"/>
    <xf numFmtId="0" fontId="15" fillId="25" borderId="26" xfId="0" applyFont="1" applyFill="1" applyBorder="1" applyAlignment="1">
      <alignment horizontal="center" vertical="center"/>
    </xf>
    <xf numFmtId="0" fontId="2" fillId="0" borderId="15" xfId="0" applyFont="1" applyBorder="1"/>
    <xf numFmtId="2" fontId="0" fillId="11" borderId="14" xfId="0" applyNumberFormat="1" applyFill="1" applyBorder="1"/>
    <xf numFmtId="2" fontId="0" fillId="3" borderId="17" xfId="0" applyNumberFormat="1" applyFill="1" applyBorder="1"/>
    <xf numFmtId="10" fontId="0" fillId="0" borderId="0" xfId="0" applyNumberFormat="1" applyBorder="1"/>
    <xf numFmtId="0" fontId="0" fillId="0" borderId="30" xfId="0" applyBorder="1" applyAlignment="1">
      <alignment horizontal="center" vertical="center"/>
    </xf>
    <xf numFmtId="0" fontId="0" fillId="0" borderId="43" xfId="0" applyBorder="1" applyAlignment="1">
      <alignment horizontal="center"/>
    </xf>
    <xf numFmtId="0" fontId="0" fillId="0" borderId="0" xfId="0" applyBorder="1" applyAlignment="1">
      <alignment horizontal="center"/>
    </xf>
    <xf numFmtId="2" fontId="0" fillId="0" borderId="6" xfId="0" applyNumberFormat="1" applyBorder="1"/>
    <xf numFmtId="2" fontId="0" fillId="0" borderId="11" xfId="0" applyNumberFormat="1" applyBorder="1"/>
    <xf numFmtId="0" fontId="0" fillId="23" borderId="17" xfId="0" applyFill="1" applyBorder="1"/>
    <xf numFmtId="0" fontId="0" fillId="19" borderId="17" xfId="0" applyFill="1" applyBorder="1"/>
    <xf numFmtId="0" fontId="21" fillId="0" borderId="65" xfId="0" applyFont="1" applyBorder="1"/>
    <xf numFmtId="0" fontId="2" fillId="0" borderId="60" xfId="0" applyFont="1" applyBorder="1"/>
    <xf numFmtId="0" fontId="2" fillId="0" borderId="79" xfId="0" applyFont="1" applyBorder="1"/>
    <xf numFmtId="0" fontId="2" fillId="0" borderId="45" xfId="0" applyFont="1" applyBorder="1"/>
    <xf numFmtId="0" fontId="2" fillId="0" borderId="35" xfId="0" applyFont="1" applyBorder="1"/>
    <xf numFmtId="0" fontId="2" fillId="0" borderId="70" xfId="0" applyFont="1" applyBorder="1"/>
    <xf numFmtId="0" fontId="0" fillId="0" borderId="82" xfId="0" applyBorder="1"/>
    <xf numFmtId="9" fontId="0" fillId="0" borderId="0" xfId="0" applyNumberFormat="1" applyBorder="1"/>
    <xf numFmtId="0" fontId="0" fillId="9" borderId="0" xfId="0" applyFill="1" applyAlignment="1">
      <alignment horizontal="center" wrapText="1"/>
    </xf>
    <xf numFmtId="0" fontId="0" fillId="11" borderId="13" xfId="0" applyFill="1" applyBorder="1" applyAlignment="1">
      <alignment horizontal="center"/>
    </xf>
    <xf numFmtId="0" fontId="0" fillId="0" borderId="14" xfId="0" applyBorder="1" applyAlignment="1">
      <alignment horizontal="center"/>
    </xf>
    <xf numFmtId="0" fontId="0" fillId="15" borderId="11" xfId="0" applyFill="1" applyBorder="1" applyAlignment="1">
      <alignment wrapText="1"/>
    </xf>
    <xf numFmtId="0" fontId="0" fillId="15" borderId="0" xfId="0" applyFill="1" applyAlignment="1">
      <alignment wrapText="1"/>
    </xf>
    <xf numFmtId="0" fontId="0" fillId="15" borderId="11" xfId="0" applyFill="1" applyBorder="1" applyAlignment="1"/>
    <xf numFmtId="0" fontId="2" fillId="15" borderId="0" xfId="0" applyFont="1" applyFill="1" applyAlignment="1"/>
    <xf numFmtId="0" fontId="0" fillId="15" borderId="0" xfId="0" applyFill="1" applyAlignment="1"/>
    <xf numFmtId="0" fontId="0" fillId="15" borderId="0" xfId="0" applyFill="1" applyAlignment="1">
      <alignment horizontal="left" wrapText="1"/>
    </xf>
    <xf numFmtId="0" fontId="9" fillId="15" borderId="0" xfId="0" applyFont="1" applyFill="1" applyAlignment="1"/>
    <xf numFmtId="0" fontId="0" fillId="14" borderId="0" xfId="0" applyFill="1"/>
    <xf numFmtId="10" fontId="0" fillId="3" borderId="0" xfId="0" applyNumberFormat="1" applyFill="1" applyBorder="1"/>
    <xf numFmtId="0" fontId="0" fillId="15" borderId="0" xfId="0" applyFill="1" applyBorder="1"/>
    <xf numFmtId="9" fontId="0" fillId="3" borderId="0" xfId="0" applyNumberFormat="1" applyFill="1" applyBorder="1"/>
    <xf numFmtId="0" fontId="0" fillId="15" borderId="0" xfId="0" applyFill="1" applyBorder="1" applyAlignment="1"/>
    <xf numFmtId="0" fontId="0" fillId="15" borderId="0" xfId="0" applyFill="1" applyBorder="1" applyAlignment="1">
      <alignment horizontal="left"/>
    </xf>
    <xf numFmtId="0" fontId="0" fillId="15" borderId="5" xfId="0" applyFill="1" applyBorder="1"/>
    <xf numFmtId="0" fontId="0" fillId="15" borderId="6" xfId="0" applyFill="1" applyBorder="1"/>
    <xf numFmtId="0" fontId="0" fillId="15" borderId="7" xfId="0" applyFill="1" applyBorder="1"/>
    <xf numFmtId="0" fontId="0" fillId="15" borderId="4" xfId="0" applyFill="1" applyBorder="1"/>
    <xf numFmtId="0" fontId="0" fillId="15" borderId="9" xfId="0" applyFill="1" applyBorder="1"/>
    <xf numFmtId="10" fontId="0" fillId="3" borderId="0" xfId="0" applyNumberFormat="1" applyFill="1" applyBorder="1" applyAlignment="1">
      <alignment horizontal="right"/>
    </xf>
    <xf numFmtId="0" fontId="8" fillId="0" borderId="0" xfId="0" applyFont="1" applyFill="1" applyAlignment="1">
      <alignment wrapText="1"/>
    </xf>
    <xf numFmtId="0" fontId="8" fillId="0" borderId="0" xfId="0" applyFont="1" applyFill="1" applyBorder="1" applyAlignment="1">
      <alignment horizontal="left" wrapText="1"/>
    </xf>
    <xf numFmtId="0" fontId="0" fillId="12" borderId="11" xfId="0" applyFill="1" applyBorder="1" applyAlignment="1">
      <alignment wrapText="1"/>
    </xf>
    <xf numFmtId="0" fontId="0" fillId="0" borderId="0" xfId="0" applyFill="1" applyBorder="1" applyAlignment="1">
      <alignment horizontal="left"/>
    </xf>
    <xf numFmtId="9" fontId="0" fillId="0" borderId="0" xfId="0" applyNumberFormat="1" applyFill="1" applyBorder="1"/>
    <xf numFmtId="0" fontId="16" fillId="0" borderId="17" xfId="0" applyFont="1" applyFill="1" applyBorder="1"/>
    <xf numFmtId="2" fontId="16" fillId="0" borderId="17" xfId="0" applyNumberFormat="1" applyFont="1" applyFill="1" applyBorder="1"/>
    <xf numFmtId="169" fontId="0" fillId="0" borderId="17" xfId="0" applyNumberFormat="1" applyBorder="1"/>
    <xf numFmtId="169" fontId="0" fillId="0" borderId="14" xfId="0" applyNumberFormat="1" applyBorder="1"/>
    <xf numFmtId="0" fontId="8" fillId="10" borderId="10" xfId="0" applyFont="1" applyFill="1" applyBorder="1" applyAlignment="1">
      <alignment horizontal="center" vertical="center" wrapText="1"/>
    </xf>
    <xf numFmtId="0" fontId="0" fillId="11" borderId="8" xfId="0" applyFill="1" applyBorder="1" applyAlignment="1">
      <alignment horizontal="center" wrapText="1"/>
    </xf>
    <xf numFmtId="0" fontId="0" fillId="15" borderId="0" xfId="0" applyFill="1" applyBorder="1" applyAlignment="1">
      <alignment horizontal="center"/>
    </xf>
    <xf numFmtId="0" fontId="16" fillId="21" borderId="17" xfId="0" applyFont="1" applyFill="1" applyBorder="1" applyAlignment="1">
      <alignment horizontal="left"/>
    </xf>
    <xf numFmtId="0" fontId="16" fillId="21" borderId="15" xfId="0" applyFont="1" applyFill="1" applyBorder="1" applyAlignment="1">
      <alignment horizontal="left"/>
    </xf>
    <xf numFmtId="0" fontId="0" fillId="0" borderId="0" xfId="0" applyAlignment="1">
      <alignment horizontal="right"/>
    </xf>
    <xf numFmtId="0" fontId="0" fillId="15" borderId="10" xfId="0" applyFill="1" applyBorder="1" applyAlignment="1">
      <alignment horizontal="left" wrapText="1"/>
    </xf>
    <xf numFmtId="0" fontId="0" fillId="15" borderId="11" xfId="0" applyFill="1" applyBorder="1" applyAlignment="1">
      <alignment horizontal="center" wrapText="1"/>
    </xf>
    <xf numFmtId="0" fontId="0" fillId="15" borderId="4" xfId="0" applyFill="1" applyBorder="1" applyAlignment="1">
      <alignment horizontal="center"/>
    </xf>
    <xf numFmtId="0" fontId="0" fillId="15" borderId="9" xfId="0" applyFill="1" applyBorder="1" applyAlignment="1">
      <alignment horizontal="center"/>
    </xf>
    <xf numFmtId="2" fontId="0" fillId="4" borderId="0" xfId="0" applyNumberFormat="1" applyFill="1" applyBorder="1"/>
    <xf numFmtId="0" fontId="0" fillId="15" borderId="10" xfId="0" applyFill="1" applyBorder="1" applyAlignment="1">
      <alignment horizontal="right"/>
    </xf>
    <xf numFmtId="0" fontId="0" fillId="15" borderId="10" xfId="0" applyFill="1" applyBorder="1" applyAlignment="1">
      <alignment vertical="center"/>
    </xf>
    <xf numFmtId="0" fontId="0" fillId="15" borderId="10" xfId="0" applyFill="1" applyBorder="1" applyAlignment="1"/>
    <xf numFmtId="2" fontId="0" fillId="4" borderId="6" xfId="0" applyNumberFormat="1" applyFill="1" applyBorder="1"/>
    <xf numFmtId="2" fontId="0" fillId="15" borderId="0" xfId="0" applyNumberFormat="1" applyFill="1" applyBorder="1"/>
    <xf numFmtId="2" fontId="0" fillId="4" borderId="4" xfId="0" applyNumberFormat="1" applyFill="1" applyBorder="1"/>
    <xf numFmtId="0" fontId="0" fillId="3" borderId="6" xfId="0" applyFill="1" applyBorder="1"/>
    <xf numFmtId="0" fontId="0" fillId="15" borderId="10" xfId="0" applyFill="1" applyBorder="1" applyAlignment="1">
      <alignment horizontal="left"/>
    </xf>
    <xf numFmtId="0" fontId="0" fillId="15" borderId="5" xfId="0" applyFill="1" applyBorder="1" applyAlignment="1">
      <alignment horizontal="left"/>
    </xf>
    <xf numFmtId="2" fontId="0" fillId="0" borderId="15" xfId="0" applyNumberFormat="1" applyBorder="1"/>
    <xf numFmtId="0" fontId="16" fillId="15" borderId="0" xfId="0" applyFont="1" applyFill="1" applyBorder="1" applyAlignment="1">
      <alignment horizontal="left"/>
    </xf>
    <xf numFmtId="0" fontId="16" fillId="15" borderId="10" xfId="0" applyFont="1" applyFill="1" applyBorder="1" applyAlignment="1">
      <alignment horizontal="left"/>
    </xf>
    <xf numFmtId="0" fontId="0" fillId="15" borderId="12" xfId="0" applyFill="1" applyBorder="1" applyAlignment="1">
      <alignment wrapText="1"/>
    </xf>
    <xf numFmtId="0" fontId="0" fillId="15" borderId="0" xfId="0" applyFill="1" applyBorder="1" applyAlignment="1">
      <alignment wrapText="1"/>
    </xf>
    <xf numFmtId="0" fontId="0" fillId="15" borderId="5" xfId="0" applyFill="1" applyBorder="1" applyAlignment="1">
      <alignment horizontal="right"/>
    </xf>
    <xf numFmtId="0" fontId="0" fillId="15" borderId="6" xfId="0" applyFill="1" applyBorder="1" applyAlignment="1"/>
    <xf numFmtId="0" fontId="0" fillId="15" borderId="11" xfId="0" applyFill="1" applyBorder="1" applyAlignment="1">
      <alignment horizontal="center"/>
    </xf>
    <xf numFmtId="0" fontId="0" fillId="0" borderId="0" xfId="0" applyAlignment="1">
      <alignment horizontal="center" vertical="center"/>
    </xf>
    <xf numFmtId="2" fontId="0" fillId="11" borderId="10" xfId="0" applyNumberFormat="1" applyFill="1" applyBorder="1" applyAlignment="1">
      <alignment horizontal="center" wrapText="1"/>
    </xf>
    <xf numFmtId="2" fontId="0" fillId="3" borderId="0" xfId="0" applyNumberFormat="1" applyFill="1" applyBorder="1"/>
    <xf numFmtId="169" fontId="0" fillId="11" borderId="10" xfId="0" applyNumberFormat="1" applyFill="1" applyBorder="1" applyAlignment="1">
      <alignment horizontal="center" wrapText="1"/>
    </xf>
    <xf numFmtId="0" fontId="4" fillId="0" borderId="0" xfId="3"/>
    <xf numFmtId="169" fontId="0" fillId="11" borderId="18" xfId="0" applyNumberFormat="1" applyFill="1" applyBorder="1" applyAlignment="1">
      <alignment horizontal="center" wrapText="1"/>
    </xf>
    <xf numFmtId="2" fontId="0" fillId="11" borderId="18" xfId="0" applyNumberFormat="1" applyFill="1" applyBorder="1" applyAlignment="1">
      <alignment horizontal="center" wrapText="1"/>
    </xf>
    <xf numFmtId="0" fontId="0" fillId="9" borderId="17" xfId="0" applyFill="1" applyBorder="1" applyAlignment="1">
      <alignment horizontal="center" wrapText="1"/>
    </xf>
    <xf numFmtId="9" fontId="0" fillId="11" borderId="10" xfId="2" applyFont="1" applyFill="1" applyBorder="1" applyAlignment="1">
      <alignment horizontal="center" wrapText="1"/>
    </xf>
    <xf numFmtId="2" fontId="0" fillId="0" borderId="0" xfId="0" applyNumberFormat="1" applyFill="1"/>
    <xf numFmtId="0" fontId="44" fillId="15" borderId="10" xfId="0" applyFont="1" applyFill="1" applyBorder="1" applyAlignment="1"/>
    <xf numFmtId="0" fontId="44" fillId="15" borderId="0" xfId="0" applyFont="1" applyFill="1" applyBorder="1" applyAlignment="1"/>
    <xf numFmtId="0" fontId="0" fillId="15" borderId="0" xfId="0" applyFill="1" applyBorder="1" applyAlignment="1">
      <alignment horizontal="left" wrapText="1"/>
    </xf>
    <xf numFmtId="0" fontId="0" fillId="15" borderId="7" xfId="0" applyFill="1" applyBorder="1" applyAlignment="1">
      <alignment horizontal="left" wrapText="1"/>
    </xf>
    <xf numFmtId="0" fontId="0" fillId="15" borderId="11" xfId="0" applyFill="1" applyBorder="1" applyAlignment="1">
      <alignment horizontal="left" wrapText="1"/>
    </xf>
    <xf numFmtId="0" fontId="0" fillId="15" borderId="6" xfId="0" applyFill="1" applyBorder="1" applyAlignment="1">
      <alignment horizontal="left" wrapText="1"/>
    </xf>
    <xf numFmtId="0" fontId="0" fillId="15" borderId="5" xfId="0" applyFill="1" applyBorder="1" applyAlignment="1">
      <alignment horizontal="left" wrapText="1"/>
    </xf>
    <xf numFmtId="0" fontId="0" fillId="15" borderId="11" xfId="0" applyFill="1" applyBorder="1" applyAlignment="1">
      <alignment horizontal="center" vertical="center"/>
    </xf>
    <xf numFmtId="10" fontId="0" fillId="15" borderId="11" xfId="0" applyNumberFormat="1" applyFill="1" applyBorder="1" applyAlignment="1">
      <alignment horizontal="center" vertical="center"/>
    </xf>
    <xf numFmtId="0" fontId="0" fillId="0" borderId="11" xfId="0" applyBorder="1" applyAlignment="1">
      <alignment horizontal="center" vertical="center"/>
    </xf>
    <xf numFmtId="0" fontId="0" fillId="15" borderId="7" xfId="0" applyFill="1" applyBorder="1" applyAlignment="1">
      <alignment horizontal="center"/>
    </xf>
    <xf numFmtId="0" fontId="0" fillId="0" borderId="7" xfId="0" applyFill="1" applyBorder="1" applyAlignment="1">
      <alignment horizontal="center"/>
    </xf>
    <xf numFmtId="0" fontId="0" fillId="15" borderId="16" xfId="0" applyFill="1" applyBorder="1"/>
    <xf numFmtId="0" fontId="0" fillId="15" borderId="16" xfId="0" applyFill="1" applyBorder="1" applyAlignment="1">
      <alignment wrapText="1"/>
    </xf>
    <xf numFmtId="0" fontId="0" fillId="11" borderId="8" xfId="0" applyFill="1" applyBorder="1" applyAlignment="1">
      <alignment horizontal="center" wrapText="1"/>
    </xf>
    <xf numFmtId="0" fontId="0" fillId="15" borderId="10" xfId="0" applyFill="1" applyBorder="1" applyAlignment="1">
      <alignment horizontal="left" wrapText="1"/>
    </xf>
    <xf numFmtId="0" fontId="0" fillId="0" borderId="0" xfId="0" applyAlignment="1">
      <alignment horizontal="left"/>
    </xf>
    <xf numFmtId="0" fontId="3" fillId="0" borderId="0" xfId="0" applyFont="1" applyFill="1" applyBorder="1"/>
    <xf numFmtId="0" fontId="0" fillId="15" borderId="10" xfId="0" applyFill="1" applyBorder="1" applyAlignment="1">
      <alignment horizontal="left" wrapText="1"/>
    </xf>
    <xf numFmtId="0" fontId="0" fillId="0" borderId="0" xfId="0" applyAlignment="1">
      <alignment horizontal="left"/>
    </xf>
    <xf numFmtId="0" fontId="3" fillId="0" borderId="0" xfId="0" applyFont="1" applyAlignment="1">
      <alignment wrapText="1"/>
    </xf>
    <xf numFmtId="0" fontId="3" fillId="0" borderId="0" xfId="0" applyFont="1" applyAlignment="1">
      <alignment horizontal="left"/>
    </xf>
    <xf numFmtId="0" fontId="0" fillId="0" borderId="0" xfId="0" applyAlignment="1">
      <alignment horizontal="left" vertical="center"/>
    </xf>
    <xf numFmtId="0" fontId="0" fillId="42" borderId="0" xfId="0" applyFill="1" applyBorder="1"/>
    <xf numFmtId="0" fontId="0" fillId="42" borderId="0" xfId="0" applyFill="1"/>
    <xf numFmtId="0" fontId="0" fillId="42" borderId="0" xfId="0" applyFill="1" applyBorder="1" applyAlignment="1"/>
    <xf numFmtId="0" fontId="0" fillId="42" borderId="0" xfId="0" applyFill="1" applyBorder="1" applyAlignment="1">
      <alignment wrapText="1"/>
    </xf>
    <xf numFmtId="2" fontId="0" fillId="42" borderId="0" xfId="0" applyNumberFormat="1" applyFill="1" applyBorder="1" applyAlignment="1">
      <alignment wrapText="1"/>
    </xf>
    <xf numFmtId="10" fontId="0" fillId="42" borderId="0" xfId="0" applyNumberFormat="1" applyFill="1" applyBorder="1" applyAlignment="1">
      <alignment wrapText="1"/>
    </xf>
    <xf numFmtId="2" fontId="0" fillId="42" borderId="0" xfId="0" applyNumberFormat="1" applyFill="1" applyBorder="1" applyAlignment="1"/>
    <xf numFmtId="10" fontId="0" fillId="42" borderId="0" xfId="0" applyNumberFormat="1" applyFill="1" applyBorder="1" applyAlignment="1"/>
    <xf numFmtId="2" fontId="0" fillId="15" borderId="6" xfId="0" applyNumberFormat="1" applyFill="1" applyBorder="1"/>
    <xf numFmtId="0" fontId="10" fillId="0" borderId="0" xfId="0" applyFont="1" applyBorder="1"/>
    <xf numFmtId="0" fontId="0" fillId="7" borderId="11" xfId="0" applyFill="1" applyBorder="1" applyAlignment="1">
      <alignment wrapText="1"/>
    </xf>
    <xf numFmtId="0" fontId="0" fillId="42" borderId="43" xfId="0" applyFill="1" applyBorder="1"/>
    <xf numFmtId="0" fontId="0" fillId="42" borderId="44" xfId="0" applyFill="1" applyBorder="1"/>
    <xf numFmtId="0" fontId="0" fillId="43" borderId="17" xfId="0" applyFill="1" applyBorder="1"/>
    <xf numFmtId="0" fontId="0" fillId="43" borderId="31" xfId="0" applyFill="1" applyBorder="1"/>
    <xf numFmtId="0" fontId="0" fillId="43" borderId="35" xfId="0" applyFill="1" applyBorder="1"/>
    <xf numFmtId="0" fontId="0" fillId="43" borderId="32" xfId="0" applyFill="1" applyBorder="1"/>
    <xf numFmtId="0" fontId="0" fillId="43" borderId="3" xfId="0" applyFill="1" applyBorder="1" applyAlignment="1">
      <alignment horizontal="center" vertical="center"/>
    </xf>
    <xf numFmtId="0" fontId="0" fillId="43" borderId="79" xfId="0" applyFill="1" applyBorder="1"/>
    <xf numFmtId="0" fontId="0" fillId="43" borderId="16" xfId="0" applyFill="1" applyBorder="1"/>
    <xf numFmtId="0" fontId="0" fillId="43" borderId="17" xfId="0" applyFill="1" applyBorder="1" applyAlignment="1">
      <alignment horizontal="center" vertical="center"/>
    </xf>
    <xf numFmtId="0" fontId="0" fillId="43" borderId="14" xfId="0" applyFill="1" applyBorder="1"/>
    <xf numFmtId="0" fontId="0" fillId="43" borderId="48" xfId="0" applyFill="1" applyBorder="1"/>
    <xf numFmtId="0" fontId="0" fillId="43" borderId="25" xfId="0" applyFill="1" applyBorder="1"/>
    <xf numFmtId="0" fontId="4" fillId="43" borderId="17" xfId="3" applyFill="1" applyBorder="1"/>
    <xf numFmtId="0" fontId="0" fillId="43" borderId="7" xfId="0" applyFill="1" applyBorder="1"/>
    <xf numFmtId="0" fontId="0" fillId="43" borderId="18" xfId="0" applyFill="1" applyBorder="1"/>
    <xf numFmtId="2" fontId="0" fillId="43" borderId="17" xfId="0" applyNumberFormat="1" applyFill="1" applyBorder="1"/>
    <xf numFmtId="0" fontId="8" fillId="10" borderId="11"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0" fillId="11" borderId="4" xfId="0" applyFill="1" applyBorder="1" applyAlignment="1">
      <alignment horizontal="center" vertical="center" wrapText="1"/>
    </xf>
    <xf numFmtId="0" fontId="0" fillId="11" borderId="14" xfId="0" applyFill="1" applyBorder="1" applyAlignment="1">
      <alignment horizontal="center" vertical="center" wrapText="1"/>
    </xf>
    <xf numFmtId="0" fontId="0" fillId="9" borderId="15" xfId="0" applyFill="1" applyBorder="1" applyAlignment="1">
      <alignment horizont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0" fillId="0" borderId="7" xfId="0" applyBorder="1" applyAlignment="1">
      <alignment horizontal="center"/>
    </xf>
    <xf numFmtId="0" fontId="0" fillId="0" borderId="0" xfId="0" applyAlignment="1">
      <alignment horizontal="center"/>
    </xf>
    <xf numFmtId="0" fontId="0" fillId="0" borderId="0" xfId="0" applyAlignment="1">
      <alignment horizontal="left"/>
    </xf>
    <xf numFmtId="0" fontId="0" fillId="0" borderId="15" xfId="0" applyBorder="1" applyAlignment="1">
      <alignment horizontal="center" wrapText="1"/>
    </xf>
    <xf numFmtId="0" fontId="0" fillId="0" borderId="17" xfId="0" applyBorder="1" applyAlignment="1">
      <alignment horizontal="center" wrapText="1"/>
    </xf>
    <xf numFmtId="0" fontId="0" fillId="0" borderId="10" xfId="0" applyBorder="1" applyAlignment="1">
      <alignment horizontal="center" vertical="center" wrapText="1"/>
    </xf>
    <xf numFmtId="9" fontId="0" fillId="3" borderId="0" xfId="0" applyNumberFormat="1" applyFill="1"/>
    <xf numFmtId="0" fontId="0" fillId="15" borderId="0" xfId="0" applyFill="1" applyBorder="1" applyAlignment="1">
      <alignment horizontal="right"/>
    </xf>
    <xf numFmtId="0" fontId="44" fillId="15" borderId="10" xfId="0" applyFont="1" applyFill="1" applyBorder="1"/>
    <xf numFmtId="2" fontId="0" fillId="4" borderId="0" xfId="0" applyNumberFormat="1" applyFill="1"/>
    <xf numFmtId="2" fontId="0" fillId="4" borderId="0" xfId="0" applyNumberFormat="1" applyFill="1"/>
    <xf numFmtId="0" fontId="0" fillId="15" borderId="11" xfId="0" applyFill="1" applyBorder="1"/>
    <xf numFmtId="0" fontId="0" fillId="15" borderId="0" xfId="0" applyFill="1"/>
    <xf numFmtId="0" fontId="0" fillId="15" borderId="10" xfId="0" applyFill="1" applyBorder="1"/>
    <xf numFmtId="0" fontId="0" fillId="15" borderId="0" xfId="0" applyFill="1" applyBorder="1"/>
    <xf numFmtId="0" fontId="44" fillId="15" borderId="0" xfId="0" applyFont="1" applyFill="1" applyBorder="1"/>
    <xf numFmtId="0" fontId="0" fillId="15" borderId="0" xfId="0" applyFill="1" applyAlignment="1">
      <alignment horizontal="left" wrapText="1"/>
    </xf>
    <xf numFmtId="0" fontId="6" fillId="0" borderId="10" xfId="0" applyFont="1" applyBorder="1" applyAlignment="1">
      <alignment vertical="center" wrapText="1"/>
    </xf>
    <xf numFmtId="2" fontId="0" fillId="0" borderId="16" xfId="0" applyNumberFormat="1" applyBorder="1" applyAlignment="1">
      <alignment horizontal="center" wrapText="1"/>
    </xf>
    <xf numFmtId="2" fontId="0" fillId="0" borderId="17" xfId="0" applyNumberFormat="1" applyBorder="1" applyAlignment="1">
      <alignment horizontal="center" wrapText="1"/>
    </xf>
    <xf numFmtId="0" fontId="8" fillId="10" borderId="15" xfId="0" applyFont="1" applyFill="1" applyBorder="1" applyAlignment="1">
      <alignment horizontal="center" vertical="center" wrapText="1"/>
    </xf>
    <xf numFmtId="0" fontId="8" fillId="10" borderId="18"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0" fillId="15" borderId="14" xfId="0" applyFill="1" applyBorder="1" applyAlignment="1">
      <alignment horizontal="center" wrapText="1"/>
    </xf>
    <xf numFmtId="0" fontId="0" fillId="9" borderId="16" xfId="0" applyFill="1" applyBorder="1" applyAlignment="1">
      <alignment horizontal="center" wrapText="1"/>
    </xf>
    <xf numFmtId="0" fontId="0" fillId="11" borderId="18" xfId="0" applyFill="1" applyBorder="1" applyAlignment="1">
      <alignment vertical="center" wrapText="1"/>
    </xf>
    <xf numFmtId="2" fontId="0" fillId="11" borderId="0" xfId="0" applyNumberFormat="1" applyFill="1" applyAlignment="1">
      <alignment horizontal="center" wrapText="1"/>
    </xf>
    <xf numFmtId="169" fontId="0" fillId="11" borderId="13" xfId="0" applyNumberFormat="1" applyFill="1" applyBorder="1" applyAlignment="1">
      <alignment horizontal="center" wrapText="1"/>
    </xf>
    <xf numFmtId="2" fontId="0" fillId="11" borderId="5" xfId="0" applyNumberFormat="1" applyFill="1" applyBorder="1" applyAlignment="1">
      <alignment horizontal="center" wrapText="1"/>
    </xf>
    <xf numFmtId="169" fontId="0" fillId="11" borderId="5" xfId="0" applyNumberFormat="1" applyFill="1" applyBorder="1" applyAlignment="1">
      <alignment horizontal="center" wrapText="1"/>
    </xf>
    <xf numFmtId="0" fontId="0" fillId="11" borderId="14" xfId="0" applyFill="1" applyBorder="1" applyAlignment="1">
      <alignment vertical="center" wrapText="1"/>
    </xf>
    <xf numFmtId="0" fontId="0" fillId="15" borderId="18" xfId="0" applyFill="1"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8" xfId="0" applyBorder="1" applyAlignment="1">
      <alignment horizontal="left" vertical="top" wrapText="1"/>
    </xf>
    <xf numFmtId="0" fontId="0" fillId="3" borderId="14" xfId="0" applyFill="1" applyBorder="1" applyAlignment="1">
      <alignment horizontal="left" vertical="top" wrapText="1"/>
    </xf>
    <xf numFmtId="0" fontId="0" fillId="0" borderId="14"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xf>
    <xf numFmtId="0" fontId="0" fillId="15" borderId="7" xfId="0" applyFill="1" applyBorder="1" applyAlignment="1">
      <alignment horizontal="center" vertical="center" wrapText="1"/>
    </xf>
    <xf numFmtId="0" fontId="0" fillId="15" borderId="11" xfId="0" applyFill="1" applyBorder="1" applyAlignment="1">
      <alignment horizontal="center" vertical="center" wrapText="1"/>
    </xf>
    <xf numFmtId="0" fontId="0" fillId="15" borderId="0" xfId="0" applyFill="1" applyBorder="1" applyAlignment="1">
      <alignment horizontal="center" vertical="center"/>
    </xf>
    <xf numFmtId="0" fontId="9" fillId="0" borderId="0" xfId="0" applyFont="1"/>
    <xf numFmtId="0" fontId="0" fillId="16" borderId="11" xfId="0" applyFill="1" applyBorder="1"/>
    <xf numFmtId="0" fontId="0" fillId="0" borderId="17" xfId="0" applyBorder="1" applyAlignment="1">
      <alignment horizontal="center" vertical="center"/>
    </xf>
    <xf numFmtId="0" fontId="0" fillId="15" borderId="10" xfId="0" applyFill="1" applyBorder="1" applyAlignment="1">
      <alignment horizontal="center"/>
    </xf>
    <xf numFmtId="10" fontId="0" fillId="4" borderId="0" xfId="0" applyNumberFormat="1" applyFill="1" applyBorder="1"/>
    <xf numFmtId="2" fontId="0" fillId="4" borderId="0" xfId="0" applyNumberFormat="1" applyFill="1" applyBorder="1" applyAlignment="1">
      <alignment horizontal="right"/>
    </xf>
    <xf numFmtId="9" fontId="0" fillId="15" borderId="0" xfId="0" applyNumberFormat="1" applyFill="1" applyBorder="1"/>
    <xf numFmtId="1" fontId="0" fillId="3" borderId="0" xfId="0" applyNumberFormat="1" applyFill="1" applyBorder="1"/>
    <xf numFmtId="0" fontId="0" fillId="0" borderId="0" xfId="0" applyAlignment="1">
      <alignment vertical="top"/>
    </xf>
    <xf numFmtId="0" fontId="0" fillId="15" borderId="11" xfId="0" applyFill="1" applyBorder="1" applyAlignment="1">
      <alignment horizontal="center" vertical="center"/>
    </xf>
    <xf numFmtId="0" fontId="0" fillId="0" borderId="0" xfId="0" applyAlignment="1">
      <alignment horizontal="right"/>
    </xf>
    <xf numFmtId="10" fontId="0" fillId="15" borderId="0" xfId="0" applyNumberFormat="1" applyFill="1" applyBorder="1"/>
    <xf numFmtId="0" fontId="0" fillId="44" borderId="0" xfId="0" applyFill="1" applyBorder="1"/>
    <xf numFmtId="0" fontId="0" fillId="44" borderId="56" xfId="0" applyFill="1" applyBorder="1"/>
    <xf numFmtId="0" fontId="0" fillId="44" borderId="14" xfId="0" applyFill="1" applyBorder="1"/>
    <xf numFmtId="0" fontId="0" fillId="43" borderId="17" xfId="0" applyFill="1" applyBorder="1" applyAlignment="1">
      <alignment horizontal="right"/>
    </xf>
    <xf numFmtId="0" fontId="0" fillId="0" borderId="17" xfId="0" applyBorder="1" applyAlignment="1">
      <alignment horizontal="center" vertical="center"/>
    </xf>
    <xf numFmtId="0" fontId="0" fillId="39" borderId="0" xfId="0" applyFill="1"/>
    <xf numFmtId="0" fontId="0" fillId="25" borderId="0" xfId="0" applyFill="1"/>
    <xf numFmtId="0" fontId="0" fillId="41" borderId="0" xfId="0" applyFill="1"/>
    <xf numFmtId="0" fontId="0" fillId="40" borderId="0" xfId="0" applyFill="1"/>
    <xf numFmtId="0" fontId="0" fillId="15" borderId="0" xfId="0" applyFill="1" applyAlignment="1">
      <alignment horizontal="left"/>
    </xf>
    <xf numFmtId="0" fontId="47" fillId="0" borderId="17" xfId="0" applyFont="1" applyBorder="1" applyAlignment="1">
      <alignment vertical="center" readingOrder="1"/>
    </xf>
    <xf numFmtId="0" fontId="47" fillId="0" borderId="15" xfId="0" applyFont="1" applyBorder="1" applyAlignment="1">
      <alignment vertical="center" readingOrder="1"/>
    </xf>
    <xf numFmtId="0" fontId="47" fillId="0" borderId="17" xfId="0" applyFont="1" applyBorder="1"/>
    <xf numFmtId="0" fontId="47" fillId="0" borderId="15" xfId="0" applyFont="1" applyBorder="1"/>
    <xf numFmtId="0" fontId="6" fillId="0" borderId="11" xfId="0" applyFont="1" applyFill="1" applyBorder="1" applyAlignment="1"/>
    <xf numFmtId="0" fontId="0" fillId="0" borderId="5" xfId="0" applyBorder="1" applyAlignment="1"/>
    <xf numFmtId="0" fontId="0" fillId="15" borderId="7" xfId="0" applyFill="1" applyBorder="1" applyAlignment="1">
      <alignment horizontal="center" vertical="center"/>
    </xf>
    <xf numFmtId="0" fontId="0" fillId="15" borderId="0" xfId="0" applyFill="1" applyBorder="1" applyAlignment="1">
      <alignment horizontal="left" vertical="center"/>
    </xf>
    <xf numFmtId="0" fontId="0" fillId="3" borderId="6" xfId="0" applyFill="1" applyBorder="1" applyAlignment="1">
      <alignment horizontal="right" vertical="center"/>
    </xf>
    <xf numFmtId="0" fontId="0" fillId="0" borderId="13" xfId="0" applyFill="1" applyBorder="1"/>
    <xf numFmtId="2" fontId="0" fillId="36" borderId="0" xfId="0" applyNumberFormat="1" applyFill="1"/>
    <xf numFmtId="0" fontId="0" fillId="0" borderId="43" xfId="0" applyFill="1" applyBorder="1"/>
    <xf numFmtId="2" fontId="0" fillId="0" borderId="44" xfId="0" applyNumberFormat="1" applyFill="1" applyBorder="1"/>
    <xf numFmtId="2" fontId="0" fillId="36" borderId="25" xfId="0" applyNumberFormat="1" applyFill="1" applyBorder="1"/>
    <xf numFmtId="2" fontId="0" fillId="37" borderId="71" xfId="0" applyNumberFormat="1" applyFill="1" applyBorder="1"/>
    <xf numFmtId="2" fontId="0" fillId="8" borderId="53" xfId="0" applyNumberFormat="1" applyFill="1" applyBorder="1"/>
    <xf numFmtId="0" fontId="0" fillId="0" borderId="17" xfId="0" applyBorder="1" applyAlignment="1">
      <alignment horizontal="center" vertical="center"/>
    </xf>
    <xf numFmtId="0" fontId="0" fillId="0" borderId="0" xfId="0" applyAlignment="1">
      <alignment horizontal="right"/>
    </xf>
    <xf numFmtId="0" fontId="0" fillId="0" borderId="0" xfId="0" applyAlignment="1">
      <alignment horizontal="center" vertical="center"/>
    </xf>
    <xf numFmtId="0" fontId="0" fillId="19" borderId="41" xfId="0" applyFill="1" applyBorder="1" applyAlignment="1">
      <alignment horizontal="center" vertical="center"/>
    </xf>
    <xf numFmtId="0" fontId="0" fillId="43" borderId="0" xfId="0" applyFill="1" applyBorder="1"/>
    <xf numFmtId="0" fontId="15" fillId="0" borderId="0" xfId="0" applyFont="1"/>
    <xf numFmtId="0" fontId="47" fillId="0" borderId="0" xfId="0" applyFont="1" applyFill="1" applyBorder="1" applyAlignment="1">
      <alignment vertical="center" readingOrder="1"/>
    </xf>
    <xf numFmtId="0" fontId="49" fillId="25" borderId="26" xfId="0" applyFont="1" applyFill="1" applyBorder="1" applyAlignment="1">
      <alignment horizontal="center" vertical="center"/>
    </xf>
    <xf numFmtId="0" fontId="49" fillId="0" borderId="16" xfId="0" applyFont="1" applyBorder="1"/>
    <xf numFmtId="0" fontId="49" fillId="25" borderId="30" xfId="0" applyFont="1" applyFill="1" applyBorder="1" applyAlignment="1">
      <alignment horizontal="center" vertical="center"/>
    </xf>
    <xf numFmtId="0" fontId="49" fillId="25" borderId="36" xfId="0" applyFont="1" applyFill="1" applyBorder="1" applyAlignment="1">
      <alignment horizontal="center" vertical="center"/>
    </xf>
    <xf numFmtId="0" fontId="26" fillId="0" borderId="59" xfId="0" applyFont="1" applyBorder="1" applyAlignment="1">
      <alignment horizontal="center" vertical="center"/>
    </xf>
    <xf numFmtId="0" fontId="26" fillId="0" borderId="59" xfId="0" applyFont="1" applyBorder="1" applyAlignment="1">
      <alignment horizontal="right" vertical="center"/>
    </xf>
    <xf numFmtId="0" fontId="26" fillId="0" borderId="59" xfId="0" applyFont="1" applyBorder="1" applyAlignment="1">
      <alignment vertical="center"/>
    </xf>
    <xf numFmtId="10" fontId="0" fillId="0" borderId="0" xfId="0" applyNumberFormat="1" applyFill="1" applyBorder="1"/>
    <xf numFmtId="0" fontId="2" fillId="9" borderId="10" xfId="0" applyFont="1" applyFill="1" applyBorder="1" applyAlignment="1">
      <alignment wrapText="1"/>
    </xf>
    <xf numFmtId="0" fontId="2" fillId="9" borderId="9" xfId="0" applyFont="1" applyFill="1" applyBorder="1" applyAlignment="1">
      <alignment wrapText="1"/>
    </xf>
    <xf numFmtId="0" fontId="0" fillId="0" borderId="0" xfId="0" applyAlignment="1">
      <alignment horizontal="left"/>
    </xf>
    <xf numFmtId="0" fontId="0" fillId="0" borderId="4" xfId="0" applyBorder="1" applyAlignment="1">
      <alignment horizontal="center" wrapText="1"/>
    </xf>
    <xf numFmtId="0" fontId="0" fillId="0" borderId="18" xfId="0" applyBorder="1" applyAlignment="1">
      <alignment horizontal="center" wrapText="1"/>
    </xf>
    <xf numFmtId="0" fontId="0" fillId="0" borderId="14" xfId="0" applyBorder="1" applyAlignment="1">
      <alignment horizontal="center" wrapText="1"/>
    </xf>
    <xf numFmtId="2" fontId="0" fillId="13" borderId="0" xfId="0" applyNumberFormat="1" applyFill="1" applyAlignment="1">
      <alignment horizontal="center" wrapText="1"/>
    </xf>
    <xf numFmtId="165" fontId="0" fillId="13" borderId="0" xfId="0" applyNumberFormat="1" applyFill="1" applyAlignment="1">
      <alignment horizontal="center" wrapText="1"/>
    </xf>
    <xf numFmtId="0" fontId="0" fillId="0" borderId="10" xfId="0" applyFill="1" applyBorder="1" applyAlignment="1">
      <alignment horizontal="center" wrapText="1"/>
    </xf>
    <xf numFmtId="11" fontId="0" fillId="13" borderId="0" xfId="0" applyNumberFormat="1" applyFill="1" applyAlignment="1">
      <alignment horizontal="center" wrapText="1"/>
    </xf>
    <xf numFmtId="11" fontId="0" fillId="13" borderId="10" xfId="0" applyNumberFormat="1" applyFill="1" applyBorder="1" applyAlignment="1">
      <alignment horizontal="center" wrapText="1"/>
    </xf>
    <xf numFmtId="11" fontId="0" fillId="11" borderId="10" xfId="0" applyNumberFormat="1" applyFill="1" applyBorder="1" applyAlignment="1">
      <alignment horizontal="center" wrapText="1"/>
    </xf>
    <xf numFmtId="0" fontId="0" fillId="2" borderId="8" xfId="0" applyFill="1" applyBorder="1" applyAlignment="1">
      <alignment horizontal="center" wrapText="1"/>
    </xf>
    <xf numFmtId="0" fontId="0" fillId="2" borderId="4" xfId="0" applyFill="1" applyBorder="1" applyAlignment="1">
      <alignment horizontal="center" wrapText="1"/>
    </xf>
    <xf numFmtId="0" fontId="0" fillId="15" borderId="10" xfId="0" applyFill="1" applyBorder="1" applyAlignment="1">
      <alignment horizontal="left" wrapText="1"/>
    </xf>
    <xf numFmtId="168" fontId="0" fillId="0" borderId="0" xfId="0" applyNumberFormat="1" applyFill="1" applyBorder="1"/>
    <xf numFmtId="0" fontId="0" fillId="15" borderId="5" xfId="0" applyFill="1" applyBorder="1" applyAlignment="1">
      <alignment wrapText="1"/>
    </xf>
    <xf numFmtId="0" fontId="0" fillId="15" borderId="10" xfId="0" applyFill="1" applyBorder="1" applyAlignment="1">
      <alignment wrapText="1"/>
    </xf>
    <xf numFmtId="0" fontId="0" fillId="15" borderId="8" xfId="0" applyFill="1" applyBorder="1" applyAlignment="1">
      <alignment horizontal="left" wrapText="1"/>
    </xf>
    <xf numFmtId="2" fontId="0" fillId="15" borderId="18" xfId="0" applyNumberFormat="1" applyFill="1" applyBorder="1" applyAlignment="1">
      <alignment horizontal="right" wrapText="1"/>
    </xf>
    <xf numFmtId="2" fontId="0" fillId="15" borderId="13" xfId="0" applyNumberFormat="1" applyFill="1" applyBorder="1" applyAlignment="1">
      <alignment horizontal="right" wrapText="1"/>
    </xf>
    <xf numFmtId="2" fontId="0" fillId="15" borderId="14" xfId="0" applyNumberFormat="1" applyFill="1" applyBorder="1" applyAlignment="1">
      <alignment horizontal="right" wrapText="1"/>
    </xf>
    <xf numFmtId="164" fontId="0" fillId="0" borderId="0" xfId="0" applyNumberFormat="1"/>
    <xf numFmtId="164" fontId="0" fillId="0" borderId="0" xfId="0" applyNumberFormat="1" applyBorder="1"/>
    <xf numFmtId="0" fontId="16" fillId="21" borderId="17" xfId="0" applyFont="1" applyFill="1" applyBorder="1" applyAlignment="1">
      <alignment horizontal="left"/>
    </xf>
    <xf numFmtId="0" fontId="16" fillId="21" borderId="15" xfId="0" applyFont="1" applyFill="1" applyBorder="1" applyAlignment="1">
      <alignment horizontal="left"/>
    </xf>
    <xf numFmtId="2" fontId="0" fillId="15" borderId="17" xfId="0" applyNumberFormat="1" applyFill="1" applyBorder="1" applyAlignment="1">
      <alignment horizontal="right" wrapText="1"/>
    </xf>
    <xf numFmtId="0" fontId="0" fillId="0" borderId="0" xfId="0" applyAlignment="1">
      <alignment horizontal="right"/>
    </xf>
    <xf numFmtId="0" fontId="0" fillId="43" borderId="17" xfId="0" applyFill="1" applyBorder="1" applyAlignment="1">
      <alignment horizontal="right"/>
    </xf>
    <xf numFmtId="0" fontId="0" fillId="45" borderId="16" xfId="0" applyFill="1" applyBorder="1"/>
    <xf numFmtId="2" fontId="0" fillId="45" borderId="0" xfId="0" applyNumberFormat="1" applyFill="1"/>
    <xf numFmtId="2" fontId="0" fillId="45" borderId="17" xfId="0" applyNumberFormat="1" applyFill="1" applyBorder="1"/>
    <xf numFmtId="0" fontId="0" fillId="45" borderId="7" xfId="0" applyFill="1" applyBorder="1"/>
    <xf numFmtId="2" fontId="0" fillId="45" borderId="18" xfId="0" applyNumberFormat="1" applyFill="1" applyBorder="1"/>
    <xf numFmtId="10" fontId="0" fillId="45" borderId="17" xfId="0" applyNumberFormat="1" applyFill="1" applyBorder="1"/>
    <xf numFmtId="2" fontId="0" fillId="15" borderId="17" xfId="0" applyNumberFormat="1" applyFill="1" applyBorder="1"/>
    <xf numFmtId="0" fontId="0" fillId="45" borderId="17" xfId="0" applyFill="1" applyBorder="1"/>
    <xf numFmtId="0" fontId="0" fillId="45" borderId="35" xfId="0" applyFill="1" applyBorder="1"/>
    <xf numFmtId="0" fontId="0" fillId="15" borderId="14" xfId="0" applyFill="1" applyBorder="1" applyAlignment="1">
      <alignment horizontal="center" vertical="center"/>
    </xf>
    <xf numFmtId="2" fontId="0" fillId="15" borderId="0" xfId="0" applyNumberFormat="1" applyFill="1"/>
    <xf numFmtId="12" fontId="0" fillId="0" borderId="0" xfId="0" applyNumberFormat="1" applyBorder="1"/>
    <xf numFmtId="0" fontId="0" fillId="0" borderId="0" xfId="0" applyNumberFormat="1" applyBorder="1"/>
    <xf numFmtId="168" fontId="0" fillId="15" borderId="0" xfId="0" applyNumberFormat="1" applyFill="1"/>
    <xf numFmtId="168" fontId="0" fillId="15" borderId="0" xfId="0" applyNumberFormat="1" applyFill="1" applyBorder="1"/>
    <xf numFmtId="0" fontId="50" fillId="0" borderId="66" xfId="0" applyFont="1" applyBorder="1" applyAlignment="1">
      <alignment horizontal="center" vertical="center" wrapText="1"/>
    </xf>
    <xf numFmtId="0" fontId="52" fillId="0" borderId="72" xfId="0" applyFont="1" applyBorder="1" applyAlignment="1">
      <alignment vertical="center"/>
    </xf>
    <xf numFmtId="0" fontId="54" fillId="0" borderId="44" xfId="0" applyFont="1" applyBorder="1" applyAlignment="1">
      <alignment horizontal="right" vertical="center"/>
    </xf>
    <xf numFmtId="0" fontId="52" fillId="0" borderId="36" xfId="0" applyFont="1" applyBorder="1" applyAlignment="1">
      <alignment vertical="center"/>
    </xf>
    <xf numFmtId="0" fontId="54" fillId="0" borderId="59" xfId="0" applyFont="1" applyBorder="1" applyAlignment="1">
      <alignment horizontal="right" vertical="center"/>
    </xf>
    <xf numFmtId="0" fontId="50" fillId="0" borderId="44" xfId="0" applyFont="1" applyBorder="1" applyAlignment="1">
      <alignment horizontal="center" vertical="center" wrapText="1"/>
    </xf>
    <xf numFmtId="0" fontId="0" fillId="0" borderId="59" xfId="0" applyBorder="1" applyAlignment="1">
      <alignment vertical="center" wrapText="1"/>
    </xf>
    <xf numFmtId="0" fontId="52" fillId="0" borderId="59" xfId="0" applyFont="1" applyBorder="1" applyAlignment="1">
      <alignment horizontal="center" vertical="center" wrapText="1"/>
    </xf>
    <xf numFmtId="0" fontId="0" fillId="0" borderId="0" xfId="0" applyAlignment="1">
      <alignment horizontal="right"/>
    </xf>
    <xf numFmtId="10" fontId="0" fillId="15" borderId="0" xfId="0" applyNumberFormat="1" applyFill="1" applyBorder="1" applyAlignment="1">
      <alignment horizontal="left" wrapText="1"/>
    </xf>
    <xf numFmtId="0" fontId="0" fillId="0" borderId="72" xfId="0" applyFill="1" applyBorder="1"/>
    <xf numFmtId="0" fontId="0" fillId="15" borderId="51" xfId="0" applyFill="1" applyBorder="1"/>
    <xf numFmtId="0" fontId="0" fillId="0" borderId="18" xfId="0" applyNumberFormat="1" applyBorder="1"/>
    <xf numFmtId="2" fontId="0" fillId="0" borderId="13" xfId="0" applyNumberFormat="1" applyBorder="1"/>
    <xf numFmtId="168" fontId="0" fillId="15" borderId="0" xfId="0" applyNumberFormat="1" applyFill="1" applyAlignment="1">
      <alignment horizontal="right"/>
    </xf>
    <xf numFmtId="168" fontId="0" fillId="15" borderId="56" xfId="0" applyNumberFormat="1" applyFill="1" applyBorder="1" applyAlignment="1">
      <alignment horizontal="right"/>
    </xf>
    <xf numFmtId="0" fontId="0" fillId="15" borderId="0" xfId="0" applyFill="1" applyAlignment="1">
      <alignment horizontal="right"/>
    </xf>
    <xf numFmtId="0" fontId="0" fillId="15" borderId="56" xfId="0" applyFill="1" applyBorder="1" applyAlignment="1">
      <alignment horizontal="right"/>
    </xf>
    <xf numFmtId="0" fontId="15" fillId="15" borderId="0" xfId="0" applyFont="1" applyFill="1"/>
    <xf numFmtId="0" fontId="14" fillId="15" borderId="0" xfId="0" applyFont="1" applyFill="1"/>
    <xf numFmtId="0" fontId="0" fillId="0" borderId="17" xfId="0" applyBorder="1" applyAlignment="1">
      <alignment horizontal="center" vertical="center"/>
    </xf>
    <xf numFmtId="9" fontId="0" fillId="0" borderId="0" xfId="0" applyNumberFormat="1" applyFill="1"/>
    <xf numFmtId="169" fontId="0" fillId="0" borderId="0" xfId="0" applyNumberFormat="1"/>
    <xf numFmtId="0" fontId="0" fillId="0" borderId="12" xfId="0" applyBorder="1"/>
    <xf numFmtId="0" fontId="0" fillId="0" borderId="7" xfId="0" applyNumberFormat="1" applyBorder="1"/>
    <xf numFmtId="0" fontId="0" fillId="0" borderId="0" xfId="0" applyFill="1" applyBorder="1" applyAlignment="1">
      <alignment vertical="center"/>
    </xf>
    <xf numFmtId="168" fontId="0" fillId="0" borderId="7" xfId="0" applyNumberFormat="1" applyBorder="1"/>
    <xf numFmtId="0" fontId="0" fillId="3" borderId="11" xfId="0" applyFill="1" applyBorder="1" applyAlignment="1">
      <alignment horizontal="center" vertical="center"/>
    </xf>
    <xf numFmtId="0" fontId="2" fillId="4" borderId="0" xfId="0" applyFont="1" applyFill="1" applyAlignment="1">
      <alignment horizontal="center"/>
    </xf>
    <xf numFmtId="0" fontId="2" fillId="3" borderId="0" xfId="0" applyFont="1" applyFill="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7" borderId="0" xfId="0" applyFont="1" applyFill="1" applyAlignment="1">
      <alignment horizontal="center"/>
    </xf>
    <xf numFmtId="0" fontId="2" fillId="6" borderId="0" xfId="0" applyFont="1" applyFill="1" applyAlignment="1">
      <alignment horizontal="center"/>
    </xf>
    <xf numFmtId="0" fontId="2" fillId="2" borderId="0" xfId="0" applyFont="1" applyFill="1" applyAlignment="1">
      <alignment horizontal="center"/>
    </xf>
    <xf numFmtId="0" fontId="2" fillId="5" borderId="0" xfId="0" applyFont="1" applyFill="1" applyAlignment="1">
      <alignment horizontal="center"/>
    </xf>
    <xf numFmtId="0" fontId="0" fillId="0" borderId="0" xfId="0" applyAlignment="1">
      <alignment horizontal="left" wrapText="1"/>
    </xf>
    <xf numFmtId="0" fontId="0" fillId="0" borderId="0" xfId="0" applyFont="1" applyAlignment="1">
      <alignment horizontal="left" wrapText="1"/>
    </xf>
    <xf numFmtId="0" fontId="2" fillId="0" borderId="0" xfId="0" applyFont="1" applyAlignment="1">
      <alignment horizontal="left" wrapText="1"/>
    </xf>
    <xf numFmtId="0" fontId="9" fillId="0" borderId="0" xfId="0" applyFont="1" applyAlignment="1">
      <alignment horizontal="left" wrapText="1"/>
    </xf>
    <xf numFmtId="0" fontId="0" fillId="11" borderId="18" xfId="0" applyFill="1" applyBorder="1" applyAlignment="1">
      <alignment horizontal="center" vertical="center" wrapText="1"/>
    </xf>
    <xf numFmtId="0" fontId="0" fillId="11" borderId="14" xfId="0" applyFill="1" applyBorder="1" applyAlignment="1">
      <alignment horizontal="center"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4" xfId="0" applyBorder="1" applyAlignment="1">
      <alignment horizontal="center" vertical="top" wrapText="1"/>
    </xf>
    <xf numFmtId="0" fontId="0" fillId="0" borderId="9" xfId="0" applyBorder="1" applyAlignment="1">
      <alignment horizontal="center" vertical="top" wrapText="1"/>
    </xf>
    <xf numFmtId="0" fontId="0" fillId="0" borderId="18" xfId="0" applyBorder="1" applyAlignment="1">
      <alignment horizontal="left" vertical="top" wrapText="1"/>
    </xf>
    <xf numFmtId="0" fontId="0" fillId="0" borderId="14"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0" borderId="17" xfId="0" applyBorder="1" applyAlignment="1">
      <alignment horizontal="center"/>
    </xf>
    <xf numFmtId="0" fontId="0" fillId="0" borderId="17" xfId="0" applyBorder="1" applyAlignment="1">
      <alignment horizontal="center" vertical="center"/>
    </xf>
    <xf numFmtId="0" fontId="0" fillId="15" borderId="18" xfId="0" applyFill="1" applyBorder="1" applyAlignment="1">
      <alignment horizontal="left" vertical="top" wrapText="1"/>
    </xf>
    <xf numFmtId="0" fontId="0" fillId="15" borderId="14" xfId="0" applyFill="1" applyBorder="1" applyAlignment="1">
      <alignment horizontal="left" vertical="top"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6" fillId="11" borderId="18"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0" borderId="11"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14" xfId="0" applyFill="1" applyBorder="1" applyAlignment="1">
      <alignment horizontal="center" vertical="center" wrapText="1"/>
    </xf>
    <xf numFmtId="0" fontId="0" fillId="0" borderId="18"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wrapText="1"/>
    </xf>
    <xf numFmtId="0" fontId="0" fillId="0" borderId="12" xfId="0" applyBorder="1" applyAlignment="1">
      <alignment horizontal="center" wrapText="1"/>
    </xf>
    <xf numFmtId="0" fontId="0" fillId="0" borderId="16" xfId="0" applyBorder="1" applyAlignment="1">
      <alignment horizontal="center" wrapText="1"/>
    </xf>
    <xf numFmtId="0" fontId="8" fillId="10" borderId="10" xfId="0" applyFont="1" applyFill="1" applyBorder="1" applyAlignment="1">
      <alignment horizontal="left" wrapText="1"/>
    </xf>
    <xf numFmtId="0" fontId="8" fillId="10" borderId="0" xfId="0" applyFont="1" applyFill="1" applyAlignment="1">
      <alignment horizontal="left"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9" borderId="15" xfId="0" applyFill="1" applyBorder="1" applyAlignment="1">
      <alignment horizontal="center" wrapText="1"/>
    </xf>
    <xf numFmtId="0" fontId="0" fillId="9" borderId="12" xfId="0" applyFill="1" applyBorder="1" applyAlignment="1">
      <alignment horizontal="center" wrapText="1"/>
    </xf>
    <xf numFmtId="0" fontId="8" fillId="10" borderId="0" xfId="0" applyFont="1" applyFill="1" applyBorder="1" applyAlignment="1">
      <alignment horizontal="center" vertical="center" wrapText="1"/>
    </xf>
    <xf numFmtId="0" fontId="8" fillId="10" borderId="0" xfId="0" applyFont="1" applyFill="1" applyAlignment="1">
      <alignment horizontal="center" wrapText="1"/>
    </xf>
    <xf numFmtId="169" fontId="0" fillId="11" borderId="5" xfId="0" applyNumberFormat="1" applyFill="1" applyBorder="1" applyAlignment="1">
      <alignment horizontal="center" wrapText="1"/>
    </xf>
    <xf numFmtId="169" fontId="0" fillId="11" borderId="7" xfId="0" applyNumberFormat="1" applyFill="1" applyBorder="1" applyAlignment="1">
      <alignment horizontal="center" wrapText="1"/>
    </xf>
    <xf numFmtId="0" fontId="0" fillId="11" borderId="8" xfId="0" applyFill="1" applyBorder="1" applyAlignment="1">
      <alignment horizontal="center" vertical="center" wrapText="1"/>
    </xf>
    <xf numFmtId="0" fontId="0" fillId="11" borderId="9" xfId="0" applyFill="1" applyBorder="1" applyAlignment="1">
      <alignment horizontal="center" vertical="center" wrapText="1"/>
    </xf>
    <xf numFmtId="0" fontId="0" fillId="9" borderId="16" xfId="0" applyFill="1" applyBorder="1" applyAlignment="1">
      <alignment horizontal="center" wrapText="1"/>
    </xf>
    <xf numFmtId="0" fontId="0" fillId="0" borderId="18" xfId="0" applyBorder="1" applyAlignment="1">
      <alignment horizontal="center" vertical="top" wrapText="1"/>
    </xf>
    <xf numFmtId="0" fontId="0" fillId="0" borderId="14" xfId="0" applyBorder="1" applyAlignment="1">
      <alignment horizontal="center" vertical="top" wrapText="1"/>
    </xf>
    <xf numFmtId="0" fontId="8" fillId="10" borderId="15"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0" fillId="0" borderId="18" xfId="0" applyBorder="1" applyAlignment="1">
      <alignment horizontal="center" wrapText="1"/>
    </xf>
    <xf numFmtId="0" fontId="0" fillId="0" borderId="14" xfId="0" applyBorder="1" applyAlignment="1">
      <alignment horizontal="center" wrapText="1"/>
    </xf>
    <xf numFmtId="0" fontId="6" fillId="0" borderId="18" xfId="0" applyFont="1" applyBorder="1" applyAlignment="1">
      <alignment horizontal="center" vertical="center" wrapText="1"/>
    </xf>
    <xf numFmtId="0" fontId="6" fillId="0" borderId="14" xfId="0" applyFont="1" applyBorder="1" applyAlignment="1">
      <alignment horizontal="center" vertical="center" wrapText="1"/>
    </xf>
    <xf numFmtId="0" fontId="0" fillId="0" borderId="8" xfId="0" applyBorder="1" applyAlignment="1">
      <alignment horizontal="center" wrapText="1"/>
    </xf>
    <xf numFmtId="0" fontId="0" fillId="0" borderId="4" xfId="0" applyBorder="1" applyAlignment="1">
      <alignment horizontal="center" wrapText="1"/>
    </xf>
    <xf numFmtId="0" fontId="0" fillId="0" borderId="9" xfId="0" applyBorder="1" applyAlignment="1">
      <alignment horizontal="center" wrapText="1"/>
    </xf>
    <xf numFmtId="0" fontId="8" fillId="38" borderId="10" xfId="0" applyFont="1" applyFill="1" applyBorder="1" applyAlignment="1">
      <alignment horizontal="left" wrapText="1"/>
    </xf>
    <xf numFmtId="0" fontId="8" fillId="38" borderId="0" xfId="0" applyFont="1" applyFill="1" applyBorder="1" applyAlignment="1">
      <alignment horizontal="left" wrapText="1"/>
    </xf>
    <xf numFmtId="0" fontId="0" fillId="0" borderId="15" xfId="0" applyBorder="1" applyAlignment="1">
      <alignment horizontal="left" wrapText="1"/>
    </xf>
    <xf numFmtId="0" fontId="0" fillId="0" borderId="12" xfId="0" applyBorder="1" applyAlignment="1">
      <alignment horizontal="left" wrapText="1"/>
    </xf>
    <xf numFmtId="0" fontId="0" fillId="0" borderId="16" xfId="0" applyBorder="1" applyAlignment="1">
      <alignment horizontal="left" wrapText="1"/>
    </xf>
    <xf numFmtId="0" fontId="0" fillId="15" borderId="15" xfId="0" applyFill="1" applyBorder="1" applyAlignment="1">
      <alignment horizontal="left" wrapText="1"/>
    </xf>
    <xf numFmtId="0" fontId="0" fillId="15" borderId="15" xfId="0" applyFill="1" applyBorder="1" applyAlignment="1">
      <alignment horizontal="right" wrapText="1"/>
    </xf>
    <xf numFmtId="0" fontId="0" fillId="15" borderId="12" xfId="0" applyFill="1" applyBorder="1" applyAlignment="1">
      <alignment horizontal="right" wrapText="1"/>
    </xf>
    <xf numFmtId="0" fontId="0" fillId="15" borderId="16" xfId="0" applyFill="1" applyBorder="1" applyAlignment="1">
      <alignment horizontal="right" wrapText="1"/>
    </xf>
    <xf numFmtId="0" fontId="0" fillId="0" borderId="0" xfId="0" applyAlignment="1">
      <alignment horizontal="center" vertical="center"/>
    </xf>
    <xf numFmtId="0" fontId="0" fillId="15" borderId="18" xfId="0" applyFill="1" applyBorder="1" applyAlignment="1">
      <alignment horizontal="center" wrapText="1"/>
    </xf>
    <xf numFmtId="0" fontId="0" fillId="15" borderId="14" xfId="0" applyFill="1" applyBorder="1" applyAlignment="1">
      <alignment horizontal="center" wrapText="1"/>
    </xf>
    <xf numFmtId="0" fontId="0" fillId="15" borderId="18" xfId="0" applyFill="1" applyBorder="1" applyAlignment="1">
      <alignment horizontal="center" vertical="center" wrapText="1"/>
    </xf>
    <xf numFmtId="0" fontId="0" fillId="15" borderId="14" xfId="0" applyFill="1" applyBorder="1" applyAlignment="1">
      <alignment horizontal="center" vertical="center" wrapText="1"/>
    </xf>
    <xf numFmtId="0" fontId="16" fillId="15" borderId="10" xfId="0" applyFont="1" applyFill="1" applyBorder="1" applyAlignment="1">
      <alignment horizontal="left"/>
    </xf>
    <xf numFmtId="0" fontId="0" fillId="15" borderId="11" xfId="0" applyFill="1" applyBorder="1" applyAlignment="1">
      <alignment horizontal="center" vertical="center"/>
    </xf>
    <xf numFmtId="0" fontId="0" fillId="0" borderId="8" xfId="0" applyBorder="1" applyAlignment="1">
      <alignment horizontal="left" wrapText="1"/>
    </xf>
    <xf numFmtId="0" fontId="0" fillId="0" borderId="17" xfId="0" applyBorder="1" applyAlignment="1">
      <alignment horizontal="left" wrapText="1"/>
    </xf>
    <xf numFmtId="0" fontId="2" fillId="14" borderId="0" xfId="0" applyFont="1" applyFill="1" applyBorder="1" applyAlignment="1">
      <alignment horizontal="left"/>
    </xf>
    <xf numFmtId="0" fontId="0" fillId="15" borderId="0" xfId="0" applyFill="1" applyAlignment="1">
      <alignment horizontal="left" wrapText="1"/>
    </xf>
    <xf numFmtId="0" fontId="9" fillId="15" borderId="0" xfId="0" applyFont="1" applyFill="1" applyAlignment="1">
      <alignment horizontal="left" wrapText="1"/>
    </xf>
    <xf numFmtId="0" fontId="2" fillId="9" borderId="10" xfId="0" applyFont="1" applyFill="1" applyBorder="1" applyAlignment="1">
      <alignment horizontal="center" wrapText="1"/>
    </xf>
    <xf numFmtId="0" fontId="0" fillId="15" borderId="9" xfId="0" applyFill="1" applyBorder="1" applyAlignment="1">
      <alignment horizontal="center" vertical="center"/>
    </xf>
    <xf numFmtId="0" fontId="0" fillId="15" borderId="10" xfId="0" applyFill="1" applyBorder="1" applyAlignment="1">
      <alignment horizontal="left" wrapText="1"/>
    </xf>
    <xf numFmtId="0" fontId="2" fillId="9" borderId="12" xfId="0" applyFont="1" applyFill="1" applyBorder="1" applyAlignment="1">
      <alignment horizontal="center" wrapText="1"/>
    </xf>
    <xf numFmtId="0" fontId="2" fillId="15" borderId="12" xfId="0" applyFont="1" applyFill="1" applyBorder="1" applyAlignment="1">
      <alignment horizontal="left" wrapText="1"/>
    </xf>
    <xf numFmtId="0" fontId="2" fillId="15" borderId="0" xfId="0" applyFont="1" applyFill="1" applyBorder="1" applyAlignment="1">
      <alignment horizontal="center" wrapText="1"/>
    </xf>
    <xf numFmtId="0" fontId="2" fillId="15" borderId="10"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xf>
    <xf numFmtId="0" fontId="2" fillId="16" borderId="1" xfId="0" applyFont="1" applyFill="1" applyBorder="1" applyAlignment="1">
      <alignment horizontal="center"/>
    </xf>
    <xf numFmtId="0" fontId="2" fillId="16" borderId="2" xfId="0" applyFont="1" applyFill="1" applyBorder="1" applyAlignment="1">
      <alignment horizontal="center"/>
    </xf>
    <xf numFmtId="0" fontId="10" fillId="4" borderId="0" xfId="0" applyFont="1" applyFill="1" applyAlignment="1">
      <alignment horizontal="center" vertical="center" wrapText="1"/>
    </xf>
    <xf numFmtId="0" fontId="0" fillId="0" borderId="60" xfId="0" applyBorder="1" applyAlignment="1">
      <alignment horizontal="center"/>
    </xf>
    <xf numFmtId="0" fontId="0" fillId="0" borderId="5"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5" xfId="0" applyBorder="1" applyAlignment="1">
      <alignment horizontal="center"/>
    </xf>
    <xf numFmtId="0" fontId="0" fillId="0" borderId="16" xfId="0" applyBorder="1" applyAlignment="1">
      <alignment horizontal="center"/>
    </xf>
    <xf numFmtId="0" fontId="0" fillId="15" borderId="15" xfId="0" applyFill="1" applyBorder="1" applyAlignment="1">
      <alignment horizontal="center"/>
    </xf>
    <xf numFmtId="0" fontId="0" fillId="15" borderId="12" xfId="0" applyFill="1" applyBorder="1" applyAlignment="1">
      <alignment horizontal="center"/>
    </xf>
    <xf numFmtId="0" fontId="2" fillId="0" borderId="15" xfId="0" applyFont="1" applyBorder="1" applyAlignment="1">
      <alignment horizontal="center"/>
    </xf>
    <xf numFmtId="0" fontId="2" fillId="0" borderId="12" xfId="0" applyFont="1" applyBorder="1" applyAlignment="1">
      <alignment horizontal="center"/>
    </xf>
    <xf numFmtId="0" fontId="2" fillId="0" borderId="16" xfId="0" applyFont="1" applyBorder="1" applyAlignment="1">
      <alignment horizontal="center"/>
    </xf>
    <xf numFmtId="0" fontId="2" fillId="9" borderId="15" xfId="0" applyFont="1" applyFill="1" applyBorder="1" applyAlignment="1">
      <alignment horizontal="center"/>
    </xf>
    <xf numFmtId="0" fontId="2" fillId="9" borderId="12" xfId="0" applyFont="1" applyFill="1" applyBorder="1" applyAlignment="1">
      <alignment horizontal="center"/>
    </xf>
    <xf numFmtId="0" fontId="2" fillId="9" borderId="16" xfId="0" applyFont="1" applyFill="1" applyBorder="1" applyAlignment="1">
      <alignment horizontal="center"/>
    </xf>
    <xf numFmtId="0" fontId="2" fillId="0" borderId="8" xfId="0" applyFont="1" applyBorder="1" applyAlignment="1">
      <alignment horizontal="left"/>
    </xf>
    <xf numFmtId="0" fontId="2" fillId="0" borderId="4" xfId="0" applyFont="1" applyBorder="1" applyAlignment="1">
      <alignment horizontal="left"/>
    </xf>
    <xf numFmtId="0" fontId="2" fillId="0" borderId="9" xfId="0" applyFont="1" applyBorder="1" applyAlignment="1">
      <alignment horizontal="left"/>
    </xf>
    <xf numFmtId="0" fontId="0" fillId="0" borderId="12"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2" fillId="0" borderId="15" xfId="0" applyFont="1" applyBorder="1" applyAlignment="1">
      <alignment horizontal="left"/>
    </xf>
    <xf numFmtId="0" fontId="2" fillId="0" borderId="12" xfId="0" applyFont="1" applyBorder="1" applyAlignment="1">
      <alignment horizontal="left"/>
    </xf>
    <xf numFmtId="0" fontId="2" fillId="0" borderId="16" xfId="0" applyFont="1" applyBorder="1" applyAlignment="1">
      <alignment horizontal="left"/>
    </xf>
    <xf numFmtId="0" fontId="2" fillId="9" borderId="0" xfId="0" applyFont="1" applyFill="1" applyAlignment="1">
      <alignment horizontal="left"/>
    </xf>
    <xf numFmtId="0" fontId="0" fillId="0" borderId="6" xfId="0" applyBorder="1" applyAlignment="1">
      <alignment horizont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2" fontId="0" fillId="13" borderId="18" xfId="0" applyNumberFormat="1" applyFill="1" applyBorder="1" applyAlignment="1">
      <alignment horizontal="center" vertical="center" wrapText="1"/>
    </xf>
    <xf numFmtId="0" fontId="0" fillId="15" borderId="16" xfId="0" applyFill="1" applyBorder="1" applyAlignment="1">
      <alignment horizontal="center"/>
    </xf>
    <xf numFmtId="0" fontId="16" fillId="21" borderId="17" xfId="0" applyFont="1" applyFill="1" applyBorder="1" applyAlignment="1">
      <alignment horizontal="left"/>
    </xf>
    <xf numFmtId="0" fontId="16" fillId="21" borderId="15" xfId="0" applyFont="1" applyFill="1" applyBorder="1" applyAlignment="1">
      <alignment horizontal="left"/>
    </xf>
    <xf numFmtId="0" fontId="16" fillId="22" borderId="1" xfId="0" applyFont="1" applyFill="1" applyBorder="1" applyAlignment="1">
      <alignment horizontal="center"/>
    </xf>
    <xf numFmtId="0" fontId="16" fillId="22" borderId="3" xfId="0" applyFont="1" applyFill="1" applyBorder="1" applyAlignment="1">
      <alignment horizontal="center"/>
    </xf>
    <xf numFmtId="0" fontId="18" fillId="21" borderId="1" xfId="0" applyFont="1" applyFill="1" applyBorder="1" applyAlignment="1">
      <alignment horizontal="center"/>
    </xf>
    <xf numFmtId="0" fontId="18" fillId="21" borderId="3" xfId="0" applyFont="1" applyFill="1" applyBorder="1" applyAlignment="1">
      <alignment horizontal="center"/>
    </xf>
    <xf numFmtId="0" fontId="16" fillId="22" borderId="21" xfId="0" applyFont="1" applyFill="1" applyBorder="1" applyAlignment="1">
      <alignment horizontal="center"/>
    </xf>
    <xf numFmtId="0" fontId="16" fillId="22" borderId="23" xfId="0" applyFont="1" applyFill="1" applyBorder="1" applyAlignment="1">
      <alignment horizontal="center"/>
    </xf>
    <xf numFmtId="0" fontId="16" fillId="21" borderId="1" xfId="0" applyFont="1" applyFill="1" applyBorder="1" applyAlignment="1">
      <alignment horizontal="center"/>
    </xf>
    <xf numFmtId="0" fontId="16" fillId="21" borderId="3" xfId="0" applyFont="1" applyFill="1" applyBorder="1" applyAlignment="1">
      <alignment horizontal="center"/>
    </xf>
    <xf numFmtId="2" fontId="0" fillId="0" borderId="17" xfId="0" applyNumberFormat="1" applyBorder="1" applyAlignment="1">
      <alignment horizontal="center"/>
    </xf>
    <xf numFmtId="2" fontId="0" fillId="0" borderId="0" xfId="0" applyNumberFormat="1" applyAlignment="1">
      <alignment horizontal="center"/>
    </xf>
    <xf numFmtId="0" fontId="0" fillId="15" borderId="5" xfId="0" applyFill="1" applyBorder="1" applyAlignment="1">
      <alignment horizontal="center" wrapText="1"/>
    </xf>
    <xf numFmtId="0" fontId="0" fillId="15" borderId="7" xfId="0" applyFill="1" applyBorder="1" applyAlignment="1">
      <alignment horizontal="center" wrapText="1"/>
    </xf>
    <xf numFmtId="0" fontId="0" fillId="15" borderId="10" xfId="0" applyFill="1" applyBorder="1" applyAlignment="1">
      <alignment horizontal="center" wrapText="1"/>
    </xf>
    <xf numFmtId="0" fontId="0" fillId="15" borderId="11" xfId="0" applyFill="1" applyBorder="1" applyAlignment="1">
      <alignment horizontal="center" wrapText="1"/>
    </xf>
    <xf numFmtId="0" fontId="0" fillId="15" borderId="8" xfId="0" applyFill="1" applyBorder="1" applyAlignment="1">
      <alignment horizontal="center"/>
    </xf>
    <xf numFmtId="0" fontId="0" fillId="15" borderId="9" xfId="0" applyFill="1" applyBorder="1" applyAlignment="1">
      <alignment horizontal="center"/>
    </xf>
    <xf numFmtId="2" fontId="0" fillId="0" borderId="14" xfId="0" applyNumberFormat="1" applyBorder="1" applyAlignment="1">
      <alignment horizontal="center"/>
    </xf>
    <xf numFmtId="2" fontId="0" fillId="0" borderId="15" xfId="0" applyNumberFormat="1" applyBorder="1" applyAlignment="1">
      <alignment horizontal="center"/>
    </xf>
    <xf numFmtId="2" fontId="0" fillId="0" borderId="16" xfId="0" applyNumberFormat="1" applyBorder="1" applyAlignment="1">
      <alignment horizontal="center"/>
    </xf>
    <xf numFmtId="0" fontId="0" fillId="0" borderId="15" xfId="0" applyBorder="1" applyAlignment="1">
      <alignment horizontal="left"/>
    </xf>
    <xf numFmtId="0" fontId="0" fillId="0" borderId="12" xfId="0" applyBorder="1" applyAlignment="1">
      <alignment horizontal="left"/>
    </xf>
    <xf numFmtId="0" fontId="0" fillId="15" borderId="13" xfId="0" applyFill="1" applyBorder="1" applyAlignment="1">
      <alignment horizontal="center" wrapText="1"/>
    </xf>
    <xf numFmtId="0" fontId="0" fillId="0" borderId="17" xfId="0" applyBorder="1" applyAlignment="1">
      <alignment horizontal="center" wrapText="1"/>
    </xf>
    <xf numFmtId="0" fontId="16" fillId="21" borderId="14" xfId="0" applyFont="1" applyFill="1" applyBorder="1" applyAlignment="1">
      <alignment horizontal="left"/>
    </xf>
    <xf numFmtId="0" fontId="16" fillId="21" borderId="8" xfId="0" applyFont="1" applyFill="1" applyBorder="1" applyAlignment="1">
      <alignment horizontal="left"/>
    </xf>
    <xf numFmtId="0" fontId="16" fillId="20" borderId="1" xfId="0" applyFont="1" applyFill="1" applyBorder="1" applyAlignment="1">
      <alignment horizontal="center"/>
    </xf>
    <xf numFmtId="0" fontId="16" fillId="20" borderId="3" xfId="0" applyFont="1" applyFill="1" applyBorder="1" applyAlignment="1">
      <alignment horizontal="center"/>
    </xf>
    <xf numFmtId="0" fontId="15" fillId="3" borderId="26" xfId="0" applyFont="1" applyFill="1" applyBorder="1" applyAlignment="1">
      <alignment horizontal="center" vertical="center"/>
    </xf>
    <xf numFmtId="0" fontId="15" fillId="3" borderId="36" xfId="0" applyFont="1" applyFill="1" applyBorder="1" applyAlignment="1">
      <alignment horizontal="center" vertical="center"/>
    </xf>
    <xf numFmtId="0" fontId="16" fillId="20" borderId="31" xfId="0" applyFont="1" applyFill="1" applyBorder="1" applyAlignment="1">
      <alignment horizontal="center"/>
    </xf>
    <xf numFmtId="0" fontId="16" fillId="20" borderId="32" xfId="0" applyFont="1" applyFill="1" applyBorder="1" applyAlignment="1">
      <alignment horizontal="center"/>
    </xf>
    <xf numFmtId="0" fontId="16" fillId="20" borderId="34" xfId="0" applyFont="1" applyFill="1" applyBorder="1" applyAlignment="1">
      <alignment horizontal="center"/>
    </xf>
    <xf numFmtId="0" fontId="16" fillId="20" borderId="21" xfId="0" applyFont="1" applyFill="1" applyBorder="1" applyAlignment="1">
      <alignment horizontal="center"/>
    </xf>
    <xf numFmtId="0" fontId="16" fillId="20" borderId="22" xfId="0" applyFont="1" applyFill="1" applyBorder="1" applyAlignment="1">
      <alignment horizontal="center"/>
    </xf>
    <xf numFmtId="0" fontId="16" fillId="20" borderId="23" xfId="0" applyFont="1" applyFill="1" applyBorder="1" applyAlignment="1">
      <alignment horizontal="center"/>
    </xf>
    <xf numFmtId="0" fontId="0" fillId="0" borderId="35" xfId="0" applyBorder="1" applyAlignment="1">
      <alignment horizontal="center"/>
    </xf>
    <xf numFmtId="0" fontId="0" fillId="0" borderId="25" xfId="0" applyBorder="1" applyAlignment="1">
      <alignment horizontal="center"/>
    </xf>
    <xf numFmtId="0" fontId="0" fillId="0" borderId="42" xfId="0" applyBorder="1" applyAlignment="1">
      <alignment horizontal="center"/>
    </xf>
    <xf numFmtId="0" fontId="0" fillId="0" borderId="41" xfId="0" applyBorder="1" applyAlignment="1">
      <alignment horizontal="center"/>
    </xf>
    <xf numFmtId="0" fontId="16" fillId="22" borderId="31" xfId="0" applyFont="1" applyFill="1" applyBorder="1" applyAlignment="1">
      <alignment horizontal="center"/>
    </xf>
    <xf numFmtId="0" fontId="16" fillId="22" borderId="34" xfId="0" applyFont="1" applyFill="1" applyBorder="1" applyAlignment="1">
      <alignment horizontal="center"/>
    </xf>
    <xf numFmtId="0" fontId="16" fillId="18" borderId="21" xfId="0" applyFont="1" applyFill="1" applyBorder="1" applyAlignment="1">
      <alignment horizontal="center"/>
    </xf>
    <xf numFmtId="0" fontId="16" fillId="18" borderId="23" xfId="0" applyFont="1" applyFill="1" applyBorder="1" applyAlignment="1">
      <alignment horizontal="center"/>
    </xf>
    <xf numFmtId="0" fontId="16" fillId="18" borderId="31" xfId="0" applyFont="1" applyFill="1" applyBorder="1" applyAlignment="1">
      <alignment horizontal="center"/>
    </xf>
    <xf numFmtId="0" fontId="16" fillId="18" borderId="34" xfId="0" applyFont="1" applyFill="1" applyBorder="1" applyAlignment="1">
      <alignment horizontal="center"/>
    </xf>
    <xf numFmtId="0" fontId="16" fillId="17" borderId="65" xfId="0" applyFont="1" applyFill="1" applyBorder="1" applyAlignment="1">
      <alignment horizontal="center"/>
    </xf>
    <xf numFmtId="0" fontId="16" fillId="17" borderId="60" xfId="0" applyFont="1" applyFill="1" applyBorder="1" applyAlignment="1">
      <alignment horizontal="center"/>
    </xf>
    <xf numFmtId="0" fontId="16" fillId="17" borderId="66" xfId="0" applyFont="1" applyFill="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4" xfId="0" applyBorder="1" applyAlignment="1">
      <alignment horizontal="center"/>
    </xf>
    <xf numFmtId="0" fontId="16" fillId="22" borderId="37" xfId="0" applyFont="1" applyFill="1" applyBorder="1" applyAlignment="1">
      <alignment horizontal="center"/>
    </xf>
    <xf numFmtId="0" fontId="16" fillId="22" borderId="40" xfId="0" applyFont="1" applyFill="1" applyBorder="1" applyAlignment="1">
      <alignment horizontal="center"/>
    </xf>
    <xf numFmtId="0" fontId="18" fillId="2" borderId="1" xfId="0" applyFont="1" applyFill="1" applyBorder="1" applyAlignment="1">
      <alignment horizontal="center"/>
    </xf>
    <xf numFmtId="0" fontId="18" fillId="2" borderId="3" xfId="0" applyFont="1" applyFill="1" applyBorder="1" applyAlignment="1">
      <alignment horizontal="center"/>
    </xf>
    <xf numFmtId="0" fontId="16" fillId="17" borderId="21" xfId="0" applyFont="1" applyFill="1" applyBorder="1" applyAlignment="1">
      <alignment horizontal="center"/>
    </xf>
    <xf numFmtId="0" fontId="16" fillId="17" borderId="22" xfId="0" applyFont="1" applyFill="1" applyBorder="1" applyAlignment="1">
      <alignment horizontal="center"/>
    </xf>
    <xf numFmtId="0" fontId="16" fillId="17" borderId="23" xfId="0" applyFont="1" applyFill="1" applyBorder="1" applyAlignment="1">
      <alignment horizontal="center"/>
    </xf>
    <xf numFmtId="0" fontId="16" fillId="2" borderId="21" xfId="0" applyFont="1" applyFill="1" applyBorder="1" applyAlignment="1">
      <alignment horizontal="center"/>
    </xf>
    <xf numFmtId="0" fontId="16" fillId="2" borderId="22" xfId="0" applyFont="1" applyFill="1" applyBorder="1" applyAlignment="1">
      <alignment horizontal="center"/>
    </xf>
    <xf numFmtId="0" fontId="16" fillId="2" borderId="23" xfId="0" applyFont="1" applyFill="1" applyBorder="1" applyAlignment="1">
      <alignment horizontal="center"/>
    </xf>
    <xf numFmtId="0" fontId="16" fillId="22" borderId="65" xfId="0" applyFont="1" applyFill="1" applyBorder="1" applyAlignment="1">
      <alignment horizontal="center" wrapText="1"/>
    </xf>
    <xf numFmtId="0" fontId="16" fillId="22" borderId="66" xfId="0" applyFont="1" applyFill="1" applyBorder="1" applyAlignment="1">
      <alignment horizontal="center" wrapText="1"/>
    </xf>
    <xf numFmtId="0" fontId="16" fillId="22" borderId="55" xfId="0" applyFont="1" applyFill="1" applyBorder="1" applyAlignment="1">
      <alignment horizontal="center" wrapText="1"/>
    </xf>
    <xf numFmtId="0" fontId="16" fillId="22" borderId="59" xfId="0" applyFont="1" applyFill="1" applyBorder="1" applyAlignment="1">
      <alignment horizontal="center" wrapText="1"/>
    </xf>
    <xf numFmtId="0" fontId="16" fillId="22" borderId="75" xfId="0" applyFont="1" applyFill="1" applyBorder="1" applyAlignment="1">
      <alignment horizontal="center"/>
    </xf>
    <xf numFmtId="0" fontId="0" fillId="0" borderId="55" xfId="0" applyBorder="1" applyAlignment="1">
      <alignment horizontal="left"/>
    </xf>
    <xf numFmtId="0" fontId="0" fillId="0" borderId="59" xfId="0" applyBorder="1" applyAlignment="1">
      <alignment horizontal="left"/>
    </xf>
    <xf numFmtId="0" fontId="0" fillId="0" borderId="65" xfId="0" applyBorder="1" applyAlignment="1">
      <alignment horizontal="left"/>
    </xf>
    <xf numFmtId="0" fontId="0" fillId="0" borderId="66" xfId="0" applyBorder="1" applyAlignment="1">
      <alignment horizontal="left"/>
    </xf>
    <xf numFmtId="0" fontId="0" fillId="0" borderId="43" xfId="0" applyBorder="1" applyAlignment="1">
      <alignment horizontal="left"/>
    </xf>
    <xf numFmtId="0" fontId="0" fillId="0" borderId="44" xfId="0" applyBorder="1" applyAlignment="1">
      <alignment horizontal="left"/>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55" xfId="0" applyBorder="1" applyAlignment="1">
      <alignment horizontal="center" vertical="center" wrapText="1"/>
    </xf>
    <xf numFmtId="0" fontId="0" fillId="0" borderId="59" xfId="0" applyBorder="1" applyAlignment="1">
      <alignment horizontal="center" vertical="center" wrapText="1"/>
    </xf>
    <xf numFmtId="0" fontId="0" fillId="0" borderId="0" xfId="0" applyAlignment="1">
      <alignment horizontal="left"/>
    </xf>
    <xf numFmtId="0" fontId="0" fillId="0" borderId="0" xfId="0" applyAlignment="1">
      <alignment horizontal="right"/>
    </xf>
    <xf numFmtId="0" fontId="16" fillId="21" borderId="21" xfId="0" applyFont="1" applyFill="1" applyBorder="1" applyAlignment="1">
      <alignment horizontal="center"/>
    </xf>
    <xf numFmtId="0" fontId="16" fillId="21" borderId="23" xfId="0" applyFont="1" applyFill="1" applyBorder="1" applyAlignment="1">
      <alignment horizontal="center"/>
    </xf>
    <xf numFmtId="0" fontId="2" fillId="0" borderId="65" xfId="0" applyFont="1" applyBorder="1" applyAlignment="1">
      <alignment horizontal="left"/>
    </xf>
    <xf numFmtId="0" fontId="2" fillId="0" borderId="60" xfId="0" applyFont="1" applyBorder="1" applyAlignment="1">
      <alignment horizontal="left"/>
    </xf>
    <xf numFmtId="0" fontId="16" fillId="17" borderId="31" xfId="0" applyFont="1" applyFill="1" applyBorder="1" applyAlignment="1">
      <alignment horizontal="center"/>
    </xf>
    <xf numFmtId="0" fontId="16" fillId="17" borderId="32" xfId="0" applyFont="1" applyFill="1" applyBorder="1" applyAlignment="1">
      <alignment horizontal="center"/>
    </xf>
    <xf numFmtId="0" fontId="16" fillId="17" borderId="34" xfId="0" applyFont="1" applyFill="1" applyBorder="1" applyAlignment="1">
      <alignment horizontal="center"/>
    </xf>
    <xf numFmtId="0" fontId="0" fillId="0" borderId="56" xfId="0" applyBorder="1" applyAlignment="1">
      <alignment horizontal="left"/>
    </xf>
    <xf numFmtId="0" fontId="16" fillId="23" borderId="21" xfId="0" applyFont="1" applyFill="1" applyBorder="1" applyAlignment="1">
      <alignment horizontal="center"/>
    </xf>
    <xf numFmtId="0" fontId="16" fillId="23" borderId="22" xfId="0" applyFont="1" applyFill="1" applyBorder="1" applyAlignment="1">
      <alignment horizontal="center"/>
    </xf>
    <xf numFmtId="0" fontId="16" fillId="23" borderId="23" xfId="0" applyFont="1" applyFill="1" applyBorder="1" applyAlignment="1">
      <alignment horizontal="center"/>
    </xf>
    <xf numFmtId="0" fontId="16" fillId="22" borderId="33" xfId="0" applyFont="1" applyFill="1" applyBorder="1" applyAlignment="1">
      <alignment horizontal="center"/>
    </xf>
    <xf numFmtId="0" fontId="0" fillId="8" borderId="15" xfId="0" applyFill="1" applyBorder="1" applyAlignment="1">
      <alignment horizontal="center"/>
    </xf>
    <xf numFmtId="0" fontId="0" fillId="8" borderId="42" xfId="0" applyFill="1" applyBorder="1" applyAlignment="1">
      <alignment horizontal="center"/>
    </xf>
    <xf numFmtId="0" fontId="0" fillId="9" borderId="15" xfId="0" applyFill="1" applyBorder="1" applyAlignment="1">
      <alignment horizontal="center"/>
    </xf>
    <xf numFmtId="0" fontId="0" fillId="9" borderId="42" xfId="0" applyFill="1" applyBorder="1" applyAlignment="1">
      <alignment horizontal="center"/>
    </xf>
    <xf numFmtId="0" fontId="2" fillId="0" borderId="66" xfId="0" applyFont="1" applyBorder="1" applyAlignment="1">
      <alignment horizontal="left"/>
    </xf>
    <xf numFmtId="0" fontId="14" fillId="0" borderId="1" xfId="0" applyFont="1" applyBorder="1" applyAlignment="1">
      <alignment horizontal="center"/>
    </xf>
    <xf numFmtId="0" fontId="14" fillId="0" borderId="2" xfId="0" applyFont="1" applyBorder="1" applyAlignment="1">
      <alignment horizontal="center"/>
    </xf>
    <xf numFmtId="0" fontId="14" fillId="0" borderId="3" xfId="0" applyFont="1" applyBorder="1" applyAlignment="1">
      <alignment horizont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6" xfId="0" applyBorder="1" applyAlignment="1">
      <alignment horizontal="center" vertical="center"/>
    </xf>
    <xf numFmtId="0" fontId="0" fillId="0" borderId="25" xfId="0" applyBorder="1" applyAlignment="1">
      <alignment horizontal="center" vertical="center"/>
    </xf>
    <xf numFmtId="0" fontId="16" fillId="17" borderId="27" xfId="0" applyFont="1" applyFill="1" applyBorder="1" applyAlignment="1">
      <alignment horizontal="center"/>
    </xf>
    <xf numFmtId="0" fontId="16" fillId="17" borderId="28" xfId="0" applyFont="1" applyFill="1" applyBorder="1" applyAlignment="1">
      <alignment horizontal="center"/>
    </xf>
    <xf numFmtId="0" fontId="16" fillId="17" borderId="29" xfId="0" applyFont="1" applyFill="1" applyBorder="1" applyAlignment="1">
      <alignment horizontal="center"/>
    </xf>
    <xf numFmtId="0" fontId="16" fillId="3" borderId="1" xfId="0" applyFont="1" applyFill="1" applyBorder="1" applyAlignment="1">
      <alignment horizontal="center"/>
    </xf>
    <xf numFmtId="0" fontId="16" fillId="3" borderId="2" xfId="0" applyFont="1" applyFill="1" applyBorder="1" applyAlignment="1">
      <alignment horizontal="center"/>
    </xf>
    <xf numFmtId="0" fontId="16" fillId="0" borderId="31" xfId="0" applyFont="1"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16" fillId="0" borderId="34" xfId="0" applyFont="1" applyBorder="1" applyAlignment="1">
      <alignment horizontal="center"/>
    </xf>
    <xf numFmtId="0" fontId="0" fillId="20" borderId="15" xfId="0" applyFill="1" applyBorder="1" applyAlignment="1">
      <alignment horizontal="center"/>
    </xf>
    <xf numFmtId="0" fontId="0" fillId="20" borderId="42" xfId="0" applyFill="1" applyBorder="1" applyAlignment="1">
      <alignment horizontal="center"/>
    </xf>
    <xf numFmtId="10" fontId="0" fillId="3" borderId="10" xfId="0" applyNumberFormat="1" applyFill="1" applyBorder="1" applyAlignment="1">
      <alignment horizontal="center"/>
    </xf>
    <xf numFmtId="10" fontId="0" fillId="3" borderId="0" xfId="0" applyNumberFormat="1" applyFill="1" applyAlignment="1">
      <alignment horizontal="center"/>
    </xf>
    <xf numFmtId="10" fontId="0" fillId="3" borderId="44" xfId="0" applyNumberFormat="1" applyFill="1" applyBorder="1" applyAlignment="1">
      <alignment horizontal="center"/>
    </xf>
    <xf numFmtId="0" fontId="16" fillId="18" borderId="22" xfId="0" applyFont="1" applyFill="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19" borderId="15" xfId="0" applyFill="1" applyBorder="1" applyAlignment="1">
      <alignment horizontal="center"/>
    </xf>
    <xf numFmtId="0" fontId="0" fillId="19" borderId="42" xfId="0" applyFill="1" applyBorder="1" applyAlignment="1">
      <alignment horizontal="center"/>
    </xf>
    <xf numFmtId="0" fontId="16" fillId="21" borderId="2" xfId="0" applyFont="1" applyFill="1"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52" xfId="0" applyBorder="1" applyAlignment="1">
      <alignment horizontal="center"/>
    </xf>
    <xf numFmtId="0" fontId="0" fillId="22" borderId="53" xfId="0" applyFill="1" applyBorder="1" applyAlignment="1">
      <alignment horizontal="center"/>
    </xf>
    <xf numFmtId="0" fontId="0" fillId="22" borderId="54" xfId="0" applyFill="1" applyBorder="1" applyAlignment="1">
      <alignment horizontal="center"/>
    </xf>
    <xf numFmtId="10" fontId="0" fillId="3" borderId="58" xfId="0" applyNumberFormat="1" applyFill="1" applyBorder="1" applyAlignment="1">
      <alignment horizontal="center"/>
    </xf>
    <xf numFmtId="10" fontId="0" fillId="3" borderId="56" xfId="0" applyNumberFormat="1" applyFill="1" applyBorder="1" applyAlignment="1">
      <alignment horizontal="center"/>
    </xf>
    <xf numFmtId="10" fontId="0" fillId="3" borderId="59" xfId="0" applyNumberFormat="1" applyFill="1" applyBorder="1" applyAlignment="1">
      <alignment horizontal="center"/>
    </xf>
    <xf numFmtId="10" fontId="0" fillId="0" borderId="60" xfId="0" applyNumberFormat="1" applyBorder="1" applyAlignment="1">
      <alignment horizontal="center"/>
    </xf>
    <xf numFmtId="0" fontId="0" fillId="17" borderId="15" xfId="0" applyFill="1" applyBorder="1" applyAlignment="1">
      <alignment horizontal="center"/>
    </xf>
    <xf numFmtId="0" fontId="0" fillId="17" borderId="42" xfId="0" applyFill="1" applyBorder="1" applyAlignment="1">
      <alignment horizontal="center"/>
    </xf>
    <xf numFmtId="0" fontId="0" fillId="0" borderId="0" xfId="0" applyBorder="1" applyAlignment="1">
      <alignment horizontal="center" wrapText="1"/>
    </xf>
    <xf numFmtId="0" fontId="0" fillId="0" borderId="0" xfId="0" applyFill="1" applyBorder="1" applyAlignment="1">
      <alignment horizontal="center" wrapText="1"/>
    </xf>
    <xf numFmtId="2" fontId="0" fillId="0" borderId="0" xfId="0" applyNumberFormat="1" applyBorder="1" applyAlignment="1">
      <alignment horizontal="center" vertical="center" wrapText="1"/>
    </xf>
    <xf numFmtId="0" fontId="0" fillId="0" borderId="72" xfId="0" applyBorder="1" applyAlignment="1">
      <alignment horizontal="center" vertical="center" wrapText="1"/>
    </xf>
    <xf numFmtId="2" fontId="0" fillId="0" borderId="26" xfId="0" applyNumberFormat="1" applyBorder="1" applyAlignment="1">
      <alignment horizontal="center" vertical="center" wrapText="1"/>
    </xf>
    <xf numFmtId="2" fontId="0" fillId="0" borderId="72" xfId="0" applyNumberFormat="1" applyBorder="1" applyAlignment="1">
      <alignment horizontal="center" vertical="center" wrapText="1"/>
    </xf>
    <xf numFmtId="0" fontId="0" fillId="15" borderId="0" xfId="0" applyFill="1" applyAlignment="1">
      <alignment horizontal="center" vertical="center" wrapText="1"/>
    </xf>
    <xf numFmtId="0" fontId="0" fillId="15" borderId="4" xfId="0" applyFill="1" applyBorder="1" applyAlignment="1">
      <alignment horizontal="center" vertical="center" wrapText="1"/>
    </xf>
    <xf numFmtId="0" fontId="0" fillId="0" borderId="17" xfId="0" applyBorder="1" applyAlignment="1">
      <alignment horizontal="center" vertical="center" wrapText="1"/>
    </xf>
    <xf numFmtId="0" fontId="0" fillId="43" borderId="15" xfId="0" applyFill="1" applyBorder="1" applyAlignment="1">
      <alignment horizontal="center"/>
    </xf>
    <xf numFmtId="0" fontId="0" fillId="43" borderId="12" xfId="0" applyFill="1" applyBorder="1" applyAlignment="1">
      <alignment horizontal="center"/>
    </xf>
    <xf numFmtId="0" fontId="0" fillId="43" borderId="16" xfId="0" applyFill="1" applyBorder="1" applyAlignment="1">
      <alignment horizontal="center"/>
    </xf>
    <xf numFmtId="0" fontId="2" fillId="0" borderId="8" xfId="0" applyFont="1" applyBorder="1" applyAlignment="1">
      <alignment horizontal="center"/>
    </xf>
    <xf numFmtId="0" fontId="0" fillId="43" borderId="15" xfId="0" applyFill="1" applyBorder="1" applyAlignment="1">
      <alignment horizontal="right"/>
    </xf>
    <xf numFmtId="0" fontId="0" fillId="43" borderId="16" xfId="0" applyFill="1" applyBorder="1" applyAlignment="1">
      <alignment horizontal="right"/>
    </xf>
    <xf numFmtId="12" fontId="0" fillId="0" borderId="72" xfId="0" applyNumberFormat="1"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11" xfId="0" applyBorder="1" applyAlignment="1">
      <alignment horizontal="center" wrapText="1"/>
    </xf>
    <xf numFmtId="0" fontId="0" fillId="0" borderId="65" xfId="0" applyBorder="1" applyAlignment="1">
      <alignment horizontal="center"/>
    </xf>
    <xf numFmtId="0" fontId="0" fillId="0" borderId="26" xfId="0" applyBorder="1" applyAlignment="1">
      <alignment horizontal="center" vertical="center"/>
    </xf>
    <xf numFmtId="0" fontId="0" fillId="0" borderId="26" xfId="0" applyBorder="1" applyAlignment="1">
      <alignment horizontal="center" wrapText="1"/>
    </xf>
    <xf numFmtId="0" fontId="0" fillId="0" borderId="26" xfId="0" applyBorder="1" applyAlignment="1">
      <alignment horizontal="center" vertical="center" wrapText="1"/>
    </xf>
    <xf numFmtId="0" fontId="0" fillId="0" borderId="66" xfId="0" applyBorder="1" applyAlignment="1">
      <alignment horizontal="center" wrapText="1"/>
    </xf>
    <xf numFmtId="0" fontId="16" fillId="17" borderId="43" xfId="0" applyFont="1" applyFill="1" applyBorder="1" applyAlignment="1">
      <alignment horizontal="center"/>
    </xf>
    <xf numFmtId="0" fontId="16" fillId="17" borderId="0" xfId="0" applyFont="1" applyFill="1" applyBorder="1" applyAlignment="1">
      <alignment horizontal="center"/>
    </xf>
    <xf numFmtId="0" fontId="16" fillId="17" borderId="44" xfId="0" applyFont="1" applyFill="1" applyBorder="1" applyAlignment="1">
      <alignment horizontal="center"/>
    </xf>
    <xf numFmtId="0" fontId="0" fillId="43" borderId="17" xfId="0" applyFill="1" applyBorder="1" applyAlignment="1">
      <alignment horizontal="center" vertical="center"/>
    </xf>
    <xf numFmtId="0" fontId="0" fillId="43" borderId="25" xfId="0" applyFill="1" applyBorder="1" applyAlignment="1">
      <alignment horizontal="center" vertical="center"/>
    </xf>
    <xf numFmtId="0" fontId="0" fillId="43" borderId="17" xfId="0" applyFill="1" applyBorder="1" applyAlignment="1">
      <alignment horizontal="center" vertical="center" wrapText="1"/>
    </xf>
    <xf numFmtId="0" fontId="0" fillId="43" borderId="35" xfId="0" applyFill="1" applyBorder="1" applyAlignment="1">
      <alignment horizontal="center" vertical="center" wrapText="1"/>
    </xf>
    <xf numFmtId="0" fontId="45" fillId="42" borderId="37" xfId="0" applyFont="1" applyFill="1" applyBorder="1" applyAlignment="1">
      <alignment horizontal="center" wrapText="1"/>
    </xf>
    <xf numFmtId="0" fontId="45" fillId="42" borderId="38" xfId="0" applyFont="1" applyFill="1" applyBorder="1" applyAlignment="1">
      <alignment horizontal="center" wrapText="1"/>
    </xf>
    <xf numFmtId="0" fontId="45" fillId="42" borderId="40" xfId="0" applyFont="1" applyFill="1" applyBorder="1" applyAlignment="1">
      <alignment horizontal="center" wrapText="1"/>
    </xf>
    <xf numFmtId="2" fontId="0" fillId="36" borderId="17" xfId="0" applyNumberFormat="1" applyFill="1" applyBorder="1" applyAlignment="1">
      <alignment horizontal="center" vertical="center" wrapText="1"/>
    </xf>
    <xf numFmtId="0" fontId="16" fillId="22" borderId="2" xfId="0" applyFont="1" applyFill="1" applyBorder="1" applyAlignment="1">
      <alignment horizontal="center"/>
    </xf>
    <xf numFmtId="0" fontId="16" fillId="22" borderId="43" xfId="0" applyFont="1" applyFill="1" applyBorder="1" applyAlignment="1">
      <alignment horizontal="center"/>
    </xf>
    <xf numFmtId="0" fontId="16" fillId="22" borderId="0" xfId="0" applyFont="1" applyFill="1" applyBorder="1" applyAlignment="1">
      <alignment horizontal="center"/>
    </xf>
    <xf numFmtId="0" fontId="16" fillId="22" borderId="15" xfId="0" applyFont="1" applyFill="1" applyBorder="1" applyAlignment="1">
      <alignment horizontal="center" wrapText="1"/>
    </xf>
    <xf numFmtId="0" fontId="16" fillId="22" borderId="12" xfId="0" applyFont="1" applyFill="1" applyBorder="1" applyAlignment="1">
      <alignment horizontal="center" wrapText="1"/>
    </xf>
    <xf numFmtId="0" fontId="16" fillId="22" borderId="16" xfId="0" applyFont="1" applyFill="1" applyBorder="1" applyAlignment="1">
      <alignment horizontal="center" wrapText="1"/>
    </xf>
    <xf numFmtId="0" fontId="0" fillId="0" borderId="35" xfId="0" applyBorder="1" applyAlignment="1">
      <alignment horizontal="center" vertical="center"/>
    </xf>
    <xf numFmtId="0" fontId="16" fillId="22" borderId="60" xfId="0" applyFont="1" applyFill="1" applyBorder="1" applyAlignment="1">
      <alignment horizontal="center" wrapText="1"/>
    </xf>
    <xf numFmtId="0" fontId="16" fillId="22" borderId="37" xfId="0" applyFont="1" applyFill="1" applyBorder="1" applyAlignment="1">
      <alignment horizontal="center" wrapText="1"/>
    </xf>
    <xf numFmtId="0" fontId="16" fillId="22" borderId="38" xfId="0" applyFont="1" applyFill="1" applyBorder="1" applyAlignment="1">
      <alignment horizontal="center" wrapText="1"/>
    </xf>
    <xf numFmtId="0" fontId="16" fillId="22" borderId="40" xfId="0" applyFont="1" applyFill="1" applyBorder="1" applyAlignment="1">
      <alignment horizontal="center" wrapText="1"/>
    </xf>
    <xf numFmtId="0" fontId="22" fillId="0" borderId="65" xfId="0" applyFont="1" applyBorder="1" applyAlignment="1">
      <alignment horizontal="left"/>
    </xf>
    <xf numFmtId="0" fontId="22" fillId="0" borderId="60" xfId="0" applyFont="1" applyBorder="1" applyAlignment="1">
      <alignment horizontal="left"/>
    </xf>
    <xf numFmtId="0" fontId="22" fillId="0" borderId="43" xfId="0" applyFont="1" applyBorder="1" applyAlignment="1">
      <alignment horizontal="left"/>
    </xf>
    <xf numFmtId="0" fontId="22" fillId="0" borderId="0" xfId="0" applyFont="1" applyBorder="1" applyAlignment="1">
      <alignment horizontal="left"/>
    </xf>
    <xf numFmtId="0" fontId="10" fillId="35" borderId="43" xfId="0" applyFont="1" applyFill="1" applyBorder="1" applyAlignment="1">
      <alignment horizontal="center" wrapText="1"/>
    </xf>
    <xf numFmtId="0" fontId="10" fillId="35" borderId="0" xfId="0" applyFont="1" applyFill="1" applyBorder="1" applyAlignment="1">
      <alignment horizontal="center" wrapText="1"/>
    </xf>
    <xf numFmtId="0" fontId="0" fillId="0" borderId="15" xfId="0" applyBorder="1" applyAlignment="1">
      <alignment horizontal="center" vertical="center"/>
    </xf>
    <xf numFmtId="0" fontId="2" fillId="0" borderId="5" xfId="0" applyFont="1" applyBorder="1" applyAlignment="1">
      <alignment horizontal="center"/>
    </xf>
    <xf numFmtId="0" fontId="16" fillId="22" borderId="65" xfId="0" applyFont="1" applyFill="1" applyBorder="1" applyAlignment="1">
      <alignment horizontal="center"/>
    </xf>
    <xf numFmtId="0" fontId="16" fillId="22" borderId="60" xfId="0" applyFont="1" applyFill="1" applyBorder="1" applyAlignment="1">
      <alignment horizontal="center"/>
    </xf>
    <xf numFmtId="0" fontId="16" fillId="22" borderId="66" xfId="0" applyFont="1" applyFill="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22" borderId="43" xfId="0" applyFont="1" applyFill="1" applyBorder="1" applyAlignment="1">
      <alignment horizontal="center" wrapText="1"/>
    </xf>
    <xf numFmtId="0" fontId="16" fillId="22" borderId="0" xfId="0" applyFont="1" applyFill="1" applyBorder="1" applyAlignment="1">
      <alignment horizontal="center" wrapText="1"/>
    </xf>
    <xf numFmtId="0" fontId="0" fillId="0" borderId="65" xfId="0" applyBorder="1" applyAlignment="1">
      <alignment horizontal="center" wrapText="1"/>
    </xf>
    <xf numFmtId="0" fontId="0" fillId="0" borderId="60" xfId="0" applyBorder="1" applyAlignment="1">
      <alignment horizontal="center" wrapText="1"/>
    </xf>
    <xf numFmtId="0" fontId="22" fillId="0" borderId="65" xfId="0" applyFont="1" applyBorder="1" applyAlignment="1">
      <alignment horizontal="center"/>
    </xf>
    <xf numFmtId="0" fontId="22" fillId="0" borderId="60" xfId="0" applyFont="1" applyBorder="1" applyAlignment="1">
      <alignment horizontal="center"/>
    </xf>
    <xf numFmtId="0" fontId="22" fillId="0" borderId="66" xfId="0" applyFont="1" applyBorder="1" applyAlignment="1">
      <alignment horizontal="center"/>
    </xf>
    <xf numFmtId="0" fontId="22" fillId="0" borderId="43" xfId="0" applyFont="1" applyBorder="1" applyAlignment="1">
      <alignment horizontal="center"/>
    </xf>
    <xf numFmtId="0" fontId="22" fillId="0" borderId="0" xfId="0" applyFont="1" applyBorder="1" applyAlignment="1">
      <alignment horizontal="center"/>
    </xf>
    <xf numFmtId="0" fontId="22" fillId="0" borderId="44" xfId="0" applyFont="1" applyBorder="1" applyAlignment="1">
      <alignment horizontal="center"/>
    </xf>
    <xf numFmtId="0" fontId="2" fillId="9" borderId="17" xfId="0" applyFont="1" applyFill="1" applyBorder="1" applyAlignment="1">
      <alignment horizontal="center" wrapText="1"/>
    </xf>
    <xf numFmtId="0" fontId="27" fillId="27" borderId="26" xfId="0" applyFont="1" applyFill="1" applyBorder="1" applyAlignment="1">
      <alignment horizontal="center" vertical="center" wrapText="1"/>
    </xf>
    <xf numFmtId="0" fontId="27" fillId="27" borderId="36" xfId="0" applyFont="1" applyFill="1" applyBorder="1" applyAlignment="1">
      <alignment horizontal="center" vertical="center" wrapText="1"/>
    </xf>
    <xf numFmtId="0" fontId="28" fillId="26" borderId="27" xfId="0" applyFont="1" applyFill="1" applyBorder="1" applyAlignment="1">
      <alignment horizontal="center" vertical="center" wrapText="1"/>
    </xf>
    <xf numFmtId="0" fontId="28" fillId="26" borderId="79" xfId="0" applyFont="1" applyFill="1" applyBorder="1" applyAlignment="1">
      <alignment horizontal="center" vertical="center" wrapText="1"/>
    </xf>
    <xf numFmtId="0" fontId="11" fillId="26" borderId="32" xfId="0" applyFont="1" applyFill="1" applyBorder="1" applyAlignment="1">
      <alignment horizontal="center" vertical="center" wrapText="1"/>
    </xf>
    <xf numFmtId="0" fontId="11" fillId="26" borderId="17" xfId="0" applyFont="1" applyFill="1" applyBorder="1" applyAlignment="1">
      <alignment horizontal="center" vertical="center" wrapText="1"/>
    </xf>
    <xf numFmtId="0" fontId="11" fillId="26" borderId="29" xfId="0" applyFont="1" applyFill="1" applyBorder="1" applyAlignment="1">
      <alignment horizontal="center"/>
    </xf>
    <xf numFmtId="0" fontId="11" fillId="26" borderId="48" xfId="0" applyFont="1" applyFill="1" applyBorder="1" applyAlignment="1">
      <alignment horizontal="center"/>
    </xf>
    <xf numFmtId="0" fontId="27" fillId="27" borderId="80" xfId="0" applyFont="1" applyFill="1" applyBorder="1" applyAlignment="1">
      <alignment horizontal="center" vertical="center" wrapText="1"/>
    </xf>
    <xf numFmtId="0" fontId="11" fillId="26" borderId="32" xfId="0" applyFont="1" applyFill="1" applyBorder="1" applyAlignment="1">
      <alignment horizontal="center" wrapText="1"/>
    </xf>
    <xf numFmtId="0" fontId="11" fillId="26" borderId="17" xfId="0" applyFont="1" applyFill="1" applyBorder="1" applyAlignment="1">
      <alignment horizontal="center" wrapText="1"/>
    </xf>
    <xf numFmtId="0" fontId="34" fillId="27" borderId="26" xfId="0" applyFont="1" applyFill="1" applyBorder="1" applyAlignment="1">
      <alignment horizontal="center" vertical="center" wrapText="1"/>
    </xf>
    <xf numFmtId="0" fontId="34" fillId="27" borderId="80" xfId="0" applyFont="1" applyFill="1" applyBorder="1" applyAlignment="1">
      <alignment horizontal="center" vertical="center" wrapText="1"/>
    </xf>
    <xf numFmtId="0" fontId="29" fillId="32" borderId="1" xfId="0" applyFont="1" applyFill="1" applyBorder="1" applyAlignment="1">
      <alignment horizontal="center" vertical="center"/>
    </xf>
    <xf numFmtId="0" fontId="29" fillId="32" borderId="2" xfId="0" applyFont="1" applyFill="1" applyBorder="1" applyAlignment="1">
      <alignment horizontal="center" vertical="center"/>
    </xf>
    <xf numFmtId="0" fontId="29" fillId="32" borderId="81" xfId="0" applyFont="1" applyFill="1" applyBorder="1" applyAlignment="1">
      <alignment horizontal="center" vertical="center"/>
    </xf>
    <xf numFmtId="0" fontId="41" fillId="34" borderId="26" xfId="0" applyFont="1" applyFill="1" applyBorder="1" applyAlignment="1">
      <alignment horizontal="center" vertical="center" wrapText="1"/>
    </xf>
    <xf numFmtId="0" fontId="41" fillId="34" borderId="72" xfId="0" applyFont="1" applyFill="1" applyBorder="1" applyAlignment="1">
      <alignment horizontal="center" vertical="center" wrapText="1"/>
    </xf>
    <xf numFmtId="0" fontId="41" fillId="34" borderId="36" xfId="0" applyFont="1" applyFill="1" applyBorder="1" applyAlignment="1">
      <alignment horizontal="center" vertical="center" wrapText="1"/>
    </xf>
    <xf numFmtId="0" fontId="50" fillId="0" borderId="26" xfId="0" applyFont="1" applyBorder="1" applyAlignment="1">
      <alignment horizontal="center" vertical="center" wrapText="1"/>
    </xf>
    <xf numFmtId="0" fontId="50" fillId="0" borderId="72" xfId="0" applyFont="1" applyBorder="1" applyAlignment="1">
      <alignment horizontal="center" vertical="center" wrapText="1"/>
    </xf>
    <xf numFmtId="0" fontId="50" fillId="0" borderId="36" xfId="0" applyFont="1" applyBorder="1" applyAlignment="1">
      <alignment horizontal="center" vertical="center" wrapText="1"/>
    </xf>
    <xf numFmtId="0" fontId="52" fillId="0" borderId="26" xfId="0" applyFont="1" applyBorder="1" applyAlignment="1">
      <alignment horizontal="center" vertical="center" wrapText="1"/>
    </xf>
    <xf numFmtId="0" fontId="52" fillId="0" borderId="72" xfId="0" applyFont="1" applyBorder="1" applyAlignment="1">
      <alignment horizontal="center" vertical="center" wrapText="1"/>
    </xf>
    <xf numFmtId="0" fontId="0" fillId="0" borderId="26" xfId="0" applyFont="1" applyBorder="1" applyAlignment="1">
      <alignment horizontal="center" vertical="center"/>
    </xf>
    <xf numFmtId="0" fontId="0" fillId="0" borderId="72" xfId="0" applyFont="1" applyBorder="1" applyAlignment="1">
      <alignment horizontal="center" vertical="center"/>
    </xf>
    <xf numFmtId="0" fontId="0" fillId="0" borderId="36" xfId="0" applyFont="1" applyBorder="1" applyAlignment="1">
      <alignment horizontal="center" vertical="center"/>
    </xf>
    <xf numFmtId="0" fontId="0" fillId="0" borderId="10" xfId="0" applyBorder="1" applyAlignment="1">
      <alignment horizontal="center" vertical="center"/>
    </xf>
  </cellXfs>
  <cellStyles count="5">
    <cellStyle name="Comma" xfId="1" builtinId="3"/>
    <cellStyle name="Comma 2" xfId="4" xr:uid="{7B7EBCDF-36BA-485A-82EC-036051D05238}"/>
    <cellStyle name="Hyperlink" xfId="3" builtinId="8"/>
    <cellStyle name="Normal" xfId="0" builtinId="0"/>
    <cellStyle name="Percent" xfId="2" builtinId="5"/>
  </cellStyles>
  <dxfs count="0"/>
  <tableStyles count="0" defaultTableStyle="TableStyleMedium2" defaultPivotStyle="PivotStyleLight16"/>
  <colors>
    <mruColors>
      <color rgb="FFFF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IE"/>
              <a:t>Used Cooking Oil to HRJ Process</a:t>
            </a:r>
            <a:r>
              <a:rPr lang="en-IE" baseline="0"/>
              <a:t>- Products</a:t>
            </a:r>
            <a:endParaRPr lang="en-IE"/>
          </a:p>
        </c:rich>
      </c:tx>
      <c:layout>
        <c:manualLayout>
          <c:xMode val="edge"/>
          <c:yMode val="edge"/>
          <c:x val="0.17166818577567305"/>
          <c:y val="0"/>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260273847794387"/>
          <c:y val="0.25535356467395609"/>
          <c:w val="0.6057068448828743"/>
          <c:h val="0.65370982970502955"/>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88-4DD5-B935-35EBFF8ADA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88-4DD5-B935-35EBFF8ADA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88-4DD5-B935-35EBFF8ADA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88-4DD5-B935-35EBFF8ADA9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88-4DD5-B935-35EBFF8ADA9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E88-4DD5-B935-35EBFF8ADA9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E88-4DD5-B935-35EBFF8ADA9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E88-4DD5-B935-35EBFF8ADA9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E88-4DD5-B935-35EBFF8ADA9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E88-4DD5-B935-35EBFF8ADA9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E88-4DD5-B935-35EBFF8ADA96}"/>
              </c:ext>
            </c:extLst>
          </c:dPt>
          <c:dLbls>
            <c:dLbl>
              <c:idx val="0"/>
              <c:layout>
                <c:manualLayout>
                  <c:x val="3.2468176154446832E-2"/>
                  <c:y val="-1.2926707629417063E-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88-4DD5-B935-35EBFF8ADA96}"/>
                </c:ext>
              </c:extLst>
            </c:dLbl>
            <c:dLbl>
              <c:idx val="1"/>
              <c:layout>
                <c:manualLayout>
                  <c:x val="5.0299697550924165E-2"/>
                  <c:y val="1.995929014850860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88-4DD5-B935-35EBFF8ADA96}"/>
                </c:ext>
              </c:extLst>
            </c:dLbl>
            <c:dLbl>
              <c:idx val="2"/>
              <c:layout>
                <c:manualLayout>
                  <c:x val="-3.0647249768853687E-2"/>
                  <c:y val="9.11289592680883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E88-4DD5-B935-35EBFF8ADA96}"/>
                </c:ext>
              </c:extLst>
            </c:dLbl>
            <c:dLbl>
              <c:idx val="3"/>
              <c:layout>
                <c:manualLayout>
                  <c:x val="-3.0909100185755264E-2"/>
                  <c:y val="3.80554438241778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E88-4DD5-B935-35EBFF8ADA96}"/>
                </c:ext>
              </c:extLst>
            </c:dLbl>
            <c:dLbl>
              <c:idx val="4"/>
              <c:layout>
                <c:manualLayout>
                  <c:x val="-7.3864777310524727E-3"/>
                  <c:y val="-3.7604967649213276E-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E88-4DD5-B935-35EBFF8ADA96}"/>
                </c:ext>
              </c:extLst>
            </c:dLbl>
            <c:dLbl>
              <c:idx val="5"/>
              <c:layout>
                <c:manualLayout>
                  <c:x val="0"/>
                  <c:y val="-1.641093982937158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E88-4DD5-B935-35EBFF8ADA96}"/>
                </c:ext>
              </c:extLst>
            </c:dLbl>
            <c:dLbl>
              <c:idx val="6"/>
              <c:layout>
                <c:manualLayout>
                  <c:x val="-2.3613550330857203E-2"/>
                  <c:y val="-6.3043986060597667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E88-4DD5-B935-35EBFF8ADA96}"/>
                </c:ext>
              </c:extLst>
            </c:dLbl>
            <c:dLbl>
              <c:idx val="7"/>
              <c:layout>
                <c:manualLayout>
                  <c:x val="-3.7673842619335096E-2"/>
                  <c:y val="2.7923337820227228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E88-4DD5-B935-35EBFF8ADA96}"/>
                </c:ext>
              </c:extLst>
            </c:dLbl>
            <c:dLbl>
              <c:idx val="9"/>
              <c:layout>
                <c:manualLayout>
                  <c:x val="-4.04018611241601E-3"/>
                  <c:y val="-5.151736250632161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E88-4DD5-B935-35EBFF8ADA96}"/>
                </c:ext>
              </c:extLst>
            </c:dLbl>
            <c:dLbl>
              <c:idx val="10"/>
              <c:layout>
                <c:manualLayout>
                  <c:x val="3.8292115733146545E-2"/>
                  <c:y val="-1.087719565901778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BE88-4DD5-B935-35EBFF8ADA9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(FuelProd2!$AR$20:$AR$29,FuelProd2!$AR$32)</c:f>
              <c:strCache>
                <c:ptCount val="11"/>
                <c:pt idx="0">
                  <c:v>Naphta</c:v>
                </c:pt>
                <c:pt idx="1">
                  <c:v>Jet Fuel</c:v>
                </c:pt>
                <c:pt idx="2">
                  <c:v>Diesel</c:v>
                </c:pt>
                <c:pt idx="3">
                  <c:v>Residual Oil </c:v>
                </c:pt>
                <c:pt idx="4">
                  <c:v>Water</c:v>
                </c:pt>
                <c:pt idx="5">
                  <c:v>Propane</c:v>
                </c:pt>
                <c:pt idx="6">
                  <c:v>LPG</c:v>
                </c:pt>
                <c:pt idx="7">
                  <c:v>Carbon Dioxide</c:v>
                </c:pt>
                <c:pt idx="8">
                  <c:v>Carbon Monoxide</c:v>
                </c:pt>
                <c:pt idx="9">
                  <c:v>Hydrogen</c:v>
                </c:pt>
                <c:pt idx="10">
                  <c:v>Unknown products</c:v>
                </c:pt>
              </c:strCache>
            </c:strRef>
          </c:cat>
          <c:val>
            <c:numRef>
              <c:f>(FuelProd2!$AU$20:$AU$29,FuelProd2!$AU$32)</c:f>
              <c:numCache>
                <c:formatCode>0.00%</c:formatCode>
                <c:ptCount val="11"/>
                <c:pt idx="0">
                  <c:v>0.26982549801673644</c:v>
                </c:pt>
                <c:pt idx="1">
                  <c:v>0.43401176803635438</c:v>
                </c:pt>
                <c:pt idx="2">
                  <c:v>5.9819803805597212E-2</c:v>
                </c:pt>
                <c:pt idx="3">
                  <c:v>0</c:v>
                </c:pt>
                <c:pt idx="4">
                  <c:v>3.5649639300449586E-2</c:v>
                </c:pt>
                <c:pt idx="5">
                  <c:v>3.7960419509922454E-2</c:v>
                </c:pt>
                <c:pt idx="6">
                  <c:v>0</c:v>
                </c:pt>
                <c:pt idx="7">
                  <c:v>9.3796793271429535E-2</c:v>
                </c:pt>
                <c:pt idx="8">
                  <c:v>2.6333324314171394E-3</c:v>
                </c:pt>
                <c:pt idx="9">
                  <c:v>6.6302745628093337E-2</c:v>
                </c:pt>
                <c:pt idx="10">
                  <c:v>0</c:v>
                </c:pt>
              </c:numCache>
            </c:numRef>
          </c:val>
          <c:extLst>
            <c:ext xmlns:c16="http://schemas.microsoft.com/office/drawing/2014/chart" uri="{C3380CC4-5D6E-409C-BE32-E72D297353CC}">
              <c16:uniqueId val="{00000016-BE88-4DD5-B935-35EBFF8ADA9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sz="1600" b="0" i="0" baseline="0">
                <a:effectLst/>
              </a:rPr>
              <a:t>Jet Fuel Composition - Alcane Breakdown Compared to Ideal Case</a:t>
            </a:r>
            <a:endParaRPr lang="en-IE"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FuelProd3!$AG$167</c:f>
              <c:strCache>
                <c:ptCount val="1"/>
                <c:pt idx="0">
                  <c:v>LM Mass Flow</c:v>
                </c:pt>
              </c:strCache>
            </c:strRef>
          </c:tx>
          <c:spPr>
            <a:solidFill>
              <a:schemeClr val="accent1"/>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FuelProd3!$AG$168:$AG$175</c:f>
              <c:numCache>
                <c:formatCode>0.00%</c:formatCode>
                <c:ptCount val="8"/>
                <c:pt idx="0">
                  <c:v>2.5572639881152716E-3</c:v>
                </c:pt>
                <c:pt idx="1">
                  <c:v>5.6537637261151949E-2</c:v>
                </c:pt>
                <c:pt idx="2">
                  <c:v>0.11088246083882498</c:v>
                </c:pt>
                <c:pt idx="3">
                  <c:v>0.14249228597627303</c:v>
                </c:pt>
                <c:pt idx="4">
                  <c:v>0.18101061034896379</c:v>
                </c:pt>
                <c:pt idx="5">
                  <c:v>0.19995918177768549</c:v>
                </c:pt>
                <c:pt idx="6">
                  <c:v>0.16690939783332706</c:v>
                </c:pt>
                <c:pt idx="7">
                  <c:v>0.14220842596377362</c:v>
                </c:pt>
              </c:numCache>
            </c:numRef>
          </c:val>
          <c:extLst>
            <c:ext xmlns:c16="http://schemas.microsoft.com/office/drawing/2014/chart" uri="{C3380CC4-5D6E-409C-BE32-E72D297353CC}">
              <c16:uniqueId val="{00000000-15ED-4A4F-98E1-166C4ECE56C0}"/>
            </c:ext>
          </c:extLst>
        </c:ser>
        <c:ser>
          <c:idx val="1"/>
          <c:order val="1"/>
          <c:tx>
            <c:strRef>
              <c:f>FuelProd3!$AH$167</c:f>
              <c:strCache>
                <c:ptCount val="1"/>
                <c:pt idx="0">
                  <c:v>Heynes et al. (HRJ)</c:v>
                </c:pt>
              </c:strCache>
            </c:strRef>
          </c:tx>
          <c:spPr>
            <a:solidFill>
              <a:schemeClr val="accent2"/>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FuelProd3!$AH$168:$AH$175</c:f>
              <c:numCache>
                <c:formatCode>0.00%</c:formatCode>
                <c:ptCount val="8"/>
                <c:pt idx="0">
                  <c:v>5.7581573896353135E-3</c:v>
                </c:pt>
                <c:pt idx="1">
                  <c:v>6.6218809980806148E-2</c:v>
                </c:pt>
                <c:pt idx="2">
                  <c:v>0.11228406909788875</c:v>
                </c:pt>
                <c:pt idx="3">
                  <c:v>0.13435700575815732</c:v>
                </c:pt>
                <c:pt idx="4">
                  <c:v>0.16986564299424189</c:v>
                </c:pt>
                <c:pt idx="5">
                  <c:v>0.18905950095969293</c:v>
                </c:pt>
                <c:pt idx="6">
                  <c:v>0.18138195777351243</c:v>
                </c:pt>
                <c:pt idx="7">
                  <c:v>0.14107485604606532</c:v>
                </c:pt>
              </c:numCache>
            </c:numRef>
          </c:val>
          <c:extLst>
            <c:ext xmlns:c16="http://schemas.microsoft.com/office/drawing/2014/chart" uri="{C3380CC4-5D6E-409C-BE32-E72D297353CC}">
              <c16:uniqueId val="{00000001-15ED-4A4F-98E1-166C4ECE56C0}"/>
            </c:ext>
          </c:extLst>
        </c:ser>
        <c:dLbls>
          <c:showLegendKey val="0"/>
          <c:showVal val="0"/>
          <c:showCatName val="0"/>
          <c:showSerName val="0"/>
          <c:showPercent val="0"/>
          <c:showBubbleSize val="0"/>
        </c:dLbls>
        <c:gapWidth val="219"/>
        <c:overlap val="-27"/>
        <c:axId val="1067059743"/>
        <c:axId val="1067060575"/>
      </c:barChart>
      <c:catAx>
        <c:axId val="106705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60575"/>
        <c:crosses val="autoZero"/>
        <c:auto val="1"/>
        <c:lblAlgn val="ctr"/>
        <c:lblOffset val="100"/>
        <c:noMultiLvlLbl val="0"/>
      </c:catAx>
      <c:valAx>
        <c:axId val="10670605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59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IE" sz="2000"/>
              <a:t>Used Cooking Oil:</a:t>
            </a:r>
            <a:r>
              <a:rPr lang="en-IE" sz="2000" baseline="0"/>
              <a:t> Products after completed reaction process</a:t>
            </a:r>
            <a:endParaRPr lang="en-IE" sz="2000"/>
          </a:p>
        </c:rich>
      </c:tx>
      <c:layout>
        <c:manualLayout>
          <c:xMode val="edge"/>
          <c:yMode val="edge"/>
          <c:x val="0.13219033929374593"/>
          <c:y val="3.9837102491603171E-4"/>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812512181633395"/>
          <c:y val="0.22335326206717765"/>
          <c:w val="0.68446144648761253"/>
          <c:h val="0.69583240590688833"/>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D4-474B-9613-8EC5153849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D4-474B-9613-8EC51538492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4D4-474B-9613-8EC51538492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4D4-474B-9613-8EC51538492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4D4-474B-9613-8EC51538492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4D4-474B-9613-8EC51538492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4D4-474B-9613-8EC51538492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4D4-474B-9613-8EC51538492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4D4-474B-9613-8EC51538492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4D4-474B-9613-8EC51538492C}"/>
              </c:ext>
            </c:extLst>
          </c:dPt>
          <c:dLbls>
            <c:dLbl>
              <c:idx val="0"/>
              <c:layout>
                <c:manualLayout>
                  <c:x val="-8.9300336148204051E-3"/>
                  <c:y val="-7.7791349947353653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D4-474B-9613-8EC51538492C}"/>
                </c:ext>
              </c:extLst>
            </c:dLbl>
            <c:dLbl>
              <c:idx val="1"/>
              <c:layout>
                <c:manualLayout>
                  <c:x val="3.175262682796208E-2"/>
                  <c:y val="1.183763870346584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D4-474B-9613-8EC51538492C}"/>
                </c:ext>
              </c:extLst>
            </c:dLbl>
            <c:dLbl>
              <c:idx val="2"/>
              <c:layout>
                <c:manualLayout>
                  <c:x val="1.6713849794979781E-3"/>
                  <c:y val="9.981423794311973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D4-474B-9613-8EC51538492C}"/>
                </c:ext>
              </c:extLst>
            </c:dLbl>
            <c:dLbl>
              <c:idx val="3"/>
              <c:layout>
                <c:manualLayout>
                  <c:x val="-4.5703439731321828E-2"/>
                  <c:y val="3.392964723069338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4D4-474B-9613-8EC51538492C}"/>
                </c:ext>
              </c:extLst>
            </c:dLbl>
            <c:dLbl>
              <c:idx val="4"/>
              <c:layout>
                <c:manualLayout>
                  <c:x val="-3.742901189419124E-2"/>
                  <c:y val="-2.941301472155618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4D4-474B-9613-8EC51538492C}"/>
                </c:ext>
              </c:extLst>
            </c:dLbl>
            <c:dLbl>
              <c:idx val="5"/>
              <c:layout>
                <c:manualLayout>
                  <c:x val="1.1817157558321939E-2"/>
                  <c:y val="-1.620741064526802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4D4-474B-9613-8EC51538492C}"/>
                </c:ext>
              </c:extLst>
            </c:dLbl>
            <c:dLbl>
              <c:idx val="6"/>
              <c:layout>
                <c:manualLayout>
                  <c:x val="-3.010439292748877E-2"/>
                  <c:y val="-7.6241743590412933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4D4-474B-9613-8EC51538492C}"/>
                </c:ext>
              </c:extLst>
            </c:dLbl>
            <c:dLbl>
              <c:idx val="8"/>
              <c:layout>
                <c:manualLayout>
                  <c:x val="4.16297376224702E-2"/>
                  <c:y val="-3.92425313069777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4D4-474B-9613-8EC51538492C}"/>
                </c:ext>
              </c:extLst>
            </c:dLbl>
            <c:dLbl>
              <c:idx val="9"/>
              <c:layout>
                <c:manualLayout>
                  <c:x val="8.6954633309444695E-2"/>
                  <c:y val="-6.8267101131258348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4D4-474B-9613-8EC51538492C}"/>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FuelProd2!$AR$20:$AR$29</c:f>
              <c:strCache>
                <c:ptCount val="10"/>
                <c:pt idx="0">
                  <c:v>Naphta</c:v>
                </c:pt>
                <c:pt idx="1">
                  <c:v>Jet Fuel</c:v>
                </c:pt>
                <c:pt idx="2">
                  <c:v>Diesel</c:v>
                </c:pt>
                <c:pt idx="3">
                  <c:v>Residual Oil </c:v>
                </c:pt>
                <c:pt idx="4">
                  <c:v>Water</c:v>
                </c:pt>
                <c:pt idx="5">
                  <c:v>Propane</c:v>
                </c:pt>
                <c:pt idx="6">
                  <c:v>LPG</c:v>
                </c:pt>
                <c:pt idx="7">
                  <c:v>Carbon Dioxide</c:v>
                </c:pt>
                <c:pt idx="8">
                  <c:v>Carbon Monoxide</c:v>
                </c:pt>
                <c:pt idx="9">
                  <c:v>Hydrogen</c:v>
                </c:pt>
              </c:strCache>
            </c:strRef>
          </c:cat>
          <c:val>
            <c:numRef>
              <c:f>FuelProd2!$AT$20:$AT$29</c:f>
              <c:numCache>
                <c:formatCode>0.00%</c:formatCode>
                <c:ptCount val="10"/>
                <c:pt idx="0">
                  <c:v>0.26982549801673644</c:v>
                </c:pt>
                <c:pt idx="1">
                  <c:v>0.43401176803635438</c:v>
                </c:pt>
                <c:pt idx="2">
                  <c:v>5.9819803805597212E-2</c:v>
                </c:pt>
                <c:pt idx="3">
                  <c:v>0</c:v>
                </c:pt>
                <c:pt idx="4">
                  <c:v>3.5649639300449586E-2</c:v>
                </c:pt>
                <c:pt idx="5">
                  <c:v>3.7960419509922454E-2</c:v>
                </c:pt>
                <c:pt idx="6">
                  <c:v>0</c:v>
                </c:pt>
                <c:pt idx="7">
                  <c:v>9.3796793271429535E-2</c:v>
                </c:pt>
                <c:pt idx="8">
                  <c:v>2.6333324314171394E-3</c:v>
                </c:pt>
                <c:pt idx="9">
                  <c:v>6.6302745628093337E-2</c:v>
                </c:pt>
              </c:numCache>
            </c:numRef>
          </c:val>
          <c:extLst>
            <c:ext xmlns:c16="http://schemas.microsoft.com/office/drawing/2014/chart" uri="{C3380CC4-5D6E-409C-BE32-E72D297353CC}">
              <c16:uniqueId val="{00000014-34D4-474B-9613-8EC51538492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IE" sz="2000"/>
              <a:t>Jet Fuel - Alkane</a:t>
            </a:r>
            <a:r>
              <a:rPr lang="en-IE" sz="2000" baseline="0"/>
              <a:t> mix</a:t>
            </a:r>
            <a:endParaRPr lang="en-IE"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0B-45BF-A463-3A833161AE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0B-45BF-A463-3A833161AE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0B-45BF-A463-3A833161AE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0B-45BF-A463-3A833161AE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0B-45BF-A463-3A833161AE1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E0B-45BF-A463-3A833161AE1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E0B-45BF-A463-3A833161AE1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E0B-45BF-A463-3A833161AE18}"/>
              </c:ext>
            </c:extLst>
          </c:dPt>
          <c:dLbls>
            <c:dLbl>
              <c:idx val="0"/>
              <c:layout>
                <c:manualLayout>
                  <c:x val="1.978758399740101E-2"/>
                  <c:y val="-1.137926295183297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E0B-45BF-A463-3A833161AE18}"/>
                </c:ext>
              </c:extLst>
            </c:dLbl>
            <c:dLbl>
              <c:idx val="1"/>
              <c:layout>
                <c:manualLayout>
                  <c:x val="5.0299703270206379E-2"/>
                  <c:y val="-3.6055832499391552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0B-45BF-A463-3A833161AE18}"/>
                </c:ext>
              </c:extLst>
            </c:dLbl>
            <c:dLbl>
              <c:idx val="2"/>
              <c:layout>
                <c:manualLayout>
                  <c:x val="3.6464477123795996E-2"/>
                  <c:y val="-2.93140979067893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E0B-45BF-A463-3A833161AE18}"/>
                </c:ext>
              </c:extLst>
            </c:dLbl>
            <c:dLbl>
              <c:idx val="3"/>
              <c:layout>
                <c:manualLayout>
                  <c:x val="2.4631584963424952E-2"/>
                  <c:y val="1.3988305138654422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E0B-45BF-A463-3A833161AE18}"/>
                </c:ext>
              </c:extLst>
            </c:dLbl>
            <c:dLbl>
              <c:idx val="4"/>
              <c:layout>
                <c:manualLayout>
                  <c:x val="6.4353563615150267E-2"/>
                  <c:y val="2.318885133853364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E0B-45BF-A463-3A833161AE18}"/>
                </c:ext>
              </c:extLst>
            </c:dLbl>
            <c:dLbl>
              <c:idx val="5"/>
              <c:layout>
                <c:manualLayout>
                  <c:x val="-1.7786345795504102E-2"/>
                  <c:y val="-1.379257524165727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E0B-45BF-A463-3A833161AE18}"/>
                </c:ext>
              </c:extLst>
            </c:dLbl>
            <c:dLbl>
              <c:idx val="6"/>
              <c:layout>
                <c:manualLayout>
                  <c:x val="-2.5927814801065412E-2"/>
                  <c:y val="-9.00908902980023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E0B-45BF-A463-3A833161AE18}"/>
                </c:ext>
              </c:extLst>
            </c:dLbl>
            <c:dLbl>
              <c:idx val="7"/>
              <c:layout>
                <c:manualLayout>
                  <c:x val="6.295918330569244E-3"/>
                  <c:y val="-1.553588328257475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E0B-45BF-A463-3A833161AE1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FuelProd2!$P$158:$P$165</c:f>
              <c:strCache>
                <c:ptCount val="8"/>
                <c:pt idx="0">
                  <c:v>Hexadecane</c:v>
                </c:pt>
                <c:pt idx="1">
                  <c:v>Pentadecane</c:v>
                </c:pt>
                <c:pt idx="2">
                  <c:v>Tetradecane</c:v>
                </c:pt>
                <c:pt idx="3">
                  <c:v>Tridecane</c:v>
                </c:pt>
                <c:pt idx="4">
                  <c:v>Dodecane</c:v>
                </c:pt>
                <c:pt idx="5">
                  <c:v>Undecane</c:v>
                </c:pt>
                <c:pt idx="6">
                  <c:v>Decane</c:v>
                </c:pt>
                <c:pt idx="7">
                  <c:v>Nonane</c:v>
                </c:pt>
              </c:strCache>
            </c:strRef>
          </c:cat>
          <c:val>
            <c:numRef>
              <c:f>FuelProd2!$R$158:$R$165</c:f>
              <c:numCache>
                <c:formatCode>0.00%</c:formatCode>
                <c:ptCount val="8"/>
                <c:pt idx="0">
                  <c:v>2.6497748995753154E-3</c:v>
                </c:pt>
                <c:pt idx="1">
                  <c:v>5.8582928001229724E-2</c:v>
                </c:pt>
                <c:pt idx="2">
                  <c:v>0.11489371566617367</c:v>
                </c:pt>
                <c:pt idx="3">
                  <c:v>0.14764704954896371</c:v>
                </c:pt>
                <c:pt idx="4">
                  <c:v>0.18755880272376163</c:v>
                </c:pt>
                <c:pt idx="5">
                  <c:v>0.20719285270373322</c:v>
                </c:pt>
                <c:pt idx="6">
                  <c:v>0.17294746844182468</c:v>
                </c:pt>
                <c:pt idx="7">
                  <c:v>0.14735292069108683</c:v>
                </c:pt>
              </c:numCache>
            </c:numRef>
          </c:val>
          <c:extLst>
            <c:ext xmlns:c16="http://schemas.microsoft.com/office/drawing/2014/chart" uri="{C3380CC4-5D6E-409C-BE32-E72D297353CC}">
              <c16:uniqueId val="{00000010-CE0B-45BF-A463-3A833161AE1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IE" sz="2000"/>
              <a:t>Used Cooking Oil:</a:t>
            </a:r>
          </a:p>
          <a:p>
            <a:pPr>
              <a:defRPr sz="2000"/>
            </a:pPr>
            <a:r>
              <a:rPr lang="en-IE" sz="2000"/>
              <a:t>By-products</a:t>
            </a:r>
            <a:r>
              <a:rPr lang="en-IE" sz="2000" baseline="0"/>
              <a:t> Proportions (22.76% of total mixture)</a:t>
            </a:r>
            <a:endParaRPr lang="en-IE"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CA-4BD2-8C97-AC003C0FC1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CA-4BD2-8C97-AC003C0FC1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CA-4BD2-8C97-AC003C0FC1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CA-4BD2-8C97-AC003C0FC1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FCA-4BD2-8C97-AC003C0FC1FD}"/>
              </c:ext>
            </c:extLst>
          </c:dPt>
          <c:dLbls>
            <c:dLbl>
              <c:idx val="0"/>
              <c:layout>
                <c:manualLayout>
                  <c:x val="2.8848365981150335E-2"/>
                  <c:y val="-8.293384188560787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CA-4BD2-8C97-AC003C0FC1FD}"/>
                </c:ext>
              </c:extLst>
            </c:dLbl>
            <c:dLbl>
              <c:idx val="1"/>
              <c:layout>
                <c:manualLayout>
                  <c:x val="5.7402114677923076E-2"/>
                  <c:y val="2.258504616891659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CA-4BD2-8C97-AC003C0FC1FD}"/>
                </c:ext>
              </c:extLst>
            </c:dLbl>
            <c:dLbl>
              <c:idx val="2"/>
              <c:layout>
                <c:manualLayout>
                  <c:x val="5.1296765893238359E-2"/>
                  <c:y val="-1.9426150857515252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CA-4BD2-8C97-AC003C0FC1FD}"/>
                </c:ext>
              </c:extLst>
            </c:dLbl>
            <c:dLbl>
              <c:idx val="3"/>
              <c:layout>
                <c:manualLayout>
                  <c:x val="-4.4599436751108043E-2"/>
                  <c:y val="2.23857050715800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CA-4BD2-8C97-AC003C0FC1FD}"/>
                </c:ext>
              </c:extLst>
            </c:dLbl>
            <c:dLbl>
              <c:idx val="4"/>
              <c:layout>
                <c:manualLayout>
                  <c:x val="-3.9143204097043881E-2"/>
                  <c:y val="-4.2672060588393474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FCA-4BD2-8C97-AC003C0FC1FD}"/>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FuelProd2!$AI$98:$AI$102</c:f>
              <c:strCache>
                <c:ptCount val="5"/>
                <c:pt idx="0">
                  <c:v>Propane</c:v>
                </c:pt>
                <c:pt idx="1">
                  <c:v>LPG</c:v>
                </c:pt>
                <c:pt idx="2">
                  <c:v>Hydrogen</c:v>
                </c:pt>
                <c:pt idx="3">
                  <c:v>Carbon Dioxide</c:v>
                </c:pt>
                <c:pt idx="4">
                  <c:v>Carbon Monoxide</c:v>
                </c:pt>
              </c:strCache>
            </c:strRef>
          </c:cat>
          <c:val>
            <c:numRef>
              <c:f>FuelProd2!$AK$98:$AK$102</c:f>
              <c:numCache>
                <c:formatCode>0.00%</c:formatCode>
                <c:ptCount val="5"/>
                <c:pt idx="0">
                  <c:v>0.23468111296894376</c:v>
                </c:pt>
                <c:pt idx="1">
                  <c:v>0</c:v>
                </c:pt>
                <c:pt idx="2">
                  <c:v>0.16916295630526751</c:v>
                </c:pt>
                <c:pt idx="3">
                  <c:v>0.57987598983470734</c:v>
                </c:pt>
                <c:pt idx="4">
                  <c:v>1.6279940891081354E-2</c:v>
                </c:pt>
              </c:numCache>
            </c:numRef>
          </c:val>
          <c:extLst>
            <c:ext xmlns:c16="http://schemas.microsoft.com/office/drawing/2014/chart" uri="{C3380CC4-5D6E-409C-BE32-E72D297353CC}">
              <c16:uniqueId val="{0000000A-6FCA-4BD2-8C97-AC003C0FC1F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FuelProd3!$AG$168:$AG$175</c:f>
              <c:numCache>
                <c:formatCode>0.00%</c:formatCode>
                <c:ptCount val="8"/>
                <c:pt idx="0">
                  <c:v>2.5572639881152716E-3</c:v>
                </c:pt>
                <c:pt idx="1">
                  <c:v>5.6537637261151949E-2</c:v>
                </c:pt>
                <c:pt idx="2">
                  <c:v>0.11088246083882498</c:v>
                </c:pt>
                <c:pt idx="3">
                  <c:v>0.14249228597627303</c:v>
                </c:pt>
                <c:pt idx="4">
                  <c:v>0.18101061034896379</c:v>
                </c:pt>
                <c:pt idx="5">
                  <c:v>0.19995918177768549</c:v>
                </c:pt>
                <c:pt idx="6">
                  <c:v>0.16690939783332706</c:v>
                </c:pt>
                <c:pt idx="7">
                  <c:v>0.14220842596377362</c:v>
                </c:pt>
              </c:numCache>
            </c:numRef>
          </c:val>
          <c:extLst>
            <c:ext xmlns:c16="http://schemas.microsoft.com/office/drawing/2014/chart" uri="{C3380CC4-5D6E-409C-BE32-E72D297353CC}">
              <c16:uniqueId val="{00000000-2FEF-4A2D-9B9E-639E0CB5A33E}"/>
            </c:ext>
          </c:extLst>
        </c:ser>
        <c:ser>
          <c:idx val="1"/>
          <c:order val="1"/>
          <c:spPr>
            <a:solidFill>
              <a:schemeClr val="accent2"/>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FuelProd3!$AH$168:$AH$175</c:f>
              <c:numCache>
                <c:formatCode>0.00%</c:formatCode>
                <c:ptCount val="8"/>
                <c:pt idx="0">
                  <c:v>5.7581573896353135E-3</c:v>
                </c:pt>
                <c:pt idx="1">
                  <c:v>6.6218809980806148E-2</c:v>
                </c:pt>
                <c:pt idx="2">
                  <c:v>0.11228406909788875</c:v>
                </c:pt>
                <c:pt idx="3">
                  <c:v>0.13435700575815732</c:v>
                </c:pt>
                <c:pt idx="4">
                  <c:v>0.16986564299424189</c:v>
                </c:pt>
                <c:pt idx="5">
                  <c:v>0.18905950095969293</c:v>
                </c:pt>
                <c:pt idx="6">
                  <c:v>0.18138195777351243</c:v>
                </c:pt>
                <c:pt idx="7">
                  <c:v>0.14107485604606532</c:v>
                </c:pt>
              </c:numCache>
            </c:numRef>
          </c:val>
          <c:extLst>
            <c:ext xmlns:c16="http://schemas.microsoft.com/office/drawing/2014/chart" uri="{C3380CC4-5D6E-409C-BE32-E72D297353CC}">
              <c16:uniqueId val="{00000001-2FEF-4A2D-9B9E-639E0CB5A33E}"/>
            </c:ext>
          </c:extLst>
        </c:ser>
        <c:dLbls>
          <c:showLegendKey val="0"/>
          <c:showVal val="0"/>
          <c:showCatName val="0"/>
          <c:showSerName val="0"/>
          <c:showPercent val="0"/>
          <c:showBubbleSize val="0"/>
        </c:dLbls>
        <c:gapWidth val="219"/>
        <c:overlap val="-27"/>
        <c:axId val="1067059743"/>
        <c:axId val="1067060575"/>
      </c:barChart>
      <c:catAx>
        <c:axId val="106705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60575"/>
        <c:crosses val="autoZero"/>
        <c:auto val="1"/>
        <c:lblAlgn val="ctr"/>
        <c:lblOffset val="100"/>
        <c:noMultiLvlLbl val="0"/>
      </c:catAx>
      <c:valAx>
        <c:axId val="10670605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59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FuelProd3!$AG$167</c:f>
              <c:strCache>
                <c:ptCount val="1"/>
                <c:pt idx="0">
                  <c:v>LM Mass Flow</c:v>
                </c:pt>
              </c:strCache>
            </c:strRef>
          </c:tx>
          <c:spPr>
            <a:solidFill>
              <a:schemeClr val="accent1"/>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FuelProd3!$AG$168:$AG$175</c:f>
              <c:numCache>
                <c:formatCode>0.00%</c:formatCode>
                <c:ptCount val="8"/>
                <c:pt idx="0">
                  <c:v>2.5572639881152716E-3</c:v>
                </c:pt>
                <c:pt idx="1">
                  <c:v>5.6537637261151949E-2</c:v>
                </c:pt>
                <c:pt idx="2">
                  <c:v>0.11088246083882498</c:v>
                </c:pt>
                <c:pt idx="3">
                  <c:v>0.14249228597627303</c:v>
                </c:pt>
                <c:pt idx="4">
                  <c:v>0.18101061034896379</c:v>
                </c:pt>
                <c:pt idx="5">
                  <c:v>0.19995918177768549</c:v>
                </c:pt>
                <c:pt idx="6">
                  <c:v>0.16690939783332706</c:v>
                </c:pt>
                <c:pt idx="7">
                  <c:v>0.14220842596377362</c:v>
                </c:pt>
              </c:numCache>
            </c:numRef>
          </c:val>
          <c:extLst>
            <c:ext xmlns:c16="http://schemas.microsoft.com/office/drawing/2014/chart" uri="{C3380CC4-5D6E-409C-BE32-E72D297353CC}">
              <c16:uniqueId val="{00000000-5E18-445F-853F-4B5CA2E20F9A}"/>
            </c:ext>
          </c:extLst>
        </c:ser>
        <c:ser>
          <c:idx val="1"/>
          <c:order val="1"/>
          <c:tx>
            <c:strRef>
              <c:f>FuelProd3!$AH$167</c:f>
              <c:strCache>
                <c:ptCount val="1"/>
                <c:pt idx="0">
                  <c:v>Heynes et al. (HRJ)</c:v>
                </c:pt>
              </c:strCache>
            </c:strRef>
          </c:tx>
          <c:spPr>
            <a:solidFill>
              <a:schemeClr val="accent2"/>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FuelProd3!$AH$168:$AH$175</c:f>
              <c:numCache>
                <c:formatCode>0.00%</c:formatCode>
                <c:ptCount val="8"/>
                <c:pt idx="0">
                  <c:v>5.7581573896353135E-3</c:v>
                </c:pt>
                <c:pt idx="1">
                  <c:v>6.6218809980806148E-2</c:v>
                </c:pt>
                <c:pt idx="2">
                  <c:v>0.11228406909788875</c:v>
                </c:pt>
                <c:pt idx="3">
                  <c:v>0.13435700575815732</c:v>
                </c:pt>
                <c:pt idx="4">
                  <c:v>0.16986564299424189</c:v>
                </c:pt>
                <c:pt idx="5">
                  <c:v>0.18905950095969293</c:v>
                </c:pt>
                <c:pt idx="6">
                  <c:v>0.18138195777351243</c:v>
                </c:pt>
                <c:pt idx="7">
                  <c:v>0.14107485604606532</c:v>
                </c:pt>
              </c:numCache>
            </c:numRef>
          </c:val>
          <c:extLst>
            <c:ext xmlns:c16="http://schemas.microsoft.com/office/drawing/2014/chart" uri="{C3380CC4-5D6E-409C-BE32-E72D297353CC}">
              <c16:uniqueId val="{00000001-5E18-445F-853F-4B5CA2E20F9A}"/>
            </c:ext>
          </c:extLst>
        </c:ser>
        <c:ser>
          <c:idx val="2"/>
          <c:order val="2"/>
          <c:tx>
            <c:strRef>
              <c:f>FuelProd3!$AI$167</c:f>
              <c:strCache>
                <c:ptCount val="1"/>
                <c:pt idx="0">
                  <c:v>P. Vozka et al. (HEFA)</c:v>
                </c:pt>
              </c:strCache>
            </c:strRef>
          </c:tx>
          <c:spPr>
            <a:solidFill>
              <a:schemeClr val="accent3"/>
            </a:solidFill>
            <a:ln>
              <a:noFill/>
            </a:ln>
            <a:effectLst/>
          </c:spPr>
          <c:invertIfNegative val="0"/>
          <c:cat>
            <c:strRef>
              <c:f>FuelProd3!$AF$168:$AF$175</c:f>
              <c:strCache>
                <c:ptCount val="8"/>
                <c:pt idx="0">
                  <c:v>n-16</c:v>
                </c:pt>
                <c:pt idx="1">
                  <c:v>n-15</c:v>
                </c:pt>
                <c:pt idx="2">
                  <c:v>n-14</c:v>
                </c:pt>
                <c:pt idx="3">
                  <c:v>n-13</c:v>
                </c:pt>
                <c:pt idx="4">
                  <c:v>n-12</c:v>
                </c:pt>
                <c:pt idx="5">
                  <c:v>n-11</c:v>
                </c:pt>
                <c:pt idx="6">
                  <c:v>n-10</c:v>
                </c:pt>
                <c:pt idx="7">
                  <c:v>n-9</c:v>
                </c:pt>
              </c:strCache>
            </c:strRef>
          </c:cat>
          <c:val>
            <c:numRef>
              <c:f>FuelProd3!$AI$168:$AI$175</c:f>
              <c:numCache>
                <c:formatCode>0.00%</c:formatCode>
                <c:ptCount val="8"/>
                <c:pt idx="0">
                  <c:v>3.3613445378151266E-2</c:v>
                </c:pt>
                <c:pt idx="1">
                  <c:v>3.8415366146458581E-2</c:v>
                </c:pt>
                <c:pt idx="2">
                  <c:v>0.10804321728691477</c:v>
                </c:pt>
                <c:pt idx="3">
                  <c:v>0.11284513805522209</c:v>
                </c:pt>
                <c:pt idx="4">
                  <c:v>0.148859543817527</c:v>
                </c:pt>
                <c:pt idx="5">
                  <c:v>0.16326530612244899</c:v>
                </c:pt>
                <c:pt idx="6">
                  <c:v>0.18487394957983194</c:v>
                </c:pt>
                <c:pt idx="7">
                  <c:v>0.21008403361344538</c:v>
                </c:pt>
              </c:numCache>
            </c:numRef>
          </c:val>
          <c:extLst>
            <c:ext xmlns:c16="http://schemas.microsoft.com/office/drawing/2014/chart" uri="{C3380CC4-5D6E-409C-BE32-E72D297353CC}">
              <c16:uniqueId val="{00000002-5E18-445F-853F-4B5CA2E20F9A}"/>
            </c:ext>
          </c:extLst>
        </c:ser>
        <c:dLbls>
          <c:showLegendKey val="0"/>
          <c:showVal val="0"/>
          <c:showCatName val="0"/>
          <c:showSerName val="0"/>
          <c:showPercent val="0"/>
          <c:showBubbleSize val="0"/>
        </c:dLbls>
        <c:gapWidth val="219"/>
        <c:overlap val="-27"/>
        <c:axId val="327680319"/>
        <c:axId val="327670751"/>
      </c:barChart>
      <c:catAx>
        <c:axId val="32768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670751"/>
        <c:crosses val="autoZero"/>
        <c:auto val="1"/>
        <c:lblAlgn val="ctr"/>
        <c:lblOffset val="100"/>
        <c:noMultiLvlLbl val="0"/>
      </c:catAx>
      <c:valAx>
        <c:axId val="327670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680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Relative proportions of n-alkanes in fuel (C9-C15)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FuelProd3!$AG$167</c:f>
              <c:strCache>
                <c:ptCount val="1"/>
                <c:pt idx="0">
                  <c:v>LM Mass Flow</c:v>
                </c:pt>
              </c:strCache>
            </c:strRef>
          </c:tx>
          <c:spPr>
            <a:solidFill>
              <a:schemeClr val="accent1"/>
            </a:solidFill>
            <a:ln>
              <a:noFill/>
            </a:ln>
            <a:effectLst/>
          </c:spPr>
          <c:invertIfNegative val="0"/>
          <c:cat>
            <c:strRef>
              <c:f>FuelProd3!$AF$169:$AF$175</c:f>
              <c:strCache>
                <c:ptCount val="7"/>
                <c:pt idx="0">
                  <c:v>n-15</c:v>
                </c:pt>
                <c:pt idx="1">
                  <c:v>n-14</c:v>
                </c:pt>
                <c:pt idx="2">
                  <c:v>n-13</c:v>
                </c:pt>
                <c:pt idx="3">
                  <c:v>n-12</c:v>
                </c:pt>
                <c:pt idx="4">
                  <c:v>n-11</c:v>
                </c:pt>
                <c:pt idx="5">
                  <c:v>n-10</c:v>
                </c:pt>
                <c:pt idx="6">
                  <c:v>n-9</c:v>
                </c:pt>
              </c:strCache>
            </c:strRef>
          </c:cat>
          <c:val>
            <c:numRef>
              <c:f>FuelProd3!$AG$169:$AG$175</c:f>
              <c:numCache>
                <c:formatCode>0.00%</c:formatCode>
                <c:ptCount val="7"/>
                <c:pt idx="0">
                  <c:v>5.6537637261151949E-2</c:v>
                </c:pt>
                <c:pt idx="1">
                  <c:v>0.11088246083882498</c:v>
                </c:pt>
                <c:pt idx="2">
                  <c:v>0.14249228597627303</c:v>
                </c:pt>
                <c:pt idx="3">
                  <c:v>0.18101061034896379</c:v>
                </c:pt>
                <c:pt idx="4">
                  <c:v>0.19995918177768549</c:v>
                </c:pt>
                <c:pt idx="5">
                  <c:v>0.16690939783332706</c:v>
                </c:pt>
                <c:pt idx="6">
                  <c:v>0.14220842596377362</c:v>
                </c:pt>
              </c:numCache>
            </c:numRef>
          </c:val>
          <c:extLst>
            <c:ext xmlns:c16="http://schemas.microsoft.com/office/drawing/2014/chart" uri="{C3380CC4-5D6E-409C-BE32-E72D297353CC}">
              <c16:uniqueId val="{00000000-DC23-49A0-A232-775D49F90D08}"/>
            </c:ext>
          </c:extLst>
        </c:ser>
        <c:ser>
          <c:idx val="1"/>
          <c:order val="1"/>
          <c:tx>
            <c:strRef>
              <c:f>FuelProd3!$AH$167</c:f>
              <c:strCache>
                <c:ptCount val="1"/>
                <c:pt idx="0">
                  <c:v>Heynes et al. (HRJ)</c:v>
                </c:pt>
              </c:strCache>
            </c:strRef>
          </c:tx>
          <c:spPr>
            <a:solidFill>
              <a:schemeClr val="accent2"/>
            </a:solidFill>
            <a:ln>
              <a:noFill/>
            </a:ln>
            <a:effectLst/>
          </c:spPr>
          <c:invertIfNegative val="0"/>
          <c:cat>
            <c:strRef>
              <c:f>FuelProd3!$AF$169:$AF$175</c:f>
              <c:strCache>
                <c:ptCount val="7"/>
                <c:pt idx="0">
                  <c:v>n-15</c:v>
                </c:pt>
                <c:pt idx="1">
                  <c:v>n-14</c:v>
                </c:pt>
                <c:pt idx="2">
                  <c:v>n-13</c:v>
                </c:pt>
                <c:pt idx="3">
                  <c:v>n-12</c:v>
                </c:pt>
                <c:pt idx="4">
                  <c:v>n-11</c:v>
                </c:pt>
                <c:pt idx="5">
                  <c:v>n-10</c:v>
                </c:pt>
                <c:pt idx="6">
                  <c:v>n-9</c:v>
                </c:pt>
              </c:strCache>
            </c:strRef>
          </c:cat>
          <c:val>
            <c:numRef>
              <c:f>FuelProd3!$AH$169:$AH$175</c:f>
              <c:numCache>
                <c:formatCode>0.00%</c:formatCode>
                <c:ptCount val="7"/>
                <c:pt idx="0">
                  <c:v>6.6218809980806148E-2</c:v>
                </c:pt>
                <c:pt idx="1">
                  <c:v>0.11228406909788875</c:v>
                </c:pt>
                <c:pt idx="2">
                  <c:v>0.13435700575815732</c:v>
                </c:pt>
                <c:pt idx="3">
                  <c:v>0.16986564299424189</c:v>
                </c:pt>
                <c:pt idx="4">
                  <c:v>0.18905950095969293</c:v>
                </c:pt>
                <c:pt idx="5">
                  <c:v>0.18138195777351243</c:v>
                </c:pt>
                <c:pt idx="6">
                  <c:v>0.14107485604606532</c:v>
                </c:pt>
              </c:numCache>
            </c:numRef>
          </c:val>
          <c:extLst>
            <c:ext xmlns:c16="http://schemas.microsoft.com/office/drawing/2014/chart" uri="{C3380CC4-5D6E-409C-BE32-E72D297353CC}">
              <c16:uniqueId val="{00000001-DC23-49A0-A232-775D49F90D08}"/>
            </c:ext>
          </c:extLst>
        </c:ser>
        <c:dLbls>
          <c:showLegendKey val="0"/>
          <c:showVal val="0"/>
          <c:showCatName val="0"/>
          <c:showSerName val="0"/>
          <c:showPercent val="0"/>
          <c:showBubbleSize val="0"/>
        </c:dLbls>
        <c:gapWidth val="219"/>
        <c:overlap val="-27"/>
        <c:axId val="747853504"/>
        <c:axId val="747857664"/>
      </c:barChart>
      <c:catAx>
        <c:axId val="74785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857664"/>
        <c:crosses val="autoZero"/>
        <c:auto val="1"/>
        <c:lblAlgn val="ctr"/>
        <c:lblOffset val="100"/>
        <c:noMultiLvlLbl val="0"/>
      </c:catAx>
      <c:valAx>
        <c:axId val="747857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85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FuelProd4!$AE$23</c:f>
              <c:strCache>
                <c:ptCount val="1"/>
                <c:pt idx="0">
                  <c:v>gCO2e/MJ</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FuelProd4!$AD$24:$AD$28</c:f>
              <c:strCache>
                <c:ptCount val="5"/>
                <c:pt idx="0">
                  <c:v>GREET 2022</c:v>
                </c:pt>
                <c:pt idx="1">
                  <c:v>GHGenius 5.01g</c:v>
                </c:pt>
                <c:pt idx="2">
                  <c:v>BioGrace 4d</c:v>
                </c:pt>
                <c:pt idx="3">
                  <c:v>CORSIA</c:v>
                </c:pt>
                <c:pt idx="4">
                  <c:v>RED I</c:v>
                </c:pt>
              </c:strCache>
            </c:strRef>
          </c:cat>
          <c:val>
            <c:numRef>
              <c:f>FuelProd4!$AE$24:$AE$28</c:f>
              <c:numCache>
                <c:formatCode>General</c:formatCode>
                <c:ptCount val="5"/>
                <c:pt idx="0">
                  <c:v>42.1</c:v>
                </c:pt>
                <c:pt idx="1">
                  <c:v>16.8</c:v>
                </c:pt>
                <c:pt idx="2">
                  <c:v>44.2</c:v>
                </c:pt>
                <c:pt idx="3">
                  <c:v>47.4</c:v>
                </c:pt>
                <c:pt idx="4">
                  <c:v>44</c:v>
                </c:pt>
              </c:numCache>
            </c:numRef>
          </c:val>
          <c:extLst>
            <c:ext xmlns:c16="http://schemas.microsoft.com/office/drawing/2014/chart" uri="{C3380CC4-5D6E-409C-BE32-E72D297353CC}">
              <c16:uniqueId val="{00000000-9669-479A-846C-49C8047583E1}"/>
            </c:ext>
          </c:extLst>
        </c:ser>
        <c:dLbls>
          <c:showLegendKey val="0"/>
          <c:showVal val="0"/>
          <c:showCatName val="0"/>
          <c:showSerName val="0"/>
          <c:showPercent val="0"/>
          <c:showBubbleSize val="0"/>
        </c:dLbls>
        <c:gapWidth val="219"/>
        <c:overlap val="-27"/>
        <c:axId val="419767999"/>
        <c:axId val="419771743"/>
      </c:barChart>
      <c:catAx>
        <c:axId val="4197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19771743"/>
        <c:crosses val="autoZero"/>
        <c:auto val="1"/>
        <c:lblAlgn val="ctr"/>
        <c:lblOffset val="100"/>
        <c:noMultiLvlLbl val="0"/>
      </c:catAx>
      <c:valAx>
        <c:axId val="419771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E" sz="1400" b="0" i="0" baseline="0">
                    <a:effectLst/>
                  </a:rPr>
                  <a:t>LCA GHG value (gCO2e/MJ)</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1976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sz="1400" b="0" i="0" baseline="0">
                <a:effectLst/>
              </a:rPr>
              <a:t>Total Embodied SAF GHG Emissions for Ryanair Scenario 1 (gCO</a:t>
            </a:r>
            <a:r>
              <a:rPr lang="en-IE" sz="1400" b="0" i="0" baseline="-25000">
                <a:effectLst/>
              </a:rPr>
              <a:t>2</a:t>
            </a:r>
            <a:r>
              <a:rPr lang="en-IE" sz="1400" b="0" i="0" baseline="0">
                <a:effectLst/>
              </a:rPr>
              <a:t>e/MJ)</a:t>
            </a:r>
          </a:p>
          <a:p>
            <a:pPr>
              <a:defRPr/>
            </a:pPr>
            <a:endParaRPr lang="en-IE"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1"/>
          <c:order val="0"/>
          <c:tx>
            <c:strRef>
              <c:f>FuelProd4!$AI$110</c:f>
              <c:strCache>
                <c:ptCount val="1"/>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FuelProd4!$AJ$109:$AN$109</c:f>
              <c:strCache>
                <c:ptCount val="5"/>
                <c:pt idx="0">
                  <c:v>Default TCD Parameters</c:v>
                </c:pt>
                <c:pt idx="1">
                  <c:v>Energy Co-product allocation </c:v>
                </c:pt>
                <c:pt idx="2">
                  <c:v>TCD China</c:v>
                </c:pt>
                <c:pt idx="3">
                  <c:v>TCD China best case scenario</c:v>
                </c:pt>
                <c:pt idx="4">
                  <c:v>Neste China</c:v>
                </c:pt>
              </c:strCache>
            </c:strRef>
          </c:cat>
          <c:val>
            <c:numRef>
              <c:f>FuelProd4!$AJ$110:$AN$110</c:f>
              <c:numCache>
                <c:formatCode>General</c:formatCode>
                <c:ptCount val="5"/>
              </c:numCache>
            </c:numRef>
          </c:val>
          <c:extLst>
            <c:ext xmlns:c16="http://schemas.microsoft.com/office/drawing/2014/chart" uri="{C3380CC4-5D6E-409C-BE32-E72D297353CC}">
              <c16:uniqueId val="{00000000-CA8F-4209-80A9-C91850D6C592}"/>
            </c:ext>
          </c:extLst>
        </c:ser>
        <c:ser>
          <c:idx val="0"/>
          <c:order val="1"/>
          <c:tx>
            <c:strRef>
              <c:f>FuelProd4!$AI$111</c:f>
              <c:strCache>
                <c:ptCount val="1"/>
                <c:pt idx="0">
                  <c:v>Feedstock Fishbone</c:v>
                </c:pt>
              </c:strCache>
            </c:strRef>
          </c:tx>
          <c:spPr>
            <a:solidFill>
              <a:srgbClr val="5B9BD5">
                <a:lumMod val="40000"/>
                <a:lumOff val="6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FuelProd4!$AJ$109:$AN$109</c:f>
              <c:strCache>
                <c:ptCount val="5"/>
                <c:pt idx="0">
                  <c:v>Default TCD Parameters</c:v>
                </c:pt>
                <c:pt idx="1">
                  <c:v>Energy Co-product allocation </c:v>
                </c:pt>
                <c:pt idx="2">
                  <c:v>TCD China</c:v>
                </c:pt>
                <c:pt idx="3">
                  <c:v>TCD China best case scenario</c:v>
                </c:pt>
                <c:pt idx="4">
                  <c:v>Neste China</c:v>
                </c:pt>
              </c:strCache>
            </c:strRef>
          </c:cat>
          <c:val>
            <c:numRef>
              <c:f>FuelProd4!$AJ$111:$AN$111</c:f>
              <c:numCache>
                <c:formatCode>General</c:formatCode>
                <c:ptCount val="5"/>
                <c:pt idx="0">
                  <c:v>0.14000000000000001</c:v>
                </c:pt>
                <c:pt idx="1">
                  <c:v>0.14000000000000001</c:v>
                </c:pt>
                <c:pt idx="2">
                  <c:v>2.62</c:v>
                </c:pt>
                <c:pt idx="3">
                  <c:v>2.62</c:v>
                </c:pt>
              </c:numCache>
            </c:numRef>
          </c:val>
          <c:extLst>
            <c:ext xmlns:c16="http://schemas.microsoft.com/office/drawing/2014/chart" uri="{C3380CC4-5D6E-409C-BE32-E72D297353CC}">
              <c16:uniqueId val="{00000001-CA8F-4209-80A9-C91850D6C592}"/>
            </c:ext>
          </c:extLst>
        </c:ser>
        <c:ser>
          <c:idx val="2"/>
          <c:order val="2"/>
          <c:tx>
            <c:strRef>
              <c:f>FuelProd4!$AI$112</c:f>
              <c:strCache>
                <c:ptCount val="1"/>
                <c:pt idx="0">
                  <c:v>Fuel Production Fishbone</c:v>
                </c:pt>
              </c:strCache>
            </c:strRef>
          </c:tx>
          <c:spPr>
            <a:solidFill>
              <a:srgbClr val="ED7D31"/>
            </a:solidFill>
            <a:ln>
              <a:noFill/>
            </a:ln>
            <a:effectLst/>
          </c:spPr>
          <c:invertIfNegative val="0"/>
          <c:dLbls>
            <c:dLbl>
              <c:idx val="0"/>
              <c:layout>
                <c:manualLayout>
                  <c:x val="-2.7438859923921239E-3"/>
                  <c:y val="-3.3728212986763075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8F-4209-80A9-C91850D6C592}"/>
                </c:ext>
              </c:extLst>
            </c:dLbl>
            <c:dLbl>
              <c:idx val="1"/>
              <c:layout>
                <c:manualLayout>
                  <c:x val="-6.199161350290393E-3"/>
                  <c:y val="2.8972314346133977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A8F-4209-80A9-C91850D6C592}"/>
                </c:ext>
              </c:extLst>
            </c:dLbl>
            <c:dLbl>
              <c:idx val="2"/>
              <c:layout>
                <c:manualLayout>
                  <c:x val="-1.8045286711212451E-2"/>
                  <c:y val="6.7456425973526149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8F-4209-80A9-C91850D6C592}"/>
                </c:ext>
              </c:extLst>
            </c:dLbl>
            <c:dLbl>
              <c:idx val="3"/>
              <c:layout>
                <c:manualLayout>
                  <c:x val="-2.0357768531996119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A8F-4209-80A9-C91850D6C5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FuelProd4!$AJ$109:$AN$109</c:f>
              <c:strCache>
                <c:ptCount val="5"/>
                <c:pt idx="0">
                  <c:v>Default TCD Parameters</c:v>
                </c:pt>
                <c:pt idx="1">
                  <c:v>Energy Co-product allocation </c:v>
                </c:pt>
                <c:pt idx="2">
                  <c:v>TCD China</c:v>
                </c:pt>
                <c:pt idx="3">
                  <c:v>TCD China best case scenario</c:v>
                </c:pt>
                <c:pt idx="4">
                  <c:v>Neste China</c:v>
                </c:pt>
              </c:strCache>
            </c:strRef>
          </c:cat>
          <c:val>
            <c:numRef>
              <c:f>FuelProd4!$AJ$112:$AN$112</c:f>
              <c:numCache>
                <c:formatCode>General</c:formatCode>
                <c:ptCount val="5"/>
                <c:pt idx="0">
                  <c:v>16.38</c:v>
                </c:pt>
                <c:pt idx="1">
                  <c:v>10.59</c:v>
                </c:pt>
                <c:pt idx="2">
                  <c:v>10.59</c:v>
                </c:pt>
                <c:pt idx="3">
                  <c:v>6.99</c:v>
                </c:pt>
              </c:numCache>
            </c:numRef>
          </c:val>
          <c:extLst>
            <c:ext xmlns:c16="http://schemas.microsoft.com/office/drawing/2014/chart" uri="{C3380CC4-5D6E-409C-BE32-E72D297353CC}">
              <c16:uniqueId val="{00000006-CA8F-4209-80A9-C91850D6C592}"/>
            </c:ext>
          </c:extLst>
        </c:ser>
        <c:ser>
          <c:idx val="3"/>
          <c:order val="3"/>
          <c:tx>
            <c:strRef>
              <c:f>FuelProd4!$AI$113</c:f>
              <c:strCache>
                <c:ptCount val="1"/>
                <c:pt idx="0">
                  <c:v>Airport Fishbone</c:v>
                </c:pt>
              </c:strCache>
            </c:strRef>
          </c:tx>
          <c:spPr>
            <a:solidFill>
              <a:srgbClr val="FF0000"/>
            </a:solidFill>
            <a:ln>
              <a:noFill/>
            </a:ln>
            <a:effectLst/>
          </c:spPr>
          <c:invertIfNegative val="0"/>
          <c:dLbls>
            <c:dLbl>
              <c:idx val="0"/>
              <c:layout>
                <c:manualLayout>
                  <c:x val="2.8407537182764415E-2"/>
                  <c:y val="-3.3728212986763075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A8F-4209-80A9-C91850D6C592}"/>
                </c:ext>
              </c:extLst>
            </c:dLbl>
            <c:dLbl>
              <c:idx val="1"/>
              <c:layout>
                <c:manualLayout>
                  <c:x val="2.6433182955944001E-2"/>
                  <c:y val="6.7456425973526149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A8F-4209-80A9-C91850D6C592}"/>
                </c:ext>
              </c:extLst>
            </c:dLbl>
            <c:dLbl>
              <c:idx val="2"/>
              <c:layout>
                <c:manualLayout>
                  <c:x val="2.6433182955944073E-2"/>
                  <c:y val="6.7456425973526149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A8F-4209-80A9-C91850D6C592}"/>
                </c:ext>
              </c:extLst>
            </c:dLbl>
            <c:dLbl>
              <c:idx val="3"/>
              <c:layout>
                <c:manualLayout>
                  <c:x val="2.6433027494981259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A8F-4209-80A9-C91850D6C5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FuelProd4!$AJ$109:$AN$109</c:f>
              <c:strCache>
                <c:ptCount val="5"/>
                <c:pt idx="0">
                  <c:v>Default TCD Parameters</c:v>
                </c:pt>
                <c:pt idx="1">
                  <c:v>Energy Co-product allocation </c:v>
                </c:pt>
                <c:pt idx="2">
                  <c:v>TCD China</c:v>
                </c:pt>
                <c:pt idx="3">
                  <c:v>TCD China best case scenario</c:v>
                </c:pt>
                <c:pt idx="4">
                  <c:v>Neste China</c:v>
                </c:pt>
              </c:strCache>
            </c:strRef>
          </c:cat>
          <c:val>
            <c:numRef>
              <c:f>FuelProd4!$AJ$113:$AN$113</c:f>
              <c:numCache>
                <c:formatCode>General</c:formatCode>
                <c:ptCount val="5"/>
                <c:pt idx="0">
                  <c:v>0.39</c:v>
                </c:pt>
                <c:pt idx="1">
                  <c:v>0.39</c:v>
                </c:pt>
                <c:pt idx="2">
                  <c:v>0.39</c:v>
                </c:pt>
                <c:pt idx="3">
                  <c:v>0.39</c:v>
                </c:pt>
              </c:numCache>
            </c:numRef>
          </c:val>
          <c:extLst>
            <c:ext xmlns:c16="http://schemas.microsoft.com/office/drawing/2014/chart" uri="{C3380CC4-5D6E-409C-BE32-E72D297353CC}">
              <c16:uniqueId val="{0000000B-CA8F-4209-80A9-C91850D6C592}"/>
            </c:ext>
          </c:extLst>
        </c:ser>
        <c:ser>
          <c:idx val="4"/>
          <c:order val="4"/>
          <c:tx>
            <c:strRef>
              <c:f>FuelProd4!$AI$114</c:f>
              <c:strCache>
                <c:ptCount val="1"/>
                <c:pt idx="0">
                  <c:v>Total </c:v>
                </c:pt>
              </c:strCache>
            </c:strRef>
          </c:tx>
          <c:spPr>
            <a:solidFill>
              <a:schemeClr val="accent5"/>
            </a:solidFill>
            <a:ln>
              <a:noFill/>
            </a:ln>
            <a:effectLst/>
          </c:spPr>
          <c:invertIfNegative val="0"/>
          <c:dPt>
            <c:idx val="0"/>
            <c:invertIfNegative val="0"/>
            <c:bubble3D val="0"/>
            <c:spPr>
              <a:solidFill>
                <a:sysClr val="window" lastClr="FFFFFF"/>
              </a:solidFill>
              <a:ln>
                <a:noFill/>
              </a:ln>
              <a:effectLst/>
            </c:spPr>
            <c:extLst>
              <c:ext xmlns:c16="http://schemas.microsoft.com/office/drawing/2014/chart" uri="{C3380CC4-5D6E-409C-BE32-E72D297353CC}">
                <c16:uniqueId val="{0000000D-CA8F-4209-80A9-C91850D6C592}"/>
              </c:ext>
            </c:extLst>
          </c:dPt>
          <c:dPt>
            <c:idx val="1"/>
            <c:invertIfNegative val="0"/>
            <c:bubble3D val="0"/>
            <c:spPr>
              <a:solidFill>
                <a:sysClr val="window" lastClr="FFFFFF"/>
              </a:solidFill>
              <a:ln>
                <a:noFill/>
              </a:ln>
              <a:effectLst/>
            </c:spPr>
            <c:extLst>
              <c:ext xmlns:c16="http://schemas.microsoft.com/office/drawing/2014/chart" uri="{C3380CC4-5D6E-409C-BE32-E72D297353CC}">
                <c16:uniqueId val="{0000000F-CA8F-4209-80A9-C91850D6C592}"/>
              </c:ext>
            </c:extLst>
          </c:dPt>
          <c:dPt>
            <c:idx val="2"/>
            <c:invertIfNegative val="0"/>
            <c:bubble3D val="0"/>
            <c:spPr>
              <a:solidFill>
                <a:sysClr val="window" lastClr="FFFFFF"/>
              </a:solidFill>
              <a:ln>
                <a:noFill/>
              </a:ln>
              <a:effectLst/>
            </c:spPr>
            <c:extLst>
              <c:ext xmlns:c16="http://schemas.microsoft.com/office/drawing/2014/chart" uri="{C3380CC4-5D6E-409C-BE32-E72D297353CC}">
                <c16:uniqueId val="{00000011-CA8F-4209-80A9-C91850D6C592}"/>
              </c:ext>
            </c:extLst>
          </c:dPt>
          <c:dPt>
            <c:idx val="3"/>
            <c:invertIfNegative val="0"/>
            <c:bubble3D val="0"/>
            <c:spPr>
              <a:solidFill>
                <a:sysClr val="window" lastClr="FFFFFF"/>
              </a:solidFill>
              <a:ln>
                <a:noFill/>
              </a:ln>
              <a:effectLst/>
            </c:spPr>
            <c:extLst>
              <c:ext xmlns:c16="http://schemas.microsoft.com/office/drawing/2014/chart" uri="{C3380CC4-5D6E-409C-BE32-E72D297353CC}">
                <c16:uniqueId val="{00000013-CA8F-4209-80A9-C91850D6C592}"/>
              </c:ext>
            </c:extLst>
          </c:dPt>
          <c:dLbls>
            <c:dLbl>
              <c:idx val="0"/>
              <c:layout>
                <c:manualLayout>
                  <c:x val="-3.6785639386843309E-2"/>
                  <c:y val="2.8972314349506799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A8F-4209-80A9-C91850D6C592}"/>
                </c:ext>
              </c:extLst>
            </c:dLbl>
            <c:dLbl>
              <c:idx val="1"/>
              <c:layout>
                <c:manualLayout>
                  <c:x val="-0.12046359080933444"/>
                  <c:y val="2.8972314346133977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A8F-4209-80A9-C91850D6C592}"/>
                </c:ext>
              </c:extLst>
            </c:dLbl>
            <c:dLbl>
              <c:idx val="2"/>
              <c:layout>
                <c:manualLayout>
                  <c:x val="-0.15075173925838592"/>
                  <c:y val="2.8972314352879621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A8F-4209-80A9-C91850D6C592}"/>
                </c:ext>
              </c:extLst>
            </c:dLbl>
            <c:dLbl>
              <c:idx val="3"/>
              <c:layout>
                <c:manualLayout>
                  <c:x val="-0.11137067909856893"/>
                  <c:y val="-3.67919419881568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CA8F-4209-80A9-C91850D6C592}"/>
                </c:ext>
              </c:extLst>
            </c:dLbl>
            <c:dLbl>
              <c:idx val="4"/>
              <c:layout>
                <c:manualLayout>
                  <c:x val="0.231518684153537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A8F-4209-80A9-C91850D6C59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FuelProd4!$AJ$109:$AN$109</c:f>
              <c:strCache>
                <c:ptCount val="5"/>
                <c:pt idx="0">
                  <c:v>Default TCD Parameters</c:v>
                </c:pt>
                <c:pt idx="1">
                  <c:v>Energy Co-product allocation </c:v>
                </c:pt>
                <c:pt idx="2">
                  <c:v>TCD China</c:v>
                </c:pt>
                <c:pt idx="3">
                  <c:v>TCD China best case scenario</c:v>
                </c:pt>
                <c:pt idx="4">
                  <c:v>Neste China</c:v>
                </c:pt>
              </c:strCache>
            </c:strRef>
          </c:cat>
          <c:val>
            <c:numRef>
              <c:f>FuelProd4!$AJ$114:$AN$114</c:f>
              <c:numCache>
                <c:formatCode>General</c:formatCode>
                <c:ptCount val="5"/>
                <c:pt idx="0">
                  <c:v>16.91</c:v>
                </c:pt>
                <c:pt idx="1">
                  <c:v>11.120000000000001</c:v>
                </c:pt>
                <c:pt idx="2">
                  <c:v>13.600000000000001</c:v>
                </c:pt>
                <c:pt idx="3">
                  <c:v>10</c:v>
                </c:pt>
                <c:pt idx="4">
                  <c:v>10.220000000000001</c:v>
                </c:pt>
              </c:numCache>
            </c:numRef>
          </c:val>
          <c:extLst>
            <c:ext xmlns:c16="http://schemas.microsoft.com/office/drawing/2014/chart" uri="{C3380CC4-5D6E-409C-BE32-E72D297353CC}">
              <c16:uniqueId val="{00000015-CA8F-4209-80A9-C91850D6C592}"/>
            </c:ext>
          </c:extLst>
        </c:ser>
        <c:dLbls>
          <c:dLblPos val="inBase"/>
          <c:showLegendKey val="0"/>
          <c:showVal val="1"/>
          <c:showCatName val="0"/>
          <c:showSerName val="0"/>
          <c:showPercent val="0"/>
          <c:showBubbleSize val="0"/>
        </c:dLbls>
        <c:gapWidth val="150"/>
        <c:overlap val="100"/>
        <c:axId val="1069985311"/>
        <c:axId val="1069990303"/>
        <c:extLst/>
      </c:barChart>
      <c:catAx>
        <c:axId val="10699853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990303"/>
        <c:crosses val="autoZero"/>
        <c:auto val="1"/>
        <c:lblAlgn val="ctr"/>
        <c:lblOffset val="100"/>
        <c:noMultiLvlLbl val="0"/>
      </c:catAx>
      <c:valAx>
        <c:axId val="1069990303"/>
        <c:scaling>
          <c:orientation val="minMax"/>
          <c:max val="2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985311"/>
        <c:crosses val="autoZero"/>
        <c:crossBetween val="between"/>
      </c:valAx>
      <c:spPr>
        <a:noFill/>
        <a:ln>
          <a:noFill/>
        </a:ln>
        <a:effectLst/>
      </c:spPr>
    </c:plotArea>
    <c:legend>
      <c:legendPos val="b"/>
      <c:legendEntry>
        <c:idx val="0"/>
        <c:delete val="1"/>
      </c:legendEntry>
      <c:legendEntry>
        <c:idx val="4"/>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FuelProd4!$AJ$100</c:f>
              <c:strCache>
                <c:ptCount val="1"/>
                <c:pt idx="0">
                  <c:v>Full Production Emissions</c:v>
                </c:pt>
              </c:strCache>
            </c:strRef>
          </c:tx>
          <c:spPr>
            <a:solidFill>
              <a:schemeClr val="accent1"/>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1-3ABE-4C43-BAB9-90FF8B62C8B1}"/>
              </c:ext>
            </c:extLst>
          </c:dPt>
          <c:dLbls>
            <c:dLbl>
              <c:idx val="1"/>
              <c:layout>
                <c:manualLayout>
                  <c:x val="-5.0125306688597561E-3"/>
                  <c:y val="6.562192082716413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BE-4C43-BAB9-90FF8B62C8B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FuelProd4!$AI$101:$AI$106</c:f>
              <c:strCache>
                <c:ptCount val="6"/>
                <c:pt idx="0">
                  <c:v>TCD</c:v>
                </c:pt>
                <c:pt idx="1">
                  <c:v>Neste</c:v>
                </c:pt>
                <c:pt idx="2">
                  <c:v>CORSIA</c:v>
                </c:pt>
                <c:pt idx="3">
                  <c:v>De Jong</c:v>
                </c:pt>
                <c:pt idx="4">
                  <c:v>GREET</c:v>
                </c:pt>
                <c:pt idx="5">
                  <c:v>GHGenius</c:v>
                </c:pt>
              </c:strCache>
            </c:strRef>
          </c:cat>
          <c:val>
            <c:numRef>
              <c:f>FuelProd4!$AJ$101:$AJ$106</c:f>
              <c:numCache>
                <c:formatCode>0.00</c:formatCode>
                <c:ptCount val="6"/>
                <c:pt idx="0">
                  <c:v>16.38</c:v>
                </c:pt>
                <c:pt idx="1">
                  <c:v>7.51</c:v>
                </c:pt>
              </c:numCache>
            </c:numRef>
          </c:val>
          <c:extLst>
            <c:ext xmlns:c16="http://schemas.microsoft.com/office/drawing/2014/chart" uri="{C3380CC4-5D6E-409C-BE32-E72D297353CC}">
              <c16:uniqueId val="{00000002-3ABE-4C43-BAB9-90FF8B62C8B1}"/>
            </c:ext>
          </c:extLst>
        </c:ser>
        <c:ser>
          <c:idx val="1"/>
          <c:order val="1"/>
          <c:tx>
            <c:strRef>
              <c:f>FuelProd4!$AK$100</c:f>
              <c:strCache>
                <c:ptCount val="1"/>
                <c:pt idx="0">
                  <c:v>Energy Based Allocation</c:v>
                </c:pt>
              </c:strCache>
            </c:strRef>
          </c:tx>
          <c:spPr>
            <a:solidFill>
              <a:schemeClr val="accent2"/>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4-3ABE-4C43-BAB9-90FF8B62C8B1}"/>
              </c:ext>
            </c:extLst>
          </c:dPt>
          <c:dLbls>
            <c:dLbl>
              <c:idx val="0"/>
              <c:layout>
                <c:manualLayout>
                  <c:x val="4.3846379319055374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ABE-4C43-BAB9-90FF8B62C8B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FuelProd4!$AI$101:$AI$106</c:f>
              <c:strCache>
                <c:ptCount val="6"/>
                <c:pt idx="0">
                  <c:v>TCD</c:v>
                </c:pt>
                <c:pt idx="1">
                  <c:v>Neste</c:v>
                </c:pt>
                <c:pt idx="2">
                  <c:v>CORSIA</c:v>
                </c:pt>
                <c:pt idx="3">
                  <c:v>De Jong</c:v>
                </c:pt>
                <c:pt idx="4">
                  <c:v>GREET</c:v>
                </c:pt>
                <c:pt idx="5">
                  <c:v>GHGenius</c:v>
                </c:pt>
              </c:strCache>
            </c:strRef>
          </c:cat>
          <c:val>
            <c:numRef>
              <c:f>FuelProd4!$AK$101:$AK$106</c:f>
              <c:numCache>
                <c:formatCode>0.00</c:formatCode>
                <c:ptCount val="6"/>
                <c:pt idx="0">
                  <c:v>10.59</c:v>
                </c:pt>
                <c:pt idx="1">
                  <c:v>11.08</c:v>
                </c:pt>
                <c:pt idx="2">
                  <c:v>10.5</c:v>
                </c:pt>
                <c:pt idx="3">
                  <c:v>12.89</c:v>
                </c:pt>
                <c:pt idx="4">
                  <c:v>15.26</c:v>
                </c:pt>
                <c:pt idx="5">
                  <c:v>15.66</c:v>
                </c:pt>
              </c:numCache>
            </c:numRef>
          </c:val>
          <c:extLst>
            <c:ext xmlns:c16="http://schemas.microsoft.com/office/drawing/2014/chart" uri="{C3380CC4-5D6E-409C-BE32-E72D297353CC}">
              <c16:uniqueId val="{00000006-3ABE-4C43-BAB9-90FF8B62C8B1}"/>
            </c:ext>
          </c:extLst>
        </c:ser>
        <c:ser>
          <c:idx val="2"/>
          <c:order val="2"/>
          <c:tx>
            <c:strRef>
              <c:f>FuelProd4!$AL$100</c:f>
              <c:strCache>
                <c:ptCount val="1"/>
                <c:pt idx="0">
                  <c:v>Mass Based Allocation</c:v>
                </c:pt>
              </c:strCache>
            </c:strRef>
          </c:tx>
          <c:spPr>
            <a:solidFill>
              <a:schemeClr val="accent3"/>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8-3ABE-4C43-BAB9-90FF8B62C8B1}"/>
              </c:ext>
            </c:extLst>
          </c:dPt>
          <c:dLbls>
            <c:dLbl>
              <c:idx val="0"/>
              <c:layout>
                <c:manualLayout>
                  <c:x val="1.0025061337719451E-2"/>
                  <c:y val="-4.17658992430234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ABE-4C43-BAB9-90FF8B62C8B1}"/>
                </c:ext>
              </c:extLst>
            </c:dLbl>
            <c:dLbl>
              <c:idx val="1"/>
              <c:layout>
                <c:manualLayout>
                  <c:x val="5.8461839092073297E-3"/>
                  <c:y val="-5.542153711061130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ABE-4C43-BAB9-90FF8B62C8B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FuelProd4!$AI$101:$AI$106</c:f>
              <c:strCache>
                <c:ptCount val="6"/>
                <c:pt idx="0">
                  <c:v>TCD</c:v>
                </c:pt>
                <c:pt idx="1">
                  <c:v>Neste</c:v>
                </c:pt>
                <c:pt idx="2">
                  <c:v>CORSIA</c:v>
                </c:pt>
                <c:pt idx="3">
                  <c:v>De Jong</c:v>
                </c:pt>
                <c:pt idx="4">
                  <c:v>GREET</c:v>
                </c:pt>
                <c:pt idx="5">
                  <c:v>GHGenius</c:v>
                </c:pt>
              </c:strCache>
            </c:strRef>
          </c:cat>
          <c:val>
            <c:numRef>
              <c:f>FuelProd4!$AL$101:$AL$106</c:f>
              <c:numCache>
                <c:formatCode>0.00</c:formatCode>
                <c:ptCount val="6"/>
                <c:pt idx="0">
                  <c:v>10.7</c:v>
                </c:pt>
                <c:pt idx="1">
                  <c:v>10.220000000000001</c:v>
                </c:pt>
              </c:numCache>
            </c:numRef>
          </c:val>
          <c:extLst>
            <c:ext xmlns:c16="http://schemas.microsoft.com/office/drawing/2014/chart" uri="{C3380CC4-5D6E-409C-BE32-E72D297353CC}">
              <c16:uniqueId val="{0000000A-3ABE-4C43-BAB9-90FF8B62C8B1}"/>
            </c:ext>
          </c:extLst>
        </c:ser>
        <c:ser>
          <c:idx val="3"/>
          <c:order val="3"/>
          <c:tx>
            <c:strRef>
              <c:f>FuelProd4!$AM$100</c:f>
              <c:strCache>
                <c:ptCount val="1"/>
                <c:pt idx="0">
                  <c:v>Complete LCA</c:v>
                </c:pt>
              </c:strCache>
            </c:strRef>
          </c:tx>
          <c:spPr>
            <a:solidFill>
              <a:srgbClr val="FF0000"/>
            </a:solidFill>
            <a:ln>
              <a:noFill/>
            </a:ln>
            <a:effectLst/>
          </c:spPr>
          <c:invertIfNegative val="0"/>
          <c:dPt>
            <c:idx val="0"/>
            <c:invertIfNegative val="0"/>
            <c:bubble3D val="0"/>
            <c:spPr>
              <a:solidFill>
                <a:srgbClr val="70AD47"/>
              </a:solidFill>
              <a:ln>
                <a:noFill/>
              </a:ln>
              <a:effectLst/>
            </c:spPr>
            <c:extLst>
              <c:ext xmlns:c16="http://schemas.microsoft.com/office/drawing/2014/chart" uri="{C3380CC4-5D6E-409C-BE32-E72D297353CC}">
                <c16:uniqueId val="{0000000C-3ABE-4C43-BAB9-90FF8B62C8B1}"/>
              </c:ext>
            </c:extLst>
          </c:dPt>
          <c:dPt>
            <c:idx val="1"/>
            <c:invertIfNegative val="0"/>
            <c:bubble3D val="0"/>
            <c:spPr>
              <a:solidFill>
                <a:srgbClr val="FFC000"/>
              </a:solidFill>
              <a:ln>
                <a:noFill/>
              </a:ln>
              <a:effectLst/>
            </c:spPr>
            <c:extLst>
              <c:ext xmlns:c16="http://schemas.microsoft.com/office/drawing/2014/chart" uri="{C3380CC4-5D6E-409C-BE32-E72D297353CC}">
                <c16:uniqueId val="{0000000E-3ABE-4C43-BAB9-90FF8B62C8B1}"/>
              </c:ext>
            </c:extLst>
          </c:dPt>
          <c:dLbls>
            <c:dLbl>
              <c:idx val="0"/>
              <c:layout>
                <c:manualLayout>
                  <c:x val="0"/>
                  <c:y val="-1.07382565468135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ABE-4C43-BAB9-90FF8B62C8B1}"/>
                </c:ext>
              </c:extLst>
            </c:dLbl>
            <c:dLbl>
              <c:idx val="1"/>
              <c:layout>
                <c:manualLayout>
                  <c:x val="6.6833742251463006E-3"/>
                  <c:y val="-6.562192082716413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ABE-4C43-BAB9-90FF8B62C8B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FuelProd4!$AI$101:$AI$106</c:f>
              <c:strCache>
                <c:ptCount val="6"/>
                <c:pt idx="0">
                  <c:v>TCD</c:v>
                </c:pt>
                <c:pt idx="1">
                  <c:v>Neste</c:v>
                </c:pt>
                <c:pt idx="2">
                  <c:v>CORSIA</c:v>
                </c:pt>
                <c:pt idx="3">
                  <c:v>De Jong</c:v>
                </c:pt>
                <c:pt idx="4">
                  <c:v>GREET</c:v>
                </c:pt>
                <c:pt idx="5">
                  <c:v>GHGenius</c:v>
                </c:pt>
              </c:strCache>
            </c:strRef>
          </c:cat>
          <c:val>
            <c:numRef>
              <c:f>FuelProd4!$AM$101:$AM$106</c:f>
              <c:numCache>
                <c:formatCode>0.00</c:formatCode>
                <c:ptCount val="6"/>
                <c:pt idx="0" formatCode="General">
                  <c:v>6.99</c:v>
                </c:pt>
                <c:pt idx="1">
                  <c:v>7.21</c:v>
                </c:pt>
              </c:numCache>
            </c:numRef>
          </c:val>
          <c:extLst>
            <c:ext xmlns:c16="http://schemas.microsoft.com/office/drawing/2014/chart" uri="{C3380CC4-5D6E-409C-BE32-E72D297353CC}">
              <c16:uniqueId val="{0000000F-3ABE-4C43-BAB9-90FF8B62C8B1}"/>
            </c:ext>
          </c:extLst>
        </c:ser>
        <c:ser>
          <c:idx val="4"/>
          <c:order val="4"/>
          <c:tx>
            <c:strRef>
              <c:f>FuelProd4!$AN$100</c:f>
              <c:strCache>
                <c:ptCount val="1"/>
              </c:strCache>
            </c:strRef>
          </c:tx>
          <c:spPr>
            <a:solidFill>
              <a:srgbClr val="FFC000"/>
            </a:solidFill>
            <a:ln>
              <a:noFill/>
            </a:ln>
            <a:effectLst/>
          </c:spPr>
          <c:invertIfNegative val="0"/>
          <c:cat>
            <c:strRef>
              <c:f>FuelProd4!$AI$101:$AI$106</c:f>
              <c:strCache>
                <c:ptCount val="6"/>
                <c:pt idx="0">
                  <c:v>TCD</c:v>
                </c:pt>
                <c:pt idx="1">
                  <c:v>Neste</c:v>
                </c:pt>
                <c:pt idx="2">
                  <c:v>CORSIA</c:v>
                </c:pt>
                <c:pt idx="3">
                  <c:v>De Jong</c:v>
                </c:pt>
                <c:pt idx="4">
                  <c:v>GREET</c:v>
                </c:pt>
                <c:pt idx="5">
                  <c:v>GHGenius</c:v>
                </c:pt>
              </c:strCache>
            </c:strRef>
          </c:cat>
          <c:val>
            <c:numRef>
              <c:f>FuelProd4!$AN$101:$AN$106</c:f>
              <c:numCache>
                <c:formatCode>General</c:formatCode>
                <c:ptCount val="6"/>
                <c:pt idx="0" formatCode="0.00">
                  <c:v>16.91</c:v>
                </c:pt>
              </c:numCache>
            </c:numRef>
          </c:val>
          <c:extLst>
            <c:ext xmlns:c16="http://schemas.microsoft.com/office/drawing/2014/chart" uri="{C3380CC4-5D6E-409C-BE32-E72D297353CC}">
              <c16:uniqueId val="{00000010-3ABE-4C43-BAB9-90FF8B62C8B1}"/>
            </c:ext>
          </c:extLst>
        </c:ser>
        <c:dLbls>
          <c:showLegendKey val="0"/>
          <c:showVal val="0"/>
          <c:showCatName val="0"/>
          <c:showSerName val="0"/>
          <c:showPercent val="0"/>
          <c:showBubbleSize val="0"/>
        </c:dLbls>
        <c:gapWidth val="219"/>
        <c:overlap val="-27"/>
        <c:axId val="419767999"/>
        <c:axId val="419771743"/>
      </c:barChart>
      <c:catAx>
        <c:axId val="4197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19771743"/>
        <c:crosses val="autoZero"/>
        <c:auto val="1"/>
        <c:lblAlgn val="ctr"/>
        <c:lblOffset val="100"/>
        <c:noMultiLvlLbl val="0"/>
      </c:catAx>
      <c:valAx>
        <c:axId val="419771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200" b="0" i="0" baseline="0">
                    <a:effectLst/>
                  </a:rPr>
                  <a:t>Fuel Productioon Emissions (gCO</a:t>
                </a:r>
                <a:r>
                  <a:rPr lang="en-US" sz="1200" b="0" i="0" baseline="-25000">
                    <a:effectLst/>
                  </a:rPr>
                  <a:t>2</a:t>
                </a:r>
                <a:r>
                  <a:rPr lang="en-US" sz="1200" b="0" i="0" baseline="0">
                    <a:effectLst/>
                  </a:rPr>
                  <a:t>e/MJ)</a:t>
                </a:r>
                <a:endParaRPr lang="en-IE" sz="700">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1976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171451</xdr:colOff>
      <xdr:row>21</xdr:row>
      <xdr:rowOff>28605</xdr:rowOff>
    </xdr:from>
    <xdr:to>
      <xdr:col>21</xdr:col>
      <xdr:colOff>564671</xdr:colOff>
      <xdr:row>51</xdr:row>
      <xdr:rowOff>114727</xdr:rowOff>
    </xdr:to>
    <xdr:grpSp>
      <xdr:nvGrpSpPr>
        <xdr:cNvPr id="141" name="Group 140">
          <a:extLst>
            <a:ext uri="{FF2B5EF4-FFF2-40B4-BE49-F238E27FC236}">
              <a16:creationId xmlns:a16="http://schemas.microsoft.com/office/drawing/2014/main" id="{00000000-0008-0000-0100-00008D000000}"/>
            </a:ext>
          </a:extLst>
        </xdr:cNvPr>
        <xdr:cNvGrpSpPr/>
      </xdr:nvGrpSpPr>
      <xdr:grpSpPr>
        <a:xfrm>
          <a:off x="781051" y="5362605"/>
          <a:ext cx="12585220" cy="5801122"/>
          <a:chOff x="-1" y="728694"/>
          <a:chExt cx="12582045" cy="5515372"/>
        </a:xfrm>
      </xdr:grpSpPr>
      <xdr:grpSp>
        <xdr:nvGrpSpPr>
          <xdr:cNvPr id="142" name="Group 141">
            <a:extLst>
              <a:ext uri="{FF2B5EF4-FFF2-40B4-BE49-F238E27FC236}">
                <a16:creationId xmlns:a16="http://schemas.microsoft.com/office/drawing/2014/main" id="{00000000-0008-0000-0100-00008E000000}"/>
              </a:ext>
            </a:extLst>
          </xdr:cNvPr>
          <xdr:cNvGrpSpPr/>
        </xdr:nvGrpSpPr>
        <xdr:grpSpPr>
          <a:xfrm>
            <a:off x="-1" y="728694"/>
            <a:ext cx="11942170" cy="5515372"/>
            <a:chOff x="-8536" y="728694"/>
            <a:chExt cx="11950706" cy="5515372"/>
          </a:xfrm>
        </xdr:grpSpPr>
        <xdr:grpSp>
          <xdr:nvGrpSpPr>
            <xdr:cNvPr id="187" name="Group 186">
              <a:extLst>
                <a:ext uri="{FF2B5EF4-FFF2-40B4-BE49-F238E27FC236}">
                  <a16:creationId xmlns:a16="http://schemas.microsoft.com/office/drawing/2014/main" id="{00000000-0008-0000-0100-0000BB000000}"/>
                </a:ext>
              </a:extLst>
            </xdr:cNvPr>
            <xdr:cNvGrpSpPr/>
          </xdr:nvGrpSpPr>
          <xdr:grpSpPr>
            <a:xfrm>
              <a:off x="-8536" y="1161155"/>
              <a:ext cx="5450418" cy="2997465"/>
              <a:chOff x="-56300" y="1600043"/>
              <a:chExt cx="10430818" cy="5109002"/>
            </a:xfrm>
          </xdr:grpSpPr>
          <xdr:cxnSp macro="">
            <xdr:nvCxnSpPr>
              <xdr:cNvPr id="257" name="Straight Arrow Connector 256">
                <a:extLst>
                  <a:ext uri="{FF2B5EF4-FFF2-40B4-BE49-F238E27FC236}">
                    <a16:creationId xmlns:a16="http://schemas.microsoft.com/office/drawing/2014/main" id="{00000000-0008-0000-0100-000001010000}"/>
                  </a:ext>
                </a:extLst>
              </xdr:cNvPr>
              <xdr:cNvCxnSpPr>
                <a:cxnSpLocks/>
              </xdr:cNvCxnSpPr>
            </xdr:nvCxnSpPr>
            <xdr:spPr>
              <a:xfrm>
                <a:off x="8100662" y="1607490"/>
                <a:ext cx="2273856" cy="49425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8" name="Straight Arrow Connector 257">
                <a:extLst>
                  <a:ext uri="{FF2B5EF4-FFF2-40B4-BE49-F238E27FC236}">
                    <a16:creationId xmlns:a16="http://schemas.microsoft.com/office/drawing/2014/main" id="{00000000-0008-0000-0100-000002010000}"/>
                  </a:ext>
                </a:extLst>
              </xdr:cNvPr>
              <xdr:cNvCxnSpPr>
                <a:cxnSpLocks/>
                <a:stCxn id="264" idx="3"/>
              </xdr:cNvCxnSpPr>
            </xdr:nvCxnSpPr>
            <xdr:spPr>
              <a:xfrm>
                <a:off x="9075179" y="4911727"/>
                <a:ext cx="26035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9" name="Straight Arrow Connector 258">
                <a:extLst>
                  <a:ext uri="{FF2B5EF4-FFF2-40B4-BE49-F238E27FC236}">
                    <a16:creationId xmlns:a16="http://schemas.microsoft.com/office/drawing/2014/main" id="{00000000-0008-0000-0100-000003010000}"/>
                  </a:ext>
                </a:extLst>
              </xdr:cNvPr>
              <xdr:cNvCxnSpPr>
                <a:cxnSpLocks/>
                <a:stCxn id="265" idx="3"/>
              </xdr:cNvCxnSpPr>
            </xdr:nvCxnSpPr>
            <xdr:spPr>
              <a:xfrm>
                <a:off x="7630924" y="1809878"/>
                <a:ext cx="297275"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0" name="Straight Arrow Connector 259">
                <a:extLst>
                  <a:ext uri="{FF2B5EF4-FFF2-40B4-BE49-F238E27FC236}">
                    <a16:creationId xmlns:a16="http://schemas.microsoft.com/office/drawing/2014/main" id="{00000000-0008-0000-0100-000004010000}"/>
                  </a:ext>
                </a:extLst>
              </xdr:cNvPr>
              <xdr:cNvCxnSpPr>
                <a:cxnSpLocks/>
                <a:stCxn id="266" idx="3"/>
              </xdr:cNvCxnSpPr>
            </xdr:nvCxnSpPr>
            <xdr:spPr>
              <a:xfrm>
                <a:off x="8202863" y="3016220"/>
                <a:ext cx="297275"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1" name="Straight Arrow Connector 260">
                <a:extLst>
                  <a:ext uri="{FF2B5EF4-FFF2-40B4-BE49-F238E27FC236}">
                    <a16:creationId xmlns:a16="http://schemas.microsoft.com/office/drawing/2014/main" id="{00000000-0008-0000-0100-000005010000}"/>
                  </a:ext>
                </a:extLst>
              </xdr:cNvPr>
              <xdr:cNvCxnSpPr>
                <a:cxnSpLocks/>
              </xdr:cNvCxnSpPr>
            </xdr:nvCxnSpPr>
            <xdr:spPr>
              <a:xfrm>
                <a:off x="8604108" y="4068767"/>
                <a:ext cx="283307"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2" name="Straight Arrow Connector 261">
                <a:extLst>
                  <a:ext uri="{FF2B5EF4-FFF2-40B4-BE49-F238E27FC236}">
                    <a16:creationId xmlns:a16="http://schemas.microsoft.com/office/drawing/2014/main" id="{00000000-0008-0000-0100-000006010000}"/>
                  </a:ext>
                </a:extLst>
              </xdr:cNvPr>
              <xdr:cNvCxnSpPr>
                <a:cxnSpLocks/>
                <a:stCxn id="268" idx="3"/>
              </xdr:cNvCxnSpPr>
            </xdr:nvCxnSpPr>
            <xdr:spPr>
              <a:xfrm flipV="1">
                <a:off x="9475392" y="6121534"/>
                <a:ext cx="297275" cy="43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3" name="TextBox 114">
                <a:extLst>
                  <a:ext uri="{FF2B5EF4-FFF2-40B4-BE49-F238E27FC236}">
                    <a16:creationId xmlns:a16="http://schemas.microsoft.com/office/drawing/2014/main" id="{00000000-0008-0000-0100-000007010000}"/>
                  </a:ext>
                </a:extLst>
              </xdr:cNvPr>
              <xdr:cNvSpPr txBox="1"/>
            </xdr:nvSpPr>
            <xdr:spPr>
              <a:xfrm>
                <a:off x="-56300" y="5154213"/>
                <a:ext cx="2443003" cy="944257"/>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Location of feedstock production</a:t>
                </a:r>
              </a:p>
            </xdr:txBody>
          </xdr:sp>
          <xdr:sp macro="" textlink="">
            <xdr:nvSpPr>
              <xdr:cNvPr id="264" name="TextBox 115">
                <a:extLst>
                  <a:ext uri="{FF2B5EF4-FFF2-40B4-BE49-F238E27FC236}">
                    <a16:creationId xmlns:a16="http://schemas.microsoft.com/office/drawing/2014/main" id="{00000000-0008-0000-0100-000008010000}"/>
                  </a:ext>
                </a:extLst>
              </xdr:cNvPr>
              <xdr:cNvSpPr txBox="1"/>
            </xdr:nvSpPr>
            <xdr:spPr>
              <a:xfrm>
                <a:off x="6334618" y="4439599"/>
                <a:ext cx="2740561" cy="944257"/>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Distance travelled by feedstock to fuel production</a:t>
                </a:r>
              </a:p>
            </xdr:txBody>
          </xdr:sp>
          <xdr:sp macro="" textlink="">
            <xdr:nvSpPr>
              <xdr:cNvPr id="265" name="TextBox 116">
                <a:extLst>
                  <a:ext uri="{FF2B5EF4-FFF2-40B4-BE49-F238E27FC236}">
                    <a16:creationId xmlns:a16="http://schemas.microsoft.com/office/drawing/2014/main" id="{00000000-0008-0000-0100-000009010000}"/>
                  </a:ext>
                </a:extLst>
              </xdr:cNvPr>
              <xdr:cNvSpPr txBox="1"/>
            </xdr:nvSpPr>
            <xdr:spPr>
              <a:xfrm>
                <a:off x="4062993" y="1600043"/>
                <a:ext cx="3567931"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Feedstocks used and % split</a:t>
                </a:r>
              </a:p>
            </xdr:txBody>
          </xdr:sp>
          <xdr:sp macro="" textlink="">
            <xdr:nvSpPr>
              <xdr:cNvPr id="266" name="TextBox 117">
                <a:extLst>
                  <a:ext uri="{FF2B5EF4-FFF2-40B4-BE49-F238E27FC236}">
                    <a16:creationId xmlns:a16="http://schemas.microsoft.com/office/drawing/2014/main" id="{00000000-0008-0000-0100-00000A010000}"/>
                  </a:ext>
                </a:extLst>
              </xdr:cNvPr>
              <xdr:cNvSpPr txBox="1"/>
            </xdr:nvSpPr>
            <xdr:spPr>
              <a:xfrm>
                <a:off x="6745219" y="2675238"/>
                <a:ext cx="1457643" cy="681964"/>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Farming activities</a:t>
                </a:r>
              </a:p>
            </xdr:txBody>
          </xdr:sp>
          <xdr:sp macro="" textlink="">
            <xdr:nvSpPr>
              <xdr:cNvPr id="267" name="TextBox 118">
                <a:extLst>
                  <a:ext uri="{FF2B5EF4-FFF2-40B4-BE49-F238E27FC236}">
                    <a16:creationId xmlns:a16="http://schemas.microsoft.com/office/drawing/2014/main" id="{00000000-0008-0000-0100-00000B010000}"/>
                  </a:ext>
                </a:extLst>
              </xdr:cNvPr>
              <xdr:cNvSpPr txBox="1"/>
            </xdr:nvSpPr>
            <xdr:spPr>
              <a:xfrm>
                <a:off x="5490067" y="3632430"/>
                <a:ext cx="3114042" cy="681964"/>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Fertilizer/pesticide used during crop production</a:t>
                </a:r>
              </a:p>
            </xdr:txBody>
          </xdr:sp>
          <xdr:sp macro="" textlink="">
            <xdr:nvSpPr>
              <xdr:cNvPr id="268" name="TextBox 119">
                <a:extLst>
                  <a:ext uri="{FF2B5EF4-FFF2-40B4-BE49-F238E27FC236}">
                    <a16:creationId xmlns:a16="http://schemas.microsoft.com/office/drawing/2014/main" id="{00000000-0008-0000-0100-00000C010000}"/>
                  </a:ext>
                </a:extLst>
              </xdr:cNvPr>
              <xdr:cNvSpPr txBox="1"/>
            </xdr:nvSpPr>
            <xdr:spPr>
              <a:xfrm>
                <a:off x="8199015" y="5780990"/>
                <a:ext cx="1276376" cy="681964"/>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Land use change</a:t>
                </a:r>
              </a:p>
            </xdr:txBody>
          </xdr:sp>
          <xdr:sp macro="" textlink="">
            <xdr:nvSpPr>
              <xdr:cNvPr id="269" name="TextBox 120">
                <a:extLst>
                  <a:ext uri="{FF2B5EF4-FFF2-40B4-BE49-F238E27FC236}">
                    <a16:creationId xmlns:a16="http://schemas.microsoft.com/office/drawing/2014/main" id="{00000000-0008-0000-0100-00000D010000}"/>
                  </a:ext>
                </a:extLst>
              </xdr:cNvPr>
              <xdr:cNvSpPr txBox="1"/>
            </xdr:nvSpPr>
            <xdr:spPr>
              <a:xfrm>
                <a:off x="3226166" y="5412168"/>
                <a:ext cx="1305834"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Soil type</a:t>
                </a:r>
              </a:p>
            </xdr:txBody>
          </xdr:sp>
          <xdr:sp macro="" textlink="">
            <xdr:nvSpPr>
              <xdr:cNvPr id="270" name="TextBox 121">
                <a:extLst>
                  <a:ext uri="{FF2B5EF4-FFF2-40B4-BE49-F238E27FC236}">
                    <a16:creationId xmlns:a16="http://schemas.microsoft.com/office/drawing/2014/main" id="{00000000-0008-0000-0100-00000E010000}"/>
                  </a:ext>
                </a:extLst>
              </xdr:cNvPr>
              <xdr:cNvSpPr txBox="1"/>
            </xdr:nvSpPr>
            <xdr:spPr>
              <a:xfrm>
                <a:off x="2946154" y="5694703"/>
                <a:ext cx="1719280"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Previous use</a:t>
                </a:r>
              </a:p>
            </xdr:txBody>
          </xdr:sp>
          <xdr:sp macro="" textlink="">
            <xdr:nvSpPr>
              <xdr:cNvPr id="271" name="TextBox 122">
                <a:extLst>
                  <a:ext uri="{FF2B5EF4-FFF2-40B4-BE49-F238E27FC236}">
                    <a16:creationId xmlns:a16="http://schemas.microsoft.com/office/drawing/2014/main" id="{00000000-0008-0000-0100-00000F010000}"/>
                  </a:ext>
                </a:extLst>
              </xdr:cNvPr>
              <xdr:cNvSpPr txBox="1"/>
            </xdr:nvSpPr>
            <xdr:spPr>
              <a:xfrm>
                <a:off x="3034179" y="5958590"/>
                <a:ext cx="1631253"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Current use</a:t>
                </a:r>
              </a:p>
            </xdr:txBody>
          </xdr:sp>
          <xdr:cxnSp macro="">
            <xdr:nvCxnSpPr>
              <xdr:cNvPr id="272" name="Straight Connector 271">
                <a:extLst>
                  <a:ext uri="{FF2B5EF4-FFF2-40B4-BE49-F238E27FC236}">
                    <a16:creationId xmlns:a16="http://schemas.microsoft.com/office/drawing/2014/main" id="{00000000-0008-0000-0100-000010010000}"/>
                  </a:ext>
                </a:extLst>
              </xdr:cNvPr>
              <xdr:cNvCxnSpPr>
                <a:cxnSpLocks/>
                <a:stCxn id="271" idx="3"/>
                <a:endCxn id="323" idx="2"/>
              </xdr:cNvCxnSpPr>
            </xdr:nvCxnSpPr>
            <xdr:spPr>
              <a:xfrm flipV="1">
                <a:off x="4665431" y="6048755"/>
                <a:ext cx="806679" cy="11967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73" name="TextBox 124">
                <a:extLst>
                  <a:ext uri="{FF2B5EF4-FFF2-40B4-BE49-F238E27FC236}">
                    <a16:creationId xmlns:a16="http://schemas.microsoft.com/office/drawing/2014/main" id="{00000000-0008-0000-0100-000011010000}"/>
                  </a:ext>
                </a:extLst>
              </xdr:cNvPr>
              <xdr:cNvSpPr txBox="1"/>
            </xdr:nvSpPr>
            <xdr:spPr>
              <a:xfrm>
                <a:off x="2624036" y="3522952"/>
                <a:ext cx="1350548"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Soil type</a:t>
                </a:r>
              </a:p>
            </xdr:txBody>
          </xdr:sp>
          <xdr:sp macro="" textlink="">
            <xdr:nvSpPr>
              <xdr:cNvPr id="274" name="TextBox 125">
                <a:extLst>
                  <a:ext uri="{FF2B5EF4-FFF2-40B4-BE49-F238E27FC236}">
                    <a16:creationId xmlns:a16="http://schemas.microsoft.com/office/drawing/2014/main" id="{00000000-0008-0000-0100-000012010000}"/>
                  </a:ext>
                </a:extLst>
              </xdr:cNvPr>
              <xdr:cNvSpPr txBox="1"/>
            </xdr:nvSpPr>
            <xdr:spPr>
              <a:xfrm>
                <a:off x="722159" y="3788611"/>
                <a:ext cx="3312431"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Emissions of production</a:t>
                </a:r>
              </a:p>
            </xdr:txBody>
          </xdr:sp>
          <xdr:cxnSp macro="">
            <xdr:nvCxnSpPr>
              <xdr:cNvPr id="275" name="Straight Connector 274">
                <a:extLst>
                  <a:ext uri="{FF2B5EF4-FFF2-40B4-BE49-F238E27FC236}">
                    <a16:creationId xmlns:a16="http://schemas.microsoft.com/office/drawing/2014/main" id="{00000000-0008-0000-0100-000013010000}"/>
                  </a:ext>
                </a:extLst>
              </xdr:cNvPr>
              <xdr:cNvCxnSpPr>
                <a:cxnSpLocks/>
                <a:stCxn id="273" idx="3"/>
                <a:endCxn id="267" idx="1"/>
              </xdr:cNvCxnSpPr>
            </xdr:nvCxnSpPr>
            <xdr:spPr>
              <a:xfrm>
                <a:off x="3974583" y="3732788"/>
                <a:ext cx="1515485" cy="2406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6" name="Straight Connector 275">
                <a:extLst>
                  <a:ext uri="{FF2B5EF4-FFF2-40B4-BE49-F238E27FC236}">
                    <a16:creationId xmlns:a16="http://schemas.microsoft.com/office/drawing/2014/main" id="{00000000-0008-0000-0100-000014010000}"/>
                  </a:ext>
                </a:extLst>
              </xdr:cNvPr>
              <xdr:cNvCxnSpPr>
                <a:cxnSpLocks/>
                <a:stCxn id="274" idx="3"/>
                <a:endCxn id="267" idx="1"/>
              </xdr:cNvCxnSpPr>
            </xdr:nvCxnSpPr>
            <xdr:spPr>
              <a:xfrm flipV="1">
                <a:off x="4034590" y="3973412"/>
                <a:ext cx="1455478" cy="250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77" name="TextBox 128">
                <a:extLst>
                  <a:ext uri="{FF2B5EF4-FFF2-40B4-BE49-F238E27FC236}">
                    <a16:creationId xmlns:a16="http://schemas.microsoft.com/office/drawing/2014/main" id="{00000000-0008-0000-0100-000015010000}"/>
                  </a:ext>
                </a:extLst>
              </xdr:cNvPr>
              <xdr:cNvSpPr txBox="1"/>
            </xdr:nvSpPr>
            <xdr:spPr>
              <a:xfrm>
                <a:off x="831645" y="4070394"/>
                <a:ext cx="3204021"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Emissions from leaching</a:t>
                </a:r>
              </a:p>
            </xdr:txBody>
          </xdr:sp>
          <xdr:cxnSp macro="">
            <xdr:nvCxnSpPr>
              <xdr:cNvPr id="278" name="Straight Connector 277">
                <a:extLst>
                  <a:ext uri="{FF2B5EF4-FFF2-40B4-BE49-F238E27FC236}">
                    <a16:creationId xmlns:a16="http://schemas.microsoft.com/office/drawing/2014/main" id="{00000000-0008-0000-0100-000016010000}"/>
                  </a:ext>
                </a:extLst>
              </xdr:cNvPr>
              <xdr:cNvCxnSpPr>
                <a:cxnSpLocks/>
                <a:stCxn id="277" idx="3"/>
                <a:endCxn id="267" idx="1"/>
              </xdr:cNvCxnSpPr>
            </xdr:nvCxnSpPr>
            <xdr:spPr>
              <a:xfrm flipV="1">
                <a:off x="4035666" y="3973412"/>
                <a:ext cx="1454402" cy="3068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79" name="TextBox 130">
                <a:extLst>
                  <a:ext uri="{FF2B5EF4-FFF2-40B4-BE49-F238E27FC236}">
                    <a16:creationId xmlns:a16="http://schemas.microsoft.com/office/drawing/2014/main" id="{00000000-0008-0000-0100-000017010000}"/>
                  </a:ext>
                </a:extLst>
              </xdr:cNvPr>
              <xdr:cNvSpPr txBox="1"/>
            </xdr:nvSpPr>
            <xdr:spPr>
              <a:xfrm>
                <a:off x="1214671" y="2398979"/>
                <a:ext cx="1469787"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Diesel use</a:t>
                </a:r>
              </a:p>
            </xdr:txBody>
          </xdr:sp>
          <xdr:sp macro="" textlink="">
            <xdr:nvSpPr>
              <xdr:cNvPr id="280" name="TextBox 131">
                <a:extLst>
                  <a:ext uri="{FF2B5EF4-FFF2-40B4-BE49-F238E27FC236}">
                    <a16:creationId xmlns:a16="http://schemas.microsoft.com/office/drawing/2014/main" id="{00000000-0008-0000-0100-000018010000}"/>
                  </a:ext>
                </a:extLst>
              </xdr:cNvPr>
              <xdr:cNvSpPr txBox="1"/>
            </xdr:nvSpPr>
            <xdr:spPr>
              <a:xfrm>
                <a:off x="831645" y="2669844"/>
                <a:ext cx="1877714"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Electricity use</a:t>
                </a:r>
              </a:p>
            </xdr:txBody>
          </xdr:sp>
          <xdr:cxnSp macro="">
            <xdr:nvCxnSpPr>
              <xdr:cNvPr id="281" name="Straight Connector 280">
                <a:extLst>
                  <a:ext uri="{FF2B5EF4-FFF2-40B4-BE49-F238E27FC236}">
                    <a16:creationId xmlns:a16="http://schemas.microsoft.com/office/drawing/2014/main" id="{00000000-0008-0000-0100-000019010000}"/>
                  </a:ext>
                </a:extLst>
              </xdr:cNvPr>
              <xdr:cNvCxnSpPr>
                <a:cxnSpLocks/>
                <a:stCxn id="279" idx="3"/>
                <a:endCxn id="322" idx="2"/>
              </xdr:cNvCxnSpPr>
            </xdr:nvCxnSpPr>
            <xdr:spPr>
              <a:xfrm>
                <a:off x="2684458" y="2608815"/>
                <a:ext cx="806708" cy="19952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2" name="Straight Connector 281">
                <a:extLst>
                  <a:ext uri="{FF2B5EF4-FFF2-40B4-BE49-F238E27FC236}">
                    <a16:creationId xmlns:a16="http://schemas.microsoft.com/office/drawing/2014/main" id="{00000000-0008-0000-0100-00001A010000}"/>
                  </a:ext>
                </a:extLst>
              </xdr:cNvPr>
              <xdr:cNvCxnSpPr>
                <a:cxnSpLocks/>
                <a:stCxn id="280" idx="3"/>
                <a:endCxn id="322" idx="2"/>
              </xdr:cNvCxnSpPr>
            </xdr:nvCxnSpPr>
            <xdr:spPr>
              <a:xfrm flipV="1">
                <a:off x="2709360" y="2808342"/>
                <a:ext cx="781805" cy="7133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83" name="TextBox 134">
                <a:extLst>
                  <a:ext uri="{FF2B5EF4-FFF2-40B4-BE49-F238E27FC236}">
                    <a16:creationId xmlns:a16="http://schemas.microsoft.com/office/drawing/2014/main" id="{00000000-0008-0000-0100-00001B010000}"/>
                  </a:ext>
                </a:extLst>
              </xdr:cNvPr>
              <xdr:cNvSpPr txBox="1"/>
            </xdr:nvSpPr>
            <xdr:spPr>
              <a:xfrm>
                <a:off x="1433901" y="2929278"/>
                <a:ext cx="1278408"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Other?</a:t>
                </a:r>
              </a:p>
            </xdr:txBody>
          </xdr:sp>
          <xdr:cxnSp macro="">
            <xdr:nvCxnSpPr>
              <xdr:cNvPr id="284" name="Straight Connector 283">
                <a:extLst>
                  <a:ext uri="{FF2B5EF4-FFF2-40B4-BE49-F238E27FC236}">
                    <a16:creationId xmlns:a16="http://schemas.microsoft.com/office/drawing/2014/main" id="{00000000-0008-0000-0100-00001C010000}"/>
                  </a:ext>
                </a:extLst>
              </xdr:cNvPr>
              <xdr:cNvCxnSpPr>
                <a:cxnSpLocks/>
                <a:stCxn id="283" idx="3"/>
                <a:endCxn id="322" idx="2"/>
              </xdr:cNvCxnSpPr>
            </xdr:nvCxnSpPr>
            <xdr:spPr>
              <a:xfrm flipV="1">
                <a:off x="2712310" y="2808342"/>
                <a:ext cx="778856" cy="33077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85" name="TextBox 136">
                <a:extLst>
                  <a:ext uri="{FF2B5EF4-FFF2-40B4-BE49-F238E27FC236}">
                    <a16:creationId xmlns:a16="http://schemas.microsoft.com/office/drawing/2014/main" id="{00000000-0008-0000-0100-00001D010000}"/>
                  </a:ext>
                </a:extLst>
              </xdr:cNvPr>
              <xdr:cNvSpPr txBox="1"/>
            </xdr:nvSpPr>
            <xdr:spPr>
              <a:xfrm>
                <a:off x="2888372" y="4606782"/>
                <a:ext cx="3222481"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From previous use for waste</a:t>
                </a:r>
              </a:p>
            </xdr:txBody>
          </xdr:sp>
          <xdr:sp macro="" textlink="">
            <xdr:nvSpPr>
              <xdr:cNvPr id="286" name="TextBox 137">
                <a:extLst>
                  <a:ext uri="{FF2B5EF4-FFF2-40B4-BE49-F238E27FC236}">
                    <a16:creationId xmlns:a16="http://schemas.microsoft.com/office/drawing/2014/main" id="{00000000-0008-0000-0100-00001E010000}"/>
                  </a:ext>
                </a:extLst>
              </xdr:cNvPr>
              <xdr:cNvSpPr txBox="1"/>
            </xdr:nvSpPr>
            <xdr:spPr>
              <a:xfrm>
                <a:off x="2763973" y="4992286"/>
                <a:ext cx="3346878"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From farm for main products</a:t>
                </a:r>
              </a:p>
            </xdr:txBody>
          </xdr:sp>
          <xdr:cxnSp macro="">
            <xdr:nvCxnSpPr>
              <xdr:cNvPr id="287" name="Straight Connector 286">
                <a:extLst>
                  <a:ext uri="{FF2B5EF4-FFF2-40B4-BE49-F238E27FC236}">
                    <a16:creationId xmlns:a16="http://schemas.microsoft.com/office/drawing/2014/main" id="{00000000-0008-0000-0100-00001F010000}"/>
                  </a:ext>
                </a:extLst>
              </xdr:cNvPr>
              <xdr:cNvCxnSpPr>
                <a:cxnSpLocks/>
                <a:stCxn id="285" idx="3"/>
                <a:endCxn id="264" idx="1"/>
              </xdr:cNvCxnSpPr>
            </xdr:nvCxnSpPr>
            <xdr:spPr>
              <a:xfrm>
                <a:off x="6110852" y="4816618"/>
                <a:ext cx="223766" cy="9511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8" name="Straight Connector 287">
                <a:extLst>
                  <a:ext uri="{FF2B5EF4-FFF2-40B4-BE49-F238E27FC236}">
                    <a16:creationId xmlns:a16="http://schemas.microsoft.com/office/drawing/2014/main" id="{00000000-0008-0000-0100-000020010000}"/>
                  </a:ext>
                </a:extLst>
              </xdr:cNvPr>
              <xdr:cNvCxnSpPr>
                <a:cxnSpLocks/>
                <a:stCxn id="286" idx="3"/>
                <a:endCxn id="264" idx="1"/>
              </xdr:cNvCxnSpPr>
            </xdr:nvCxnSpPr>
            <xdr:spPr>
              <a:xfrm flipV="1">
                <a:off x="6110850" y="4911727"/>
                <a:ext cx="223768" cy="29039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89" name="TextBox 140">
                <a:extLst>
                  <a:ext uri="{FF2B5EF4-FFF2-40B4-BE49-F238E27FC236}">
                    <a16:creationId xmlns:a16="http://schemas.microsoft.com/office/drawing/2014/main" id="{00000000-0008-0000-0100-000021010000}"/>
                  </a:ext>
                </a:extLst>
              </xdr:cNvPr>
              <xdr:cNvSpPr txBox="1"/>
            </xdr:nvSpPr>
            <xdr:spPr>
              <a:xfrm>
                <a:off x="6084106" y="5398006"/>
                <a:ext cx="1719280" cy="681964"/>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Direct land use change</a:t>
                </a:r>
              </a:p>
            </xdr:txBody>
          </xdr:sp>
          <xdr:sp macro="" textlink="">
            <xdr:nvSpPr>
              <xdr:cNvPr id="290" name="TextBox 141">
                <a:extLst>
                  <a:ext uri="{FF2B5EF4-FFF2-40B4-BE49-F238E27FC236}">
                    <a16:creationId xmlns:a16="http://schemas.microsoft.com/office/drawing/2014/main" id="{00000000-0008-0000-0100-000022010000}"/>
                  </a:ext>
                </a:extLst>
              </xdr:cNvPr>
              <xdr:cNvSpPr txBox="1"/>
            </xdr:nvSpPr>
            <xdr:spPr>
              <a:xfrm>
                <a:off x="6021872" y="6027081"/>
                <a:ext cx="1871681" cy="681964"/>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Indirect land use change</a:t>
                </a:r>
              </a:p>
            </xdr:txBody>
          </xdr:sp>
          <xdr:cxnSp macro="">
            <xdr:nvCxnSpPr>
              <xdr:cNvPr id="291" name="Straight Connector 290">
                <a:extLst>
                  <a:ext uri="{FF2B5EF4-FFF2-40B4-BE49-F238E27FC236}">
                    <a16:creationId xmlns:a16="http://schemas.microsoft.com/office/drawing/2014/main" id="{00000000-0008-0000-0100-000023010000}"/>
                  </a:ext>
                </a:extLst>
              </xdr:cNvPr>
              <xdr:cNvCxnSpPr>
                <a:cxnSpLocks/>
                <a:stCxn id="323" idx="6"/>
                <a:endCxn id="289" idx="1"/>
              </xdr:cNvCxnSpPr>
            </xdr:nvCxnSpPr>
            <xdr:spPr>
              <a:xfrm flipV="1">
                <a:off x="5549012" y="5738988"/>
                <a:ext cx="535094" cy="30976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100-000024010000}"/>
                  </a:ext>
                </a:extLst>
              </xdr:cNvPr>
              <xdr:cNvCxnSpPr>
                <a:cxnSpLocks/>
                <a:stCxn id="323" idx="6"/>
                <a:endCxn id="290" idx="1"/>
              </xdr:cNvCxnSpPr>
            </xdr:nvCxnSpPr>
            <xdr:spPr>
              <a:xfrm>
                <a:off x="5549012" y="6048755"/>
                <a:ext cx="472860" cy="31930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100-000025010000}"/>
                  </a:ext>
                </a:extLst>
              </xdr:cNvPr>
              <xdr:cNvCxnSpPr>
                <a:cxnSpLocks/>
                <a:stCxn id="289" idx="3"/>
                <a:endCxn id="268" idx="1"/>
              </xdr:cNvCxnSpPr>
            </xdr:nvCxnSpPr>
            <xdr:spPr>
              <a:xfrm>
                <a:off x="7803385" y="5738988"/>
                <a:ext cx="395630" cy="38298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4" name="Straight Connector 293">
                <a:extLst>
                  <a:ext uri="{FF2B5EF4-FFF2-40B4-BE49-F238E27FC236}">
                    <a16:creationId xmlns:a16="http://schemas.microsoft.com/office/drawing/2014/main" id="{00000000-0008-0000-0100-000026010000}"/>
                  </a:ext>
                </a:extLst>
              </xdr:cNvPr>
              <xdr:cNvCxnSpPr>
                <a:cxnSpLocks/>
                <a:stCxn id="268" idx="1"/>
                <a:endCxn id="290" idx="3"/>
              </xdr:cNvCxnSpPr>
            </xdr:nvCxnSpPr>
            <xdr:spPr>
              <a:xfrm flipH="1">
                <a:off x="7893552" y="6121972"/>
                <a:ext cx="305464" cy="24609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95" name="TextBox 146">
                <a:extLst>
                  <a:ext uri="{FF2B5EF4-FFF2-40B4-BE49-F238E27FC236}">
                    <a16:creationId xmlns:a16="http://schemas.microsoft.com/office/drawing/2014/main" id="{00000000-0008-0000-0100-000027010000}"/>
                  </a:ext>
                </a:extLst>
              </xdr:cNvPr>
              <xdr:cNvSpPr txBox="1"/>
            </xdr:nvSpPr>
            <xdr:spPr>
              <a:xfrm>
                <a:off x="4328266" y="2075325"/>
                <a:ext cx="167040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Tilling</a:t>
                </a:r>
              </a:p>
            </xdr:txBody>
          </xdr:sp>
          <xdr:sp macro="" textlink="">
            <xdr:nvSpPr>
              <xdr:cNvPr id="296" name="TextBox 147">
                <a:extLst>
                  <a:ext uri="{FF2B5EF4-FFF2-40B4-BE49-F238E27FC236}">
                    <a16:creationId xmlns:a16="http://schemas.microsoft.com/office/drawing/2014/main" id="{00000000-0008-0000-0100-000028010000}"/>
                  </a:ext>
                </a:extLst>
              </xdr:cNvPr>
              <xdr:cNvSpPr txBox="1"/>
            </xdr:nvSpPr>
            <xdr:spPr>
              <a:xfrm>
                <a:off x="4328266" y="2310919"/>
                <a:ext cx="167040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Sowing</a:t>
                </a:r>
              </a:p>
            </xdr:txBody>
          </xdr:sp>
          <xdr:sp macro="" textlink="">
            <xdr:nvSpPr>
              <xdr:cNvPr id="297" name="TextBox 148">
                <a:extLst>
                  <a:ext uri="{FF2B5EF4-FFF2-40B4-BE49-F238E27FC236}">
                    <a16:creationId xmlns:a16="http://schemas.microsoft.com/office/drawing/2014/main" id="{00000000-0008-0000-0100-000029010000}"/>
                  </a:ext>
                </a:extLst>
              </xdr:cNvPr>
              <xdr:cNvSpPr txBox="1"/>
            </xdr:nvSpPr>
            <xdr:spPr>
              <a:xfrm>
                <a:off x="4328266" y="2815463"/>
                <a:ext cx="167040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Harvesting</a:t>
                </a:r>
                <a:endParaRPr lang="en-IE" sz="1200" b="1">
                  <a:solidFill>
                    <a:srgbClr val="FF0000"/>
                  </a:solidFill>
                </a:endParaRPr>
              </a:p>
            </xdr:txBody>
          </xdr:sp>
          <xdr:sp macro="" textlink="">
            <xdr:nvSpPr>
              <xdr:cNvPr id="298" name="TextBox 149">
                <a:extLst>
                  <a:ext uri="{FF2B5EF4-FFF2-40B4-BE49-F238E27FC236}">
                    <a16:creationId xmlns:a16="http://schemas.microsoft.com/office/drawing/2014/main" id="{00000000-0008-0000-0100-00002A010000}"/>
                  </a:ext>
                </a:extLst>
              </xdr:cNvPr>
              <xdr:cNvSpPr txBox="1"/>
            </xdr:nvSpPr>
            <xdr:spPr>
              <a:xfrm>
                <a:off x="4328266" y="3068788"/>
                <a:ext cx="167040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Threshing</a:t>
                </a:r>
              </a:p>
            </xdr:txBody>
          </xdr:sp>
          <xdr:sp macro="" textlink="">
            <xdr:nvSpPr>
              <xdr:cNvPr id="299" name="TextBox 150">
                <a:extLst>
                  <a:ext uri="{FF2B5EF4-FFF2-40B4-BE49-F238E27FC236}">
                    <a16:creationId xmlns:a16="http://schemas.microsoft.com/office/drawing/2014/main" id="{00000000-0008-0000-0100-00002B010000}"/>
                  </a:ext>
                </a:extLst>
              </xdr:cNvPr>
              <xdr:cNvSpPr txBox="1"/>
            </xdr:nvSpPr>
            <xdr:spPr>
              <a:xfrm>
                <a:off x="4336191" y="3296019"/>
                <a:ext cx="167040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Storage</a:t>
                </a:r>
              </a:p>
            </xdr:txBody>
          </xdr:sp>
          <xdr:sp macro="" textlink="">
            <xdr:nvSpPr>
              <xdr:cNvPr id="300" name="TextBox 151">
                <a:extLst>
                  <a:ext uri="{FF2B5EF4-FFF2-40B4-BE49-F238E27FC236}">
                    <a16:creationId xmlns:a16="http://schemas.microsoft.com/office/drawing/2014/main" id="{00000000-0008-0000-0100-00002C010000}"/>
                  </a:ext>
                </a:extLst>
              </xdr:cNvPr>
              <xdr:cNvSpPr txBox="1"/>
            </xdr:nvSpPr>
            <xdr:spPr>
              <a:xfrm>
                <a:off x="4328109" y="2564804"/>
                <a:ext cx="167040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Irrigation</a:t>
                </a:r>
              </a:p>
            </xdr:txBody>
          </xdr:sp>
          <xdr:cxnSp macro="">
            <xdr:nvCxnSpPr>
              <xdr:cNvPr id="301" name="Straight Arrow Connector 300">
                <a:extLst>
                  <a:ext uri="{FF2B5EF4-FFF2-40B4-BE49-F238E27FC236}">
                    <a16:creationId xmlns:a16="http://schemas.microsoft.com/office/drawing/2014/main" id="{00000000-0008-0000-0100-00002D010000}"/>
                  </a:ext>
                </a:extLst>
              </xdr:cNvPr>
              <xdr:cNvCxnSpPr>
                <a:cxnSpLocks/>
                <a:stCxn id="302" idx="3"/>
              </xdr:cNvCxnSpPr>
            </xdr:nvCxnSpPr>
            <xdr:spPr>
              <a:xfrm>
                <a:off x="7945885" y="2220920"/>
                <a:ext cx="253131" cy="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2" name="TextBox 153">
                <a:extLst>
                  <a:ext uri="{FF2B5EF4-FFF2-40B4-BE49-F238E27FC236}">
                    <a16:creationId xmlns:a16="http://schemas.microsoft.com/office/drawing/2014/main" id="{00000000-0008-0000-0100-00002E010000}"/>
                  </a:ext>
                </a:extLst>
              </xdr:cNvPr>
              <xdr:cNvSpPr txBox="1"/>
            </xdr:nvSpPr>
            <xdr:spPr>
              <a:xfrm>
                <a:off x="5955940" y="2011084"/>
                <a:ext cx="198994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Yield per area</a:t>
                </a:r>
              </a:p>
            </xdr:txBody>
          </xdr:sp>
          <xdr:sp macro="" textlink="">
            <xdr:nvSpPr>
              <xdr:cNvPr id="303" name="TextBox 154">
                <a:extLst>
                  <a:ext uri="{FF2B5EF4-FFF2-40B4-BE49-F238E27FC236}">
                    <a16:creationId xmlns:a16="http://schemas.microsoft.com/office/drawing/2014/main" id="{00000000-0008-0000-0100-00002F010000}"/>
                  </a:ext>
                </a:extLst>
              </xdr:cNvPr>
              <xdr:cNvSpPr txBox="1"/>
            </xdr:nvSpPr>
            <xdr:spPr>
              <a:xfrm>
                <a:off x="2499085" y="6211650"/>
                <a:ext cx="2389446" cy="419669"/>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Plantation lifetime</a:t>
                </a:r>
              </a:p>
            </xdr:txBody>
          </xdr:sp>
          <xdr:cxnSp macro="">
            <xdr:nvCxnSpPr>
              <xdr:cNvPr id="304" name="Straight Connector 303">
                <a:extLst>
                  <a:ext uri="{FF2B5EF4-FFF2-40B4-BE49-F238E27FC236}">
                    <a16:creationId xmlns:a16="http://schemas.microsoft.com/office/drawing/2014/main" id="{00000000-0008-0000-0100-000030010000}"/>
                  </a:ext>
                </a:extLst>
              </xdr:cNvPr>
              <xdr:cNvCxnSpPr>
                <a:cxnSpLocks/>
                <a:stCxn id="322" idx="6"/>
                <a:endCxn id="295" idx="1"/>
              </xdr:cNvCxnSpPr>
            </xdr:nvCxnSpPr>
            <xdr:spPr>
              <a:xfrm flipV="1">
                <a:off x="3568068" y="2285160"/>
                <a:ext cx="760199" cy="5231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05" name="Straight Connector 304">
                <a:extLst>
                  <a:ext uri="{FF2B5EF4-FFF2-40B4-BE49-F238E27FC236}">
                    <a16:creationId xmlns:a16="http://schemas.microsoft.com/office/drawing/2014/main" id="{00000000-0008-0000-0100-000031010000}"/>
                  </a:ext>
                </a:extLst>
              </xdr:cNvPr>
              <xdr:cNvCxnSpPr>
                <a:cxnSpLocks/>
                <a:stCxn id="322" idx="6"/>
                <a:endCxn id="296" idx="1"/>
              </xdr:cNvCxnSpPr>
            </xdr:nvCxnSpPr>
            <xdr:spPr>
              <a:xfrm flipV="1">
                <a:off x="3568068" y="2520755"/>
                <a:ext cx="760199" cy="28758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06" name="Straight Connector 305">
                <a:extLst>
                  <a:ext uri="{FF2B5EF4-FFF2-40B4-BE49-F238E27FC236}">
                    <a16:creationId xmlns:a16="http://schemas.microsoft.com/office/drawing/2014/main" id="{00000000-0008-0000-0100-000032010000}"/>
                  </a:ext>
                </a:extLst>
              </xdr:cNvPr>
              <xdr:cNvCxnSpPr>
                <a:cxnSpLocks/>
                <a:stCxn id="322" idx="6"/>
                <a:endCxn id="300" idx="1"/>
              </xdr:cNvCxnSpPr>
            </xdr:nvCxnSpPr>
            <xdr:spPr>
              <a:xfrm flipV="1">
                <a:off x="3568068" y="2774640"/>
                <a:ext cx="760041" cy="3370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07" name="Straight Connector 306">
                <a:extLst>
                  <a:ext uri="{FF2B5EF4-FFF2-40B4-BE49-F238E27FC236}">
                    <a16:creationId xmlns:a16="http://schemas.microsoft.com/office/drawing/2014/main" id="{00000000-0008-0000-0100-000033010000}"/>
                  </a:ext>
                </a:extLst>
              </xdr:cNvPr>
              <xdr:cNvCxnSpPr>
                <a:cxnSpLocks/>
                <a:stCxn id="322" idx="6"/>
                <a:endCxn id="297" idx="1"/>
              </xdr:cNvCxnSpPr>
            </xdr:nvCxnSpPr>
            <xdr:spPr>
              <a:xfrm>
                <a:off x="3568068" y="2808342"/>
                <a:ext cx="760199" cy="21695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08" name="Straight Connector 307">
                <a:extLst>
                  <a:ext uri="{FF2B5EF4-FFF2-40B4-BE49-F238E27FC236}">
                    <a16:creationId xmlns:a16="http://schemas.microsoft.com/office/drawing/2014/main" id="{00000000-0008-0000-0100-000034010000}"/>
                  </a:ext>
                </a:extLst>
              </xdr:cNvPr>
              <xdr:cNvCxnSpPr>
                <a:cxnSpLocks/>
                <a:stCxn id="322" idx="6"/>
                <a:endCxn id="298" idx="1"/>
              </xdr:cNvCxnSpPr>
            </xdr:nvCxnSpPr>
            <xdr:spPr>
              <a:xfrm>
                <a:off x="3568068" y="2808342"/>
                <a:ext cx="760199" cy="4702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09" name="Straight Connector 308">
                <a:extLst>
                  <a:ext uri="{FF2B5EF4-FFF2-40B4-BE49-F238E27FC236}">
                    <a16:creationId xmlns:a16="http://schemas.microsoft.com/office/drawing/2014/main" id="{00000000-0008-0000-0100-000035010000}"/>
                  </a:ext>
                </a:extLst>
              </xdr:cNvPr>
              <xdr:cNvCxnSpPr>
                <a:cxnSpLocks/>
                <a:stCxn id="322" idx="6"/>
                <a:endCxn id="299" idx="1"/>
              </xdr:cNvCxnSpPr>
            </xdr:nvCxnSpPr>
            <xdr:spPr>
              <a:xfrm>
                <a:off x="3568068" y="2808342"/>
                <a:ext cx="768123" cy="69751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0" name="Straight Connector 309">
                <a:extLst>
                  <a:ext uri="{FF2B5EF4-FFF2-40B4-BE49-F238E27FC236}">
                    <a16:creationId xmlns:a16="http://schemas.microsoft.com/office/drawing/2014/main" id="{00000000-0008-0000-0100-000036010000}"/>
                  </a:ext>
                </a:extLst>
              </xdr:cNvPr>
              <xdr:cNvCxnSpPr>
                <a:cxnSpLocks/>
                <a:stCxn id="295" idx="3"/>
                <a:endCxn id="266" idx="1"/>
              </xdr:cNvCxnSpPr>
            </xdr:nvCxnSpPr>
            <xdr:spPr>
              <a:xfrm>
                <a:off x="5998672" y="2285160"/>
                <a:ext cx="746547" cy="7310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1" name="Straight Connector 310">
                <a:extLst>
                  <a:ext uri="{FF2B5EF4-FFF2-40B4-BE49-F238E27FC236}">
                    <a16:creationId xmlns:a16="http://schemas.microsoft.com/office/drawing/2014/main" id="{00000000-0008-0000-0100-000037010000}"/>
                  </a:ext>
                </a:extLst>
              </xdr:cNvPr>
              <xdr:cNvCxnSpPr>
                <a:cxnSpLocks/>
                <a:stCxn id="296" idx="3"/>
                <a:endCxn id="266" idx="1"/>
              </xdr:cNvCxnSpPr>
            </xdr:nvCxnSpPr>
            <xdr:spPr>
              <a:xfrm>
                <a:off x="5998672" y="2520755"/>
                <a:ext cx="746547" cy="49546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2" name="Straight Connector 311">
                <a:extLst>
                  <a:ext uri="{FF2B5EF4-FFF2-40B4-BE49-F238E27FC236}">
                    <a16:creationId xmlns:a16="http://schemas.microsoft.com/office/drawing/2014/main" id="{00000000-0008-0000-0100-000038010000}"/>
                  </a:ext>
                </a:extLst>
              </xdr:cNvPr>
              <xdr:cNvCxnSpPr>
                <a:cxnSpLocks/>
                <a:stCxn id="300" idx="3"/>
                <a:endCxn id="266" idx="1"/>
              </xdr:cNvCxnSpPr>
            </xdr:nvCxnSpPr>
            <xdr:spPr>
              <a:xfrm>
                <a:off x="5998515" y="2774640"/>
                <a:ext cx="746704" cy="24158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3" name="Straight Connector 312">
                <a:extLst>
                  <a:ext uri="{FF2B5EF4-FFF2-40B4-BE49-F238E27FC236}">
                    <a16:creationId xmlns:a16="http://schemas.microsoft.com/office/drawing/2014/main" id="{00000000-0008-0000-0100-000039010000}"/>
                  </a:ext>
                </a:extLst>
              </xdr:cNvPr>
              <xdr:cNvCxnSpPr>
                <a:cxnSpLocks/>
                <a:stCxn id="297" idx="3"/>
                <a:endCxn id="266" idx="1"/>
              </xdr:cNvCxnSpPr>
            </xdr:nvCxnSpPr>
            <xdr:spPr>
              <a:xfrm flipV="1">
                <a:off x="5998672" y="3016220"/>
                <a:ext cx="746547" cy="907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4" name="Straight Connector 313">
                <a:extLst>
                  <a:ext uri="{FF2B5EF4-FFF2-40B4-BE49-F238E27FC236}">
                    <a16:creationId xmlns:a16="http://schemas.microsoft.com/office/drawing/2014/main" id="{00000000-0008-0000-0100-00003A010000}"/>
                  </a:ext>
                </a:extLst>
              </xdr:cNvPr>
              <xdr:cNvCxnSpPr>
                <a:cxnSpLocks/>
                <a:stCxn id="298" idx="3"/>
                <a:endCxn id="266" idx="1"/>
              </xdr:cNvCxnSpPr>
            </xdr:nvCxnSpPr>
            <xdr:spPr>
              <a:xfrm flipV="1">
                <a:off x="5998672" y="3016220"/>
                <a:ext cx="746547" cy="2624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5" name="Straight Connector 314">
                <a:extLst>
                  <a:ext uri="{FF2B5EF4-FFF2-40B4-BE49-F238E27FC236}">
                    <a16:creationId xmlns:a16="http://schemas.microsoft.com/office/drawing/2014/main" id="{00000000-0008-0000-0100-00003B010000}"/>
                  </a:ext>
                </a:extLst>
              </xdr:cNvPr>
              <xdr:cNvCxnSpPr>
                <a:cxnSpLocks/>
                <a:stCxn id="299" idx="3"/>
                <a:endCxn id="266" idx="1"/>
              </xdr:cNvCxnSpPr>
            </xdr:nvCxnSpPr>
            <xdr:spPr>
              <a:xfrm flipV="1">
                <a:off x="6006596" y="3016220"/>
                <a:ext cx="738623" cy="4896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16" name="TextBox 167">
                <a:extLst>
                  <a:ext uri="{FF2B5EF4-FFF2-40B4-BE49-F238E27FC236}">
                    <a16:creationId xmlns:a16="http://schemas.microsoft.com/office/drawing/2014/main" id="{00000000-0008-0000-0100-00003C010000}"/>
                  </a:ext>
                </a:extLst>
              </xdr:cNvPr>
              <xdr:cNvSpPr txBox="1"/>
            </xdr:nvSpPr>
            <xdr:spPr>
              <a:xfrm>
                <a:off x="102569" y="4479220"/>
                <a:ext cx="2298227" cy="681964"/>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Location of waste collection</a:t>
                </a:r>
              </a:p>
            </xdr:txBody>
          </xdr:sp>
          <xdr:cxnSp macro="">
            <xdr:nvCxnSpPr>
              <xdr:cNvPr id="317" name="Straight Connector 316">
                <a:extLst>
                  <a:ext uri="{FF2B5EF4-FFF2-40B4-BE49-F238E27FC236}">
                    <a16:creationId xmlns:a16="http://schemas.microsoft.com/office/drawing/2014/main" id="{00000000-0008-0000-0100-00003D010000}"/>
                  </a:ext>
                </a:extLst>
              </xdr:cNvPr>
              <xdr:cNvCxnSpPr>
                <a:cxnSpLocks/>
                <a:stCxn id="316" idx="3"/>
                <a:endCxn id="285" idx="1"/>
              </xdr:cNvCxnSpPr>
            </xdr:nvCxnSpPr>
            <xdr:spPr>
              <a:xfrm flipV="1">
                <a:off x="2400796" y="4816618"/>
                <a:ext cx="487576" cy="358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8" name="Straight Connector 317">
                <a:extLst>
                  <a:ext uri="{FF2B5EF4-FFF2-40B4-BE49-F238E27FC236}">
                    <a16:creationId xmlns:a16="http://schemas.microsoft.com/office/drawing/2014/main" id="{00000000-0008-0000-0100-00003E010000}"/>
                  </a:ext>
                </a:extLst>
              </xdr:cNvPr>
              <xdr:cNvCxnSpPr>
                <a:cxnSpLocks/>
                <a:stCxn id="269" idx="3"/>
                <a:endCxn id="323" idx="2"/>
              </xdr:cNvCxnSpPr>
            </xdr:nvCxnSpPr>
            <xdr:spPr>
              <a:xfrm>
                <a:off x="4532000" y="5622004"/>
                <a:ext cx="940110" cy="42675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9" name="Straight Connector 318">
                <a:extLst>
                  <a:ext uri="{FF2B5EF4-FFF2-40B4-BE49-F238E27FC236}">
                    <a16:creationId xmlns:a16="http://schemas.microsoft.com/office/drawing/2014/main" id="{00000000-0008-0000-0100-00003F010000}"/>
                  </a:ext>
                </a:extLst>
              </xdr:cNvPr>
              <xdr:cNvCxnSpPr>
                <a:cxnSpLocks/>
                <a:stCxn id="263" idx="3"/>
                <a:endCxn id="269" idx="1"/>
              </xdr:cNvCxnSpPr>
            </xdr:nvCxnSpPr>
            <xdr:spPr>
              <a:xfrm flipV="1">
                <a:off x="2386703" y="5622004"/>
                <a:ext cx="839464" cy="433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20" name="Straight Connector 319">
                <a:extLst>
                  <a:ext uri="{FF2B5EF4-FFF2-40B4-BE49-F238E27FC236}">
                    <a16:creationId xmlns:a16="http://schemas.microsoft.com/office/drawing/2014/main" id="{00000000-0008-0000-0100-000040010000}"/>
                  </a:ext>
                </a:extLst>
              </xdr:cNvPr>
              <xdr:cNvCxnSpPr>
                <a:cxnSpLocks/>
                <a:stCxn id="263" idx="3"/>
                <a:endCxn id="286" idx="1"/>
              </xdr:cNvCxnSpPr>
            </xdr:nvCxnSpPr>
            <xdr:spPr>
              <a:xfrm flipV="1">
                <a:off x="2386703" y="5202122"/>
                <a:ext cx="377270" cy="4242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21" name="Straight Connector 320">
                <a:extLst>
                  <a:ext uri="{FF2B5EF4-FFF2-40B4-BE49-F238E27FC236}">
                    <a16:creationId xmlns:a16="http://schemas.microsoft.com/office/drawing/2014/main" id="{00000000-0008-0000-0100-000041010000}"/>
                  </a:ext>
                </a:extLst>
              </xdr:cNvPr>
              <xdr:cNvCxnSpPr>
                <a:cxnSpLocks/>
                <a:stCxn id="303" idx="3"/>
                <a:endCxn id="323" idx="2"/>
              </xdr:cNvCxnSpPr>
            </xdr:nvCxnSpPr>
            <xdr:spPr>
              <a:xfrm flipV="1">
                <a:off x="4888530" y="6048755"/>
                <a:ext cx="583579" cy="37273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22" name="TextBox 173">
                <a:extLst>
                  <a:ext uri="{FF2B5EF4-FFF2-40B4-BE49-F238E27FC236}">
                    <a16:creationId xmlns:a16="http://schemas.microsoft.com/office/drawing/2014/main" id="{00000000-0008-0000-0100-000042010000}"/>
                  </a:ext>
                </a:extLst>
              </xdr:cNvPr>
              <xdr:cNvSpPr txBox="1"/>
            </xdr:nvSpPr>
            <xdr:spPr>
              <a:xfrm>
                <a:off x="3491165" y="2769809"/>
                <a:ext cx="76903" cy="77063"/>
              </a:xfrm>
              <a:prstGeom prst="ellipse">
                <a:avLst/>
              </a:prstGeom>
              <a:noFill/>
              <a:ln>
                <a:solidFill>
                  <a:schemeClr val="tx1"/>
                </a:solidFill>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IE" sz="1200" b="1"/>
              </a:p>
            </xdr:txBody>
          </xdr:sp>
          <xdr:sp macro="" textlink="">
            <xdr:nvSpPr>
              <xdr:cNvPr id="323" name="TextBox 174">
                <a:extLst>
                  <a:ext uri="{FF2B5EF4-FFF2-40B4-BE49-F238E27FC236}">
                    <a16:creationId xmlns:a16="http://schemas.microsoft.com/office/drawing/2014/main" id="{00000000-0008-0000-0100-000043010000}"/>
                  </a:ext>
                </a:extLst>
              </xdr:cNvPr>
              <xdr:cNvSpPr txBox="1"/>
            </xdr:nvSpPr>
            <xdr:spPr>
              <a:xfrm>
                <a:off x="5472109" y="6010222"/>
                <a:ext cx="76903" cy="77063"/>
              </a:xfrm>
              <a:prstGeom prst="ellipse">
                <a:avLst/>
              </a:prstGeom>
              <a:noFill/>
              <a:ln>
                <a:solidFill>
                  <a:schemeClr val="tx1"/>
                </a:solidFill>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IE" sz="1200" b="1"/>
              </a:p>
            </xdr:txBody>
          </xdr:sp>
          <xdr:cxnSp macro="">
            <xdr:nvCxnSpPr>
              <xdr:cNvPr id="324" name="Straight Connector 323">
                <a:extLst>
                  <a:ext uri="{FF2B5EF4-FFF2-40B4-BE49-F238E27FC236}">
                    <a16:creationId xmlns:a16="http://schemas.microsoft.com/office/drawing/2014/main" id="{00000000-0008-0000-0100-000044010000}"/>
                  </a:ext>
                </a:extLst>
              </xdr:cNvPr>
              <xdr:cNvCxnSpPr>
                <a:cxnSpLocks/>
                <a:stCxn id="270" idx="3"/>
                <a:endCxn id="323" idx="2"/>
              </xdr:cNvCxnSpPr>
            </xdr:nvCxnSpPr>
            <xdr:spPr>
              <a:xfrm>
                <a:off x="4665433" y="5904539"/>
                <a:ext cx="806677" cy="1442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88" name="Group 187">
              <a:extLst>
                <a:ext uri="{FF2B5EF4-FFF2-40B4-BE49-F238E27FC236}">
                  <a16:creationId xmlns:a16="http://schemas.microsoft.com/office/drawing/2014/main" id="{00000000-0008-0000-0100-0000BC000000}"/>
                </a:ext>
              </a:extLst>
            </xdr:cNvPr>
            <xdr:cNvGrpSpPr/>
          </xdr:nvGrpSpPr>
          <xdr:grpSpPr>
            <a:xfrm>
              <a:off x="176170" y="728694"/>
              <a:ext cx="11766000" cy="5515372"/>
              <a:chOff x="176170" y="728694"/>
              <a:chExt cx="11766000" cy="5515372"/>
            </a:xfrm>
          </xdr:grpSpPr>
          <xdr:grpSp>
            <xdr:nvGrpSpPr>
              <xdr:cNvPr id="235" name="Group 234">
                <a:extLst>
                  <a:ext uri="{FF2B5EF4-FFF2-40B4-BE49-F238E27FC236}">
                    <a16:creationId xmlns:a16="http://schemas.microsoft.com/office/drawing/2014/main" id="{00000000-0008-0000-0100-0000EB000000}"/>
                  </a:ext>
                </a:extLst>
              </xdr:cNvPr>
              <xdr:cNvGrpSpPr/>
            </xdr:nvGrpSpPr>
            <xdr:grpSpPr>
              <a:xfrm>
                <a:off x="176170" y="728694"/>
                <a:ext cx="11766000" cy="5515372"/>
                <a:chOff x="1229285" y="1612996"/>
                <a:chExt cx="9756508" cy="4636233"/>
              </a:xfrm>
            </xdr:grpSpPr>
            <xdr:cxnSp macro="">
              <xdr:nvCxnSpPr>
                <xdr:cNvPr id="246" name="Straight Arrow Connector 245">
                  <a:extLst>
                    <a:ext uri="{FF2B5EF4-FFF2-40B4-BE49-F238E27FC236}">
                      <a16:creationId xmlns:a16="http://schemas.microsoft.com/office/drawing/2014/main" id="{00000000-0008-0000-0100-0000F6000000}"/>
                    </a:ext>
                  </a:extLst>
                </xdr:cNvPr>
                <xdr:cNvCxnSpPr>
                  <a:cxnSpLocks/>
                </xdr:cNvCxnSpPr>
              </xdr:nvCxnSpPr>
              <xdr:spPr>
                <a:xfrm>
                  <a:off x="3819377" y="4571763"/>
                  <a:ext cx="5738725" cy="7536"/>
                </a:xfrm>
                <a:prstGeom prst="straightConnector1">
                  <a:avLst/>
                </a:prstGeom>
                <a:ln w="57150">
                  <a:solidFill>
                    <a:schemeClr val="accent1"/>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247" name="Straight Arrow Connector 246">
                  <a:extLst>
                    <a:ext uri="{FF2B5EF4-FFF2-40B4-BE49-F238E27FC236}">
                      <a16:creationId xmlns:a16="http://schemas.microsoft.com/office/drawing/2014/main" id="{00000000-0008-0000-0100-0000F7000000}"/>
                    </a:ext>
                  </a:extLst>
                </xdr:cNvPr>
                <xdr:cNvCxnSpPr>
                  <a:cxnSpLocks/>
                </xdr:cNvCxnSpPr>
              </xdr:nvCxnSpPr>
              <xdr:spPr>
                <a:xfrm flipV="1">
                  <a:off x="5117001" y="4807275"/>
                  <a:ext cx="435797" cy="10774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8" name="Straight Arrow Connector 247">
                  <a:extLst>
                    <a:ext uri="{FF2B5EF4-FFF2-40B4-BE49-F238E27FC236}">
                      <a16:creationId xmlns:a16="http://schemas.microsoft.com/office/drawing/2014/main" id="{00000000-0008-0000-0100-0000F8000000}"/>
                    </a:ext>
                  </a:extLst>
                </xdr:cNvPr>
                <xdr:cNvCxnSpPr>
                  <a:cxnSpLocks/>
                </xdr:cNvCxnSpPr>
              </xdr:nvCxnSpPr>
              <xdr:spPr>
                <a:xfrm flipV="1">
                  <a:off x="8325388" y="4657358"/>
                  <a:ext cx="455098" cy="1227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9" name="TextBox 22">
                  <a:extLst>
                    <a:ext uri="{FF2B5EF4-FFF2-40B4-BE49-F238E27FC236}">
                      <a16:creationId xmlns:a16="http://schemas.microsoft.com/office/drawing/2014/main" id="{00000000-0008-0000-0100-0000F9000000}"/>
                    </a:ext>
                  </a:extLst>
                </xdr:cNvPr>
                <xdr:cNvSpPr txBox="1"/>
              </xdr:nvSpPr>
              <xdr:spPr>
                <a:xfrm>
                  <a:off x="3437552" y="5938655"/>
                  <a:ext cx="1710524" cy="310574"/>
                </a:xfrm>
                <a:prstGeom prst="rect">
                  <a:avLst/>
                </a:prstGeom>
                <a:noFill/>
                <a:ln>
                  <a:solidFill>
                    <a:schemeClr val="accent1"/>
                  </a:solidFill>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801" b="1">
                      <a:solidFill>
                        <a:srgbClr val="005EAE"/>
                      </a:solidFill>
                    </a:rPr>
                    <a:t>Airport Operations</a:t>
                  </a:r>
                </a:p>
              </xdr:txBody>
            </xdr:sp>
            <xdr:sp macro="" textlink="">
              <xdr:nvSpPr>
                <xdr:cNvPr id="250" name="TextBox 24">
                  <a:extLst>
                    <a:ext uri="{FF2B5EF4-FFF2-40B4-BE49-F238E27FC236}">
                      <a16:creationId xmlns:a16="http://schemas.microsoft.com/office/drawing/2014/main" id="{00000000-0008-0000-0100-0000FA000000}"/>
                    </a:ext>
                  </a:extLst>
                </xdr:cNvPr>
                <xdr:cNvSpPr txBox="1"/>
              </xdr:nvSpPr>
              <xdr:spPr>
                <a:xfrm>
                  <a:off x="6536100" y="5938474"/>
                  <a:ext cx="1710524" cy="310574"/>
                </a:xfrm>
                <a:prstGeom prst="rect">
                  <a:avLst/>
                </a:prstGeom>
                <a:noFill/>
                <a:ln>
                  <a:solidFill>
                    <a:schemeClr val="accent1"/>
                  </a:solidFill>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801" b="1">
                      <a:solidFill>
                        <a:srgbClr val="005EAE"/>
                      </a:solidFill>
                    </a:rPr>
                    <a:t>Aircraft Operations</a:t>
                  </a:r>
                </a:p>
              </xdr:txBody>
            </xdr:sp>
            <xdr:sp macro="" textlink="">
              <xdr:nvSpPr>
                <xdr:cNvPr id="251" name="TextBox 25">
                  <a:extLst>
                    <a:ext uri="{FF2B5EF4-FFF2-40B4-BE49-F238E27FC236}">
                      <a16:creationId xmlns:a16="http://schemas.microsoft.com/office/drawing/2014/main" id="{00000000-0008-0000-0100-0000FB000000}"/>
                    </a:ext>
                  </a:extLst>
                </xdr:cNvPr>
                <xdr:cNvSpPr txBox="1"/>
              </xdr:nvSpPr>
              <xdr:spPr>
                <a:xfrm>
                  <a:off x="7004193" y="1612996"/>
                  <a:ext cx="1450850" cy="310574"/>
                </a:xfrm>
                <a:prstGeom prst="rect">
                  <a:avLst/>
                </a:prstGeom>
                <a:noFill/>
                <a:ln>
                  <a:solidFill>
                    <a:schemeClr val="accent1"/>
                  </a:solidFill>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801" b="1">
                      <a:solidFill>
                        <a:srgbClr val="005EAE"/>
                      </a:solidFill>
                    </a:rPr>
                    <a:t>Fuel Production</a:t>
                  </a:r>
                </a:p>
              </xdr:txBody>
            </xdr:sp>
            <xdr:sp macro="" textlink="">
              <xdr:nvSpPr>
                <xdr:cNvPr id="252" name="TextBox 26">
                  <a:extLst>
                    <a:ext uri="{FF2B5EF4-FFF2-40B4-BE49-F238E27FC236}">
                      <a16:creationId xmlns:a16="http://schemas.microsoft.com/office/drawing/2014/main" id="{00000000-0008-0000-0100-0000FC000000}"/>
                    </a:ext>
                  </a:extLst>
                </xdr:cNvPr>
                <xdr:cNvSpPr txBox="1"/>
              </xdr:nvSpPr>
              <xdr:spPr>
                <a:xfrm>
                  <a:off x="1229285" y="1616553"/>
                  <a:ext cx="3330258" cy="310574"/>
                </a:xfrm>
                <a:prstGeom prst="rect">
                  <a:avLst/>
                </a:prstGeom>
                <a:noFill/>
                <a:ln>
                  <a:solidFill>
                    <a:schemeClr val="accent1"/>
                  </a:solidFill>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801" b="1">
                      <a:solidFill>
                        <a:srgbClr val="005EAE"/>
                      </a:solidFill>
                    </a:rPr>
                    <a:t>Feedstock Production and Procurement</a:t>
                  </a:r>
                </a:p>
              </xdr:txBody>
            </xdr:sp>
            <xdr:sp macro="" textlink="">
              <xdr:nvSpPr>
                <xdr:cNvPr id="253" name="TextBox 40">
                  <a:extLst>
                    <a:ext uri="{FF2B5EF4-FFF2-40B4-BE49-F238E27FC236}">
                      <a16:creationId xmlns:a16="http://schemas.microsoft.com/office/drawing/2014/main" id="{00000000-0008-0000-0100-0000FD000000}"/>
                    </a:ext>
                  </a:extLst>
                </xdr:cNvPr>
                <xdr:cNvSpPr txBox="1"/>
              </xdr:nvSpPr>
              <xdr:spPr>
                <a:xfrm>
                  <a:off x="9558102" y="4191055"/>
                  <a:ext cx="1427691" cy="776488"/>
                </a:xfrm>
                <a:prstGeom prst="rect">
                  <a:avLst/>
                </a:prstGeom>
                <a:noFill/>
                <a:ln w="28575">
                  <a:solidFill>
                    <a:schemeClr val="accent1"/>
                  </a:solidFill>
                  <a:extLst>
                    <a:ext uri="{C807C97D-BFC1-408E-A445-0C87EB9F89A2}">
                      <ask:lineSketchStyleProps xmlns:ask="http://schemas.microsoft.com/office/drawing/2018/sketchyshapes" sd="1124184483">
                        <a:custGeom>
                          <a:avLst/>
                          <a:gdLst>
                            <a:gd name="connsiteX0" fmla="*/ 0 w 1427691"/>
                            <a:gd name="connsiteY0" fmla="*/ 0 h 1219756"/>
                            <a:gd name="connsiteX1" fmla="*/ 1427691 w 1427691"/>
                            <a:gd name="connsiteY1" fmla="*/ 0 h 1219756"/>
                            <a:gd name="connsiteX2" fmla="*/ 1427691 w 1427691"/>
                            <a:gd name="connsiteY2" fmla="*/ 1219756 h 1219756"/>
                            <a:gd name="connsiteX3" fmla="*/ 0 w 1427691"/>
                            <a:gd name="connsiteY3" fmla="*/ 1219756 h 1219756"/>
                            <a:gd name="connsiteX4" fmla="*/ 0 w 1427691"/>
                            <a:gd name="connsiteY4" fmla="*/ 0 h 121975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427691" h="1219756" extrusionOk="0">
                              <a:moveTo>
                                <a:pt x="0" y="0"/>
                              </a:moveTo>
                              <a:cubicBezTo>
                                <a:pt x="499636" y="94933"/>
                                <a:pt x="1145308" y="-73707"/>
                                <a:pt x="1427691" y="0"/>
                              </a:cubicBezTo>
                              <a:cubicBezTo>
                                <a:pt x="1397683" y="377727"/>
                                <a:pt x="1503051" y="1090699"/>
                                <a:pt x="1427691" y="1219756"/>
                              </a:cubicBezTo>
                              <a:cubicBezTo>
                                <a:pt x="777619" y="1237677"/>
                                <a:pt x="598254" y="1218459"/>
                                <a:pt x="0" y="1219756"/>
                              </a:cubicBezTo>
                              <a:cubicBezTo>
                                <a:pt x="-11447" y="820069"/>
                                <a:pt x="22188" y="516268"/>
                                <a:pt x="0" y="0"/>
                              </a:cubicBezTo>
                              <a:close/>
                            </a:path>
                          </a:pathLst>
                        </a:custGeom>
                        <ask:type>
                          <ask:lineSketchNone/>
                        </ask:type>
                      </ask:lineSketchStyleProps>
                    </a:ext>
                  </a:extLst>
                </a:ln>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801" b="1">
                      <a:solidFill>
                        <a:srgbClr val="005EAE"/>
                      </a:solidFill>
                    </a:rPr>
                    <a:t>Completed LCA of TCD-Ryanair Scenario 1</a:t>
                  </a:r>
                </a:p>
              </xdr:txBody>
            </xdr:sp>
            <xdr:grpSp>
              <xdr:nvGrpSpPr>
                <xdr:cNvPr id="254" name="Group 253">
                  <a:extLst>
                    <a:ext uri="{FF2B5EF4-FFF2-40B4-BE49-F238E27FC236}">
                      <a16:creationId xmlns:a16="http://schemas.microsoft.com/office/drawing/2014/main" id="{00000000-0008-0000-0100-0000FE000000}"/>
                    </a:ext>
                  </a:extLst>
                </xdr:cNvPr>
                <xdr:cNvGrpSpPr/>
              </xdr:nvGrpSpPr>
              <xdr:grpSpPr>
                <a:xfrm>
                  <a:off x="7547771" y="4687549"/>
                  <a:ext cx="1044906" cy="206977"/>
                  <a:chOff x="7547771" y="4687549"/>
                  <a:chExt cx="1044906" cy="206977"/>
                </a:xfrm>
              </xdr:grpSpPr>
              <xdr:cxnSp macro="">
                <xdr:nvCxnSpPr>
                  <xdr:cNvPr id="255" name="Straight Arrow Connector 254">
                    <a:extLst>
                      <a:ext uri="{FF2B5EF4-FFF2-40B4-BE49-F238E27FC236}">
                        <a16:creationId xmlns:a16="http://schemas.microsoft.com/office/drawing/2014/main" id="{00000000-0008-0000-0100-0000FF000000}"/>
                      </a:ext>
                    </a:extLst>
                  </xdr:cNvPr>
                  <xdr:cNvCxnSpPr>
                    <a:cxnSpLocks/>
                    <a:stCxn id="256" idx="3"/>
                  </xdr:cNvCxnSpPr>
                </xdr:nvCxnSpPr>
                <xdr:spPr>
                  <a:xfrm>
                    <a:off x="8404484" y="4791038"/>
                    <a:ext cx="188193"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6" name="TextBox 47">
                    <a:extLst>
                      <a:ext uri="{FF2B5EF4-FFF2-40B4-BE49-F238E27FC236}">
                        <a16:creationId xmlns:a16="http://schemas.microsoft.com/office/drawing/2014/main" id="{00000000-0008-0000-0100-000000010000}"/>
                      </a:ext>
                    </a:extLst>
                  </xdr:cNvPr>
                  <xdr:cNvSpPr txBox="1"/>
                </xdr:nvSpPr>
                <xdr:spPr>
                  <a:xfrm>
                    <a:off x="7547771" y="4687549"/>
                    <a:ext cx="856713" cy="206977"/>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rgbClr val="00B050"/>
                        </a:solidFill>
                      </a:rPr>
                      <a:t>Type of aircraft</a:t>
                    </a:r>
                  </a:p>
                </xdr:txBody>
              </xdr:sp>
            </xdr:grpSp>
          </xdr:grpSp>
          <xdr:cxnSp macro="">
            <xdr:nvCxnSpPr>
              <xdr:cNvPr id="236" name="Straight Arrow Connector 235">
                <a:extLst>
                  <a:ext uri="{FF2B5EF4-FFF2-40B4-BE49-F238E27FC236}">
                    <a16:creationId xmlns:a16="http://schemas.microsoft.com/office/drawing/2014/main" id="{00000000-0008-0000-0100-0000EC000000}"/>
                  </a:ext>
                </a:extLst>
              </xdr:cNvPr>
              <xdr:cNvCxnSpPr>
                <a:cxnSpLocks/>
                <a:stCxn id="237" idx="3"/>
              </xdr:cNvCxnSpPr>
            </xdr:nvCxnSpPr>
            <xdr:spPr>
              <a:xfrm>
                <a:off x="8738233" y="4729908"/>
                <a:ext cx="230561"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7" name="TextBox 177">
                <a:extLst>
                  <a:ext uri="{FF2B5EF4-FFF2-40B4-BE49-F238E27FC236}">
                    <a16:creationId xmlns:a16="http://schemas.microsoft.com/office/drawing/2014/main" id="{00000000-0008-0000-0100-0000ED000000}"/>
                  </a:ext>
                </a:extLst>
              </xdr:cNvPr>
              <xdr:cNvSpPr txBox="1"/>
            </xdr:nvSpPr>
            <xdr:spPr>
              <a:xfrm>
                <a:off x="7852423" y="4606797"/>
                <a:ext cx="88581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rgbClr val="00B050"/>
                    </a:solidFill>
                  </a:rPr>
                  <a:t>SAF Blend %</a:t>
                </a:r>
              </a:p>
            </xdr:txBody>
          </xdr:sp>
          <xdr:cxnSp macro="">
            <xdr:nvCxnSpPr>
              <xdr:cNvPr id="238" name="Straight Arrow Connector 237">
                <a:extLst>
                  <a:ext uri="{FF2B5EF4-FFF2-40B4-BE49-F238E27FC236}">
                    <a16:creationId xmlns:a16="http://schemas.microsoft.com/office/drawing/2014/main" id="{00000000-0008-0000-0100-0000EE000000}"/>
                  </a:ext>
                </a:extLst>
              </xdr:cNvPr>
              <xdr:cNvCxnSpPr>
                <a:cxnSpLocks/>
                <a:stCxn id="239" idx="3"/>
              </xdr:cNvCxnSpPr>
            </xdr:nvCxnSpPr>
            <xdr:spPr>
              <a:xfrm>
                <a:off x="8641144" y="4973533"/>
                <a:ext cx="21980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9" name="TextBox 179">
                <a:extLst>
                  <a:ext uri="{FF2B5EF4-FFF2-40B4-BE49-F238E27FC236}">
                    <a16:creationId xmlns:a16="http://schemas.microsoft.com/office/drawing/2014/main" id="{00000000-0008-0000-0100-0000EF000000}"/>
                  </a:ext>
                </a:extLst>
              </xdr:cNvPr>
              <xdr:cNvSpPr txBox="1"/>
            </xdr:nvSpPr>
            <xdr:spPr>
              <a:xfrm>
                <a:off x="7732028" y="4850422"/>
                <a:ext cx="909116"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rgbClr val="00B050"/>
                    </a:solidFill>
                  </a:rPr>
                  <a:t>Flight route</a:t>
                </a:r>
              </a:p>
            </xdr:txBody>
          </xdr:sp>
          <xdr:cxnSp macro="">
            <xdr:nvCxnSpPr>
              <xdr:cNvPr id="240" name="Straight Arrow Connector 239">
                <a:extLst>
                  <a:ext uri="{FF2B5EF4-FFF2-40B4-BE49-F238E27FC236}">
                    <a16:creationId xmlns:a16="http://schemas.microsoft.com/office/drawing/2014/main" id="{00000000-0008-0000-0100-0000F0000000}"/>
                  </a:ext>
                </a:extLst>
              </xdr:cNvPr>
              <xdr:cNvCxnSpPr>
                <a:cxnSpLocks/>
                <a:stCxn id="241" idx="3"/>
              </xdr:cNvCxnSpPr>
            </xdr:nvCxnSpPr>
            <xdr:spPr>
              <a:xfrm>
                <a:off x="8411865" y="5437788"/>
                <a:ext cx="262805"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1" name="TextBox 181">
                <a:extLst>
                  <a:ext uri="{FF2B5EF4-FFF2-40B4-BE49-F238E27FC236}">
                    <a16:creationId xmlns:a16="http://schemas.microsoft.com/office/drawing/2014/main" id="{00000000-0008-0000-0100-0000F1000000}"/>
                  </a:ext>
                </a:extLst>
              </xdr:cNvPr>
              <xdr:cNvSpPr txBox="1"/>
            </xdr:nvSpPr>
            <xdr:spPr>
              <a:xfrm>
                <a:off x="7061599" y="5314677"/>
                <a:ext cx="1350266"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Time per flight stage</a:t>
                </a:r>
              </a:p>
            </xdr:txBody>
          </xdr:sp>
          <xdr:cxnSp macro="">
            <xdr:nvCxnSpPr>
              <xdr:cNvPr id="242" name="Straight Arrow Connector 241">
                <a:extLst>
                  <a:ext uri="{FF2B5EF4-FFF2-40B4-BE49-F238E27FC236}">
                    <a16:creationId xmlns:a16="http://schemas.microsoft.com/office/drawing/2014/main" id="{00000000-0008-0000-0100-0000F2000000}"/>
                  </a:ext>
                </a:extLst>
              </xdr:cNvPr>
              <xdr:cNvCxnSpPr>
                <a:cxnSpLocks/>
                <a:stCxn id="243" idx="3"/>
              </xdr:cNvCxnSpPr>
            </xdr:nvCxnSpPr>
            <xdr:spPr>
              <a:xfrm>
                <a:off x="8502910" y="5195939"/>
                <a:ext cx="23090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3" name="TextBox 183">
                <a:extLst>
                  <a:ext uri="{FF2B5EF4-FFF2-40B4-BE49-F238E27FC236}">
                    <a16:creationId xmlns:a16="http://schemas.microsoft.com/office/drawing/2014/main" id="{00000000-0008-0000-0100-0000F3000000}"/>
                  </a:ext>
                </a:extLst>
              </xdr:cNvPr>
              <xdr:cNvSpPr txBox="1"/>
            </xdr:nvSpPr>
            <xdr:spPr>
              <a:xfrm>
                <a:off x="7464602" y="5072828"/>
                <a:ext cx="1038309"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Cruise altitude</a:t>
                </a:r>
              </a:p>
            </xdr:txBody>
          </xdr:sp>
          <xdr:sp macro="" textlink="">
            <xdr:nvSpPr>
              <xdr:cNvPr id="244" name="TextBox 184">
                <a:extLst>
                  <a:ext uri="{FF2B5EF4-FFF2-40B4-BE49-F238E27FC236}">
                    <a16:creationId xmlns:a16="http://schemas.microsoft.com/office/drawing/2014/main" id="{00000000-0008-0000-0100-0000F4000000}"/>
                  </a:ext>
                </a:extLst>
              </xdr:cNvPr>
              <xdr:cNvSpPr txBox="1"/>
            </xdr:nvSpPr>
            <xdr:spPr>
              <a:xfrm>
                <a:off x="6705799" y="5540666"/>
                <a:ext cx="1615306"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Fuel used per flights stage</a:t>
                </a:r>
              </a:p>
            </xdr:txBody>
          </xdr:sp>
          <xdr:cxnSp macro="">
            <xdr:nvCxnSpPr>
              <xdr:cNvPr id="245" name="Straight Arrow Connector 244">
                <a:extLst>
                  <a:ext uri="{FF2B5EF4-FFF2-40B4-BE49-F238E27FC236}">
                    <a16:creationId xmlns:a16="http://schemas.microsoft.com/office/drawing/2014/main" id="{00000000-0008-0000-0100-0000F5000000}"/>
                  </a:ext>
                </a:extLst>
              </xdr:cNvPr>
              <xdr:cNvCxnSpPr>
                <a:cxnSpLocks/>
                <a:stCxn id="244" idx="3"/>
              </xdr:cNvCxnSpPr>
            </xdr:nvCxnSpPr>
            <xdr:spPr>
              <a:xfrm>
                <a:off x="8321105" y="5663777"/>
                <a:ext cx="21310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189" name="Group 188">
              <a:extLst>
                <a:ext uri="{FF2B5EF4-FFF2-40B4-BE49-F238E27FC236}">
                  <a16:creationId xmlns:a16="http://schemas.microsoft.com/office/drawing/2014/main" id="{00000000-0008-0000-0100-0000BD000000}"/>
                </a:ext>
              </a:extLst>
            </xdr:cNvPr>
            <xdr:cNvGrpSpPr/>
          </xdr:nvGrpSpPr>
          <xdr:grpSpPr>
            <a:xfrm>
              <a:off x="134873" y="4225589"/>
              <a:ext cx="5153769" cy="1973338"/>
              <a:chOff x="3824151" y="2935910"/>
              <a:chExt cx="6138504" cy="2806935"/>
            </a:xfrm>
          </xdr:grpSpPr>
          <xdr:grpSp>
            <xdr:nvGrpSpPr>
              <xdr:cNvPr id="190" name="Group 189">
                <a:extLst>
                  <a:ext uri="{FF2B5EF4-FFF2-40B4-BE49-F238E27FC236}">
                    <a16:creationId xmlns:a16="http://schemas.microsoft.com/office/drawing/2014/main" id="{00000000-0008-0000-0100-0000BE000000}"/>
                  </a:ext>
                </a:extLst>
              </xdr:cNvPr>
              <xdr:cNvGrpSpPr/>
            </xdr:nvGrpSpPr>
            <xdr:grpSpPr>
              <a:xfrm>
                <a:off x="7181212" y="3149838"/>
                <a:ext cx="2781443" cy="350232"/>
                <a:chOff x="4776453" y="2769804"/>
                <a:chExt cx="2738520" cy="350232"/>
              </a:xfrm>
            </xdr:grpSpPr>
            <xdr:cxnSp macro="">
              <xdr:nvCxnSpPr>
                <xdr:cNvPr id="233" name="Straight Arrow Connector 232">
                  <a:extLst>
                    <a:ext uri="{FF2B5EF4-FFF2-40B4-BE49-F238E27FC236}">
                      <a16:creationId xmlns:a16="http://schemas.microsoft.com/office/drawing/2014/main" id="{00000000-0008-0000-0100-0000E9000000}"/>
                    </a:ext>
                  </a:extLst>
                </xdr:cNvPr>
                <xdr:cNvCxnSpPr>
                  <a:cxnSpLocks/>
                </xdr:cNvCxnSpPr>
              </xdr:nvCxnSpPr>
              <xdr:spPr>
                <a:xfrm>
                  <a:off x="7323953" y="2969594"/>
                  <a:ext cx="19102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4" name="TextBox 235">
                  <a:extLst>
                    <a:ext uri="{FF2B5EF4-FFF2-40B4-BE49-F238E27FC236}">
                      <a16:creationId xmlns:a16="http://schemas.microsoft.com/office/drawing/2014/main" id="{00000000-0008-0000-0100-0000EA000000}"/>
                    </a:ext>
                  </a:extLst>
                </xdr:cNvPr>
                <xdr:cNvSpPr txBox="1"/>
              </xdr:nvSpPr>
              <xdr:spPr>
                <a:xfrm>
                  <a:off x="4776453" y="2769804"/>
                  <a:ext cx="2583630"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Fuel transport from refinery to airport</a:t>
                  </a:r>
                </a:p>
              </xdr:txBody>
            </xdr:sp>
          </xdr:grpSp>
          <xdr:grpSp>
            <xdr:nvGrpSpPr>
              <xdr:cNvPr id="191" name="Group 190">
                <a:extLst>
                  <a:ext uri="{FF2B5EF4-FFF2-40B4-BE49-F238E27FC236}">
                    <a16:creationId xmlns:a16="http://schemas.microsoft.com/office/drawing/2014/main" id="{00000000-0008-0000-0100-0000BF000000}"/>
                  </a:ext>
                </a:extLst>
              </xdr:cNvPr>
              <xdr:cNvGrpSpPr/>
            </xdr:nvGrpSpPr>
            <xdr:grpSpPr>
              <a:xfrm>
                <a:off x="8576329" y="3574897"/>
                <a:ext cx="1252580" cy="350232"/>
                <a:chOff x="6028415" y="2951291"/>
                <a:chExt cx="1252580" cy="350232"/>
              </a:xfrm>
            </xdr:grpSpPr>
            <xdr:cxnSp macro="">
              <xdr:nvCxnSpPr>
                <xdr:cNvPr id="231" name="Straight Arrow Connector 230">
                  <a:extLst>
                    <a:ext uri="{FF2B5EF4-FFF2-40B4-BE49-F238E27FC236}">
                      <a16:creationId xmlns:a16="http://schemas.microsoft.com/office/drawing/2014/main" id="{00000000-0008-0000-0100-0000E7000000}"/>
                    </a:ext>
                  </a:extLst>
                </xdr:cNvPr>
                <xdr:cNvCxnSpPr>
                  <a:cxnSpLocks/>
                  <a:stCxn id="232" idx="3"/>
                </xdr:cNvCxnSpPr>
              </xdr:nvCxnSpPr>
              <xdr:spPr>
                <a:xfrm>
                  <a:off x="7110622" y="3126408"/>
                  <a:ext cx="170373"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2" name="TextBox 233">
                  <a:extLst>
                    <a:ext uri="{FF2B5EF4-FFF2-40B4-BE49-F238E27FC236}">
                      <a16:creationId xmlns:a16="http://schemas.microsoft.com/office/drawing/2014/main" id="{00000000-0008-0000-0100-0000E8000000}"/>
                    </a:ext>
                  </a:extLst>
                </xdr:cNvPr>
                <xdr:cNvSpPr txBox="1"/>
              </xdr:nvSpPr>
              <xdr:spPr>
                <a:xfrm>
                  <a:off x="6028415" y="2951291"/>
                  <a:ext cx="1082207"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Fuel storage</a:t>
                  </a:r>
                </a:p>
              </xdr:txBody>
            </xdr:sp>
          </xdr:grpSp>
          <xdr:grpSp>
            <xdr:nvGrpSpPr>
              <xdr:cNvPr id="192" name="Group 191">
                <a:extLst>
                  <a:ext uri="{FF2B5EF4-FFF2-40B4-BE49-F238E27FC236}">
                    <a16:creationId xmlns:a16="http://schemas.microsoft.com/office/drawing/2014/main" id="{00000000-0008-0000-0100-0000C0000000}"/>
                  </a:ext>
                </a:extLst>
              </xdr:cNvPr>
              <xdr:cNvGrpSpPr/>
            </xdr:nvGrpSpPr>
            <xdr:grpSpPr>
              <a:xfrm>
                <a:off x="7722635" y="4096932"/>
                <a:ext cx="1934646" cy="350232"/>
                <a:chOff x="4898247" y="2982157"/>
                <a:chExt cx="1934646" cy="350232"/>
              </a:xfrm>
            </xdr:grpSpPr>
            <xdr:cxnSp macro="">
              <xdr:nvCxnSpPr>
                <xdr:cNvPr id="229" name="Straight Arrow Connector 228">
                  <a:extLst>
                    <a:ext uri="{FF2B5EF4-FFF2-40B4-BE49-F238E27FC236}">
                      <a16:creationId xmlns:a16="http://schemas.microsoft.com/office/drawing/2014/main" id="{00000000-0008-0000-0100-0000E5000000}"/>
                    </a:ext>
                  </a:extLst>
                </xdr:cNvPr>
                <xdr:cNvCxnSpPr>
                  <a:cxnSpLocks/>
                  <a:stCxn id="230" idx="3"/>
                </xdr:cNvCxnSpPr>
              </xdr:nvCxnSpPr>
              <xdr:spPr>
                <a:xfrm>
                  <a:off x="6662520" y="3157274"/>
                  <a:ext cx="170373"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0" name="TextBox 231">
                  <a:extLst>
                    <a:ext uri="{FF2B5EF4-FFF2-40B4-BE49-F238E27FC236}">
                      <a16:creationId xmlns:a16="http://schemas.microsoft.com/office/drawing/2014/main" id="{00000000-0008-0000-0100-0000E6000000}"/>
                    </a:ext>
                  </a:extLst>
                </xdr:cNvPr>
                <xdr:cNvSpPr txBox="1"/>
              </xdr:nvSpPr>
              <xdr:spPr>
                <a:xfrm>
                  <a:off x="4898247" y="2982157"/>
                  <a:ext cx="1764273"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Fuel transport to aircraft</a:t>
                  </a:r>
                </a:p>
              </xdr:txBody>
            </xdr:sp>
          </xdr:grpSp>
          <xdr:grpSp>
            <xdr:nvGrpSpPr>
              <xdr:cNvPr id="193" name="Group 192">
                <a:extLst>
                  <a:ext uri="{FF2B5EF4-FFF2-40B4-BE49-F238E27FC236}">
                    <a16:creationId xmlns:a16="http://schemas.microsoft.com/office/drawing/2014/main" id="{00000000-0008-0000-0100-0000C1000000}"/>
                  </a:ext>
                </a:extLst>
              </xdr:cNvPr>
              <xdr:cNvGrpSpPr/>
            </xdr:nvGrpSpPr>
            <xdr:grpSpPr>
              <a:xfrm>
                <a:off x="7291337" y="4524318"/>
                <a:ext cx="2135868" cy="350232"/>
                <a:chOff x="4258185" y="3230743"/>
                <a:chExt cx="2135868" cy="350232"/>
              </a:xfrm>
            </xdr:grpSpPr>
            <xdr:cxnSp macro="">
              <xdr:nvCxnSpPr>
                <xdr:cNvPr id="227" name="Straight Arrow Connector 226">
                  <a:extLst>
                    <a:ext uri="{FF2B5EF4-FFF2-40B4-BE49-F238E27FC236}">
                      <a16:creationId xmlns:a16="http://schemas.microsoft.com/office/drawing/2014/main" id="{00000000-0008-0000-0100-0000E3000000}"/>
                    </a:ext>
                  </a:extLst>
                </xdr:cNvPr>
                <xdr:cNvCxnSpPr>
                  <a:cxnSpLocks/>
                  <a:stCxn id="228" idx="3"/>
                </xdr:cNvCxnSpPr>
              </xdr:nvCxnSpPr>
              <xdr:spPr>
                <a:xfrm>
                  <a:off x="6198434" y="3405860"/>
                  <a:ext cx="195619"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8" name="TextBox 229">
                  <a:extLst>
                    <a:ext uri="{FF2B5EF4-FFF2-40B4-BE49-F238E27FC236}">
                      <a16:creationId xmlns:a16="http://schemas.microsoft.com/office/drawing/2014/main" id="{00000000-0008-0000-0100-0000E4000000}"/>
                    </a:ext>
                  </a:extLst>
                </xdr:cNvPr>
                <xdr:cNvSpPr txBox="1"/>
              </xdr:nvSpPr>
              <xdr:spPr>
                <a:xfrm>
                  <a:off x="4258185" y="3230743"/>
                  <a:ext cx="1940249"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Aircraft power use at gate</a:t>
                  </a:r>
                </a:p>
              </xdr:txBody>
            </xdr:sp>
          </xdr:grpSp>
          <xdr:grpSp>
            <xdr:nvGrpSpPr>
              <xdr:cNvPr id="194" name="Group 193">
                <a:extLst>
                  <a:ext uri="{FF2B5EF4-FFF2-40B4-BE49-F238E27FC236}">
                    <a16:creationId xmlns:a16="http://schemas.microsoft.com/office/drawing/2014/main" id="{00000000-0008-0000-0100-0000C2000000}"/>
                  </a:ext>
                </a:extLst>
              </xdr:cNvPr>
              <xdr:cNvGrpSpPr/>
            </xdr:nvGrpSpPr>
            <xdr:grpSpPr>
              <a:xfrm>
                <a:off x="6150569" y="4902831"/>
                <a:ext cx="3185932" cy="350231"/>
                <a:chOff x="3494404" y="3703894"/>
                <a:chExt cx="3185932" cy="350231"/>
              </a:xfrm>
            </xdr:grpSpPr>
            <xdr:cxnSp macro="">
              <xdr:nvCxnSpPr>
                <xdr:cNvPr id="225" name="Straight Arrow Connector 224">
                  <a:extLst>
                    <a:ext uri="{FF2B5EF4-FFF2-40B4-BE49-F238E27FC236}">
                      <a16:creationId xmlns:a16="http://schemas.microsoft.com/office/drawing/2014/main" id="{00000000-0008-0000-0100-0000E1000000}"/>
                    </a:ext>
                  </a:extLst>
                </xdr:cNvPr>
                <xdr:cNvCxnSpPr>
                  <a:cxnSpLocks/>
                  <a:stCxn id="226" idx="3"/>
                </xdr:cNvCxnSpPr>
              </xdr:nvCxnSpPr>
              <xdr:spPr>
                <a:xfrm flipV="1">
                  <a:off x="6479749" y="3877394"/>
                  <a:ext cx="200587" cy="161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6" name="TextBox 227">
                  <a:extLst>
                    <a:ext uri="{FF2B5EF4-FFF2-40B4-BE49-F238E27FC236}">
                      <a16:creationId xmlns:a16="http://schemas.microsoft.com/office/drawing/2014/main" id="{00000000-0008-0000-0100-0000E2000000}"/>
                    </a:ext>
                  </a:extLst>
                </xdr:cNvPr>
                <xdr:cNvSpPr txBox="1"/>
              </xdr:nvSpPr>
              <xdr:spPr>
                <a:xfrm>
                  <a:off x="3494404" y="3703894"/>
                  <a:ext cx="2985345" cy="35023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Auxiliary vehicles tending to aircraft at gate</a:t>
                  </a:r>
                </a:p>
              </xdr:txBody>
            </xdr:sp>
          </xdr:grpSp>
          <xdr:sp macro="" textlink="">
            <xdr:nvSpPr>
              <xdr:cNvPr id="195" name="TextBox 196">
                <a:extLst>
                  <a:ext uri="{FF2B5EF4-FFF2-40B4-BE49-F238E27FC236}">
                    <a16:creationId xmlns:a16="http://schemas.microsoft.com/office/drawing/2014/main" id="{00000000-0008-0000-0100-0000C3000000}"/>
                  </a:ext>
                </a:extLst>
              </xdr:cNvPr>
              <xdr:cNvSpPr txBox="1"/>
            </xdr:nvSpPr>
            <xdr:spPr>
              <a:xfrm>
                <a:off x="6177483" y="2935910"/>
                <a:ext cx="633974"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Sea</a:t>
                </a:r>
              </a:p>
            </xdr:txBody>
          </xdr:sp>
          <xdr:cxnSp macro="">
            <xdr:nvCxnSpPr>
              <xdr:cNvPr id="196" name="Straight Connector 195">
                <a:extLst>
                  <a:ext uri="{FF2B5EF4-FFF2-40B4-BE49-F238E27FC236}">
                    <a16:creationId xmlns:a16="http://schemas.microsoft.com/office/drawing/2014/main" id="{00000000-0008-0000-0100-0000C4000000}"/>
                  </a:ext>
                </a:extLst>
              </xdr:cNvPr>
              <xdr:cNvCxnSpPr>
                <a:cxnSpLocks/>
                <a:stCxn id="195" idx="3"/>
                <a:endCxn id="234" idx="1"/>
              </xdr:cNvCxnSpPr>
            </xdr:nvCxnSpPr>
            <xdr:spPr>
              <a:xfrm>
                <a:off x="6811457" y="3111027"/>
                <a:ext cx="369755" cy="21392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97" name="TextBox 198">
                <a:extLst>
                  <a:ext uri="{FF2B5EF4-FFF2-40B4-BE49-F238E27FC236}">
                    <a16:creationId xmlns:a16="http://schemas.microsoft.com/office/drawing/2014/main" id="{00000000-0008-0000-0100-0000C5000000}"/>
                  </a:ext>
                </a:extLst>
              </xdr:cNvPr>
              <xdr:cNvSpPr txBox="1"/>
            </xdr:nvSpPr>
            <xdr:spPr>
              <a:xfrm>
                <a:off x="6926859" y="3389606"/>
                <a:ext cx="1188302"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At refinery</a:t>
                </a:r>
              </a:p>
            </xdr:txBody>
          </xdr:sp>
          <xdr:cxnSp macro="">
            <xdr:nvCxnSpPr>
              <xdr:cNvPr id="198" name="Straight Connector 197">
                <a:extLst>
                  <a:ext uri="{FF2B5EF4-FFF2-40B4-BE49-F238E27FC236}">
                    <a16:creationId xmlns:a16="http://schemas.microsoft.com/office/drawing/2014/main" id="{00000000-0008-0000-0100-0000C6000000}"/>
                  </a:ext>
                </a:extLst>
              </xdr:cNvPr>
              <xdr:cNvCxnSpPr>
                <a:cxnSpLocks/>
                <a:stCxn id="197" idx="3"/>
                <a:endCxn id="232" idx="1"/>
              </xdr:cNvCxnSpPr>
            </xdr:nvCxnSpPr>
            <xdr:spPr>
              <a:xfrm>
                <a:off x="8115161" y="3564722"/>
                <a:ext cx="461168" cy="18529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99" name="TextBox 200">
                <a:extLst>
                  <a:ext uri="{FF2B5EF4-FFF2-40B4-BE49-F238E27FC236}">
                    <a16:creationId xmlns:a16="http://schemas.microsoft.com/office/drawing/2014/main" id="{00000000-0008-0000-0100-0000C7000000}"/>
                  </a:ext>
                </a:extLst>
              </xdr:cNvPr>
              <xdr:cNvSpPr txBox="1"/>
            </xdr:nvSpPr>
            <xdr:spPr>
              <a:xfrm>
                <a:off x="6692485" y="4000463"/>
                <a:ext cx="629257"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Road</a:t>
                </a:r>
              </a:p>
            </xdr:txBody>
          </xdr:sp>
          <xdr:cxnSp macro="">
            <xdr:nvCxnSpPr>
              <xdr:cNvPr id="200" name="Straight Connector 199">
                <a:extLst>
                  <a:ext uri="{FF2B5EF4-FFF2-40B4-BE49-F238E27FC236}">
                    <a16:creationId xmlns:a16="http://schemas.microsoft.com/office/drawing/2014/main" id="{00000000-0008-0000-0100-0000C8000000}"/>
                  </a:ext>
                </a:extLst>
              </xdr:cNvPr>
              <xdr:cNvCxnSpPr>
                <a:cxnSpLocks/>
                <a:stCxn id="199" idx="3"/>
                <a:endCxn id="230" idx="1"/>
              </xdr:cNvCxnSpPr>
            </xdr:nvCxnSpPr>
            <xdr:spPr>
              <a:xfrm>
                <a:off x="7321743" y="4175580"/>
                <a:ext cx="400892" cy="9646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TextBox 202">
                <a:extLst>
                  <a:ext uri="{FF2B5EF4-FFF2-40B4-BE49-F238E27FC236}">
                    <a16:creationId xmlns:a16="http://schemas.microsoft.com/office/drawing/2014/main" id="{00000000-0008-0000-0100-0000C9000000}"/>
                  </a:ext>
                </a:extLst>
              </xdr:cNvPr>
              <xdr:cNvSpPr txBox="1"/>
            </xdr:nvSpPr>
            <xdr:spPr>
              <a:xfrm>
                <a:off x="6703247" y="4209538"/>
                <a:ext cx="629257"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Pipe</a:t>
                </a:r>
              </a:p>
            </xdr:txBody>
          </xdr:sp>
          <xdr:cxnSp macro="">
            <xdr:nvCxnSpPr>
              <xdr:cNvPr id="202" name="Straight Connector 201">
                <a:extLst>
                  <a:ext uri="{FF2B5EF4-FFF2-40B4-BE49-F238E27FC236}">
                    <a16:creationId xmlns:a16="http://schemas.microsoft.com/office/drawing/2014/main" id="{00000000-0008-0000-0100-0000CA000000}"/>
                  </a:ext>
                </a:extLst>
              </xdr:cNvPr>
              <xdr:cNvCxnSpPr>
                <a:cxnSpLocks/>
                <a:stCxn id="201" idx="3"/>
                <a:endCxn id="230" idx="1"/>
              </xdr:cNvCxnSpPr>
            </xdr:nvCxnSpPr>
            <xdr:spPr>
              <a:xfrm flipV="1">
                <a:off x="7332505" y="4272048"/>
                <a:ext cx="390130" cy="112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TextBox 204">
                <a:extLst>
                  <a:ext uri="{FF2B5EF4-FFF2-40B4-BE49-F238E27FC236}">
                    <a16:creationId xmlns:a16="http://schemas.microsoft.com/office/drawing/2014/main" id="{00000000-0008-0000-0100-0000CB000000}"/>
                  </a:ext>
                </a:extLst>
              </xdr:cNvPr>
              <xdr:cNvSpPr txBox="1"/>
            </xdr:nvSpPr>
            <xdr:spPr>
              <a:xfrm>
                <a:off x="5499066" y="4445841"/>
                <a:ext cx="1582417"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rgbClr val="FF0000"/>
                    </a:solidFill>
                  </a:rPr>
                  <a:t>Auxiliary power unit</a:t>
                </a:r>
              </a:p>
            </xdr:txBody>
          </xdr:sp>
          <xdr:cxnSp macro="">
            <xdr:nvCxnSpPr>
              <xdr:cNvPr id="204" name="Straight Connector 203">
                <a:extLst>
                  <a:ext uri="{FF2B5EF4-FFF2-40B4-BE49-F238E27FC236}">
                    <a16:creationId xmlns:a16="http://schemas.microsoft.com/office/drawing/2014/main" id="{00000000-0008-0000-0100-0000CC000000}"/>
                  </a:ext>
                </a:extLst>
              </xdr:cNvPr>
              <xdr:cNvCxnSpPr>
                <a:cxnSpLocks/>
                <a:stCxn id="203" idx="3"/>
                <a:endCxn id="228" idx="1"/>
              </xdr:cNvCxnSpPr>
            </xdr:nvCxnSpPr>
            <xdr:spPr>
              <a:xfrm>
                <a:off x="7081484" y="4620957"/>
                <a:ext cx="209853" cy="7847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5" name="TextBox 206">
                <a:extLst>
                  <a:ext uri="{FF2B5EF4-FFF2-40B4-BE49-F238E27FC236}">
                    <a16:creationId xmlns:a16="http://schemas.microsoft.com/office/drawing/2014/main" id="{00000000-0008-0000-0100-0000CD000000}"/>
                  </a:ext>
                </a:extLst>
              </xdr:cNvPr>
              <xdr:cNvSpPr txBox="1"/>
            </xdr:nvSpPr>
            <xdr:spPr>
              <a:xfrm>
                <a:off x="5877168" y="4654912"/>
                <a:ext cx="1215078"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Ground power</a:t>
                </a:r>
              </a:p>
            </xdr:txBody>
          </xdr:sp>
          <xdr:cxnSp macro="">
            <xdr:nvCxnSpPr>
              <xdr:cNvPr id="206" name="Straight Connector 205">
                <a:extLst>
                  <a:ext uri="{FF2B5EF4-FFF2-40B4-BE49-F238E27FC236}">
                    <a16:creationId xmlns:a16="http://schemas.microsoft.com/office/drawing/2014/main" id="{00000000-0008-0000-0100-0000CE000000}"/>
                  </a:ext>
                </a:extLst>
              </xdr:cNvPr>
              <xdr:cNvCxnSpPr>
                <a:cxnSpLocks/>
                <a:stCxn id="205" idx="3"/>
                <a:endCxn id="228" idx="1"/>
              </xdr:cNvCxnSpPr>
            </xdr:nvCxnSpPr>
            <xdr:spPr>
              <a:xfrm flipV="1">
                <a:off x="7092245" y="4699434"/>
                <a:ext cx="199092" cy="13059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7" name="TextBox 208">
                <a:extLst>
                  <a:ext uri="{FF2B5EF4-FFF2-40B4-BE49-F238E27FC236}">
                    <a16:creationId xmlns:a16="http://schemas.microsoft.com/office/drawing/2014/main" id="{00000000-0008-0000-0100-0000CF000000}"/>
                  </a:ext>
                </a:extLst>
              </xdr:cNvPr>
              <xdr:cNvSpPr txBox="1"/>
            </xdr:nvSpPr>
            <xdr:spPr>
              <a:xfrm>
                <a:off x="3873339" y="4675363"/>
                <a:ext cx="1211729"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Stair vehicle</a:t>
                </a:r>
              </a:p>
            </xdr:txBody>
          </xdr:sp>
          <xdr:cxnSp macro="">
            <xdr:nvCxnSpPr>
              <xdr:cNvPr id="208" name="Straight Connector 207">
                <a:extLst>
                  <a:ext uri="{FF2B5EF4-FFF2-40B4-BE49-F238E27FC236}">
                    <a16:creationId xmlns:a16="http://schemas.microsoft.com/office/drawing/2014/main" id="{00000000-0008-0000-0100-0000D0000000}"/>
                  </a:ext>
                </a:extLst>
              </xdr:cNvPr>
              <xdr:cNvCxnSpPr>
                <a:cxnSpLocks/>
                <a:stCxn id="207" idx="3"/>
                <a:endCxn id="226" idx="1"/>
              </xdr:cNvCxnSpPr>
            </xdr:nvCxnSpPr>
            <xdr:spPr>
              <a:xfrm>
                <a:off x="5085069" y="4850479"/>
                <a:ext cx="1065500" cy="22746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9" name="TextBox 210">
                <a:extLst>
                  <a:ext uri="{FF2B5EF4-FFF2-40B4-BE49-F238E27FC236}">
                    <a16:creationId xmlns:a16="http://schemas.microsoft.com/office/drawing/2014/main" id="{00000000-0008-0000-0100-0000D1000000}"/>
                  </a:ext>
                </a:extLst>
              </xdr:cNvPr>
              <xdr:cNvSpPr txBox="1"/>
            </xdr:nvSpPr>
            <xdr:spPr>
              <a:xfrm>
                <a:off x="3824151" y="4901213"/>
                <a:ext cx="1255700"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Catering vehicle</a:t>
                </a:r>
              </a:p>
            </xdr:txBody>
          </xdr:sp>
          <xdr:cxnSp macro="">
            <xdr:nvCxnSpPr>
              <xdr:cNvPr id="210" name="Straight Connector 209">
                <a:extLst>
                  <a:ext uri="{FF2B5EF4-FFF2-40B4-BE49-F238E27FC236}">
                    <a16:creationId xmlns:a16="http://schemas.microsoft.com/office/drawing/2014/main" id="{00000000-0008-0000-0100-0000D2000000}"/>
                  </a:ext>
                </a:extLst>
              </xdr:cNvPr>
              <xdr:cNvCxnSpPr>
                <a:cxnSpLocks/>
                <a:stCxn id="209" idx="3"/>
                <a:endCxn id="226" idx="1"/>
              </xdr:cNvCxnSpPr>
            </xdr:nvCxnSpPr>
            <xdr:spPr>
              <a:xfrm>
                <a:off x="5079851" y="5076330"/>
                <a:ext cx="1070718" cy="16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11" name="TextBox 212">
                <a:extLst>
                  <a:ext uri="{FF2B5EF4-FFF2-40B4-BE49-F238E27FC236}">
                    <a16:creationId xmlns:a16="http://schemas.microsoft.com/office/drawing/2014/main" id="{00000000-0008-0000-0100-0000D3000000}"/>
                  </a:ext>
                </a:extLst>
              </xdr:cNvPr>
              <xdr:cNvSpPr txBox="1"/>
            </xdr:nvSpPr>
            <xdr:spPr>
              <a:xfrm>
                <a:off x="3884103" y="5144923"/>
                <a:ext cx="1211729"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Sanitary vehicle</a:t>
                </a:r>
              </a:p>
            </xdr:txBody>
          </xdr:sp>
          <xdr:cxnSp macro="">
            <xdr:nvCxnSpPr>
              <xdr:cNvPr id="212" name="Straight Connector 211">
                <a:extLst>
                  <a:ext uri="{FF2B5EF4-FFF2-40B4-BE49-F238E27FC236}">
                    <a16:creationId xmlns:a16="http://schemas.microsoft.com/office/drawing/2014/main" id="{00000000-0008-0000-0100-0000D4000000}"/>
                  </a:ext>
                </a:extLst>
              </xdr:cNvPr>
              <xdr:cNvCxnSpPr>
                <a:cxnSpLocks/>
                <a:stCxn id="211" idx="3"/>
                <a:endCxn id="226" idx="1"/>
              </xdr:cNvCxnSpPr>
            </xdr:nvCxnSpPr>
            <xdr:spPr>
              <a:xfrm flipV="1">
                <a:off x="5095833" y="5077946"/>
                <a:ext cx="1054735" cy="24209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13" name="TextBox 214">
                <a:extLst>
                  <a:ext uri="{FF2B5EF4-FFF2-40B4-BE49-F238E27FC236}">
                    <a16:creationId xmlns:a16="http://schemas.microsoft.com/office/drawing/2014/main" id="{00000000-0008-0000-0100-0000D5000000}"/>
                  </a:ext>
                </a:extLst>
              </xdr:cNvPr>
              <xdr:cNvSpPr txBox="1"/>
            </xdr:nvSpPr>
            <xdr:spPr>
              <a:xfrm>
                <a:off x="3991134" y="5392613"/>
                <a:ext cx="1104697"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Tug vehicle</a:t>
                </a:r>
              </a:p>
            </xdr:txBody>
          </xdr:sp>
          <xdr:cxnSp macro="">
            <xdr:nvCxnSpPr>
              <xdr:cNvPr id="214" name="Straight Connector 213">
                <a:extLst>
                  <a:ext uri="{FF2B5EF4-FFF2-40B4-BE49-F238E27FC236}">
                    <a16:creationId xmlns:a16="http://schemas.microsoft.com/office/drawing/2014/main" id="{00000000-0008-0000-0100-0000D6000000}"/>
                  </a:ext>
                </a:extLst>
              </xdr:cNvPr>
              <xdr:cNvCxnSpPr>
                <a:cxnSpLocks/>
                <a:stCxn id="213" idx="3"/>
                <a:endCxn id="226" idx="1"/>
              </xdr:cNvCxnSpPr>
            </xdr:nvCxnSpPr>
            <xdr:spPr>
              <a:xfrm flipV="1">
                <a:off x="5095832" y="5077946"/>
                <a:ext cx="1054737" cy="48978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15" name="TextBox 216">
                <a:extLst>
                  <a:ext uri="{FF2B5EF4-FFF2-40B4-BE49-F238E27FC236}">
                    <a16:creationId xmlns:a16="http://schemas.microsoft.com/office/drawing/2014/main" id="{00000000-0008-0000-0100-0000D7000000}"/>
                  </a:ext>
                </a:extLst>
              </xdr:cNvPr>
              <xdr:cNvSpPr txBox="1"/>
            </xdr:nvSpPr>
            <xdr:spPr>
              <a:xfrm>
                <a:off x="6137526" y="3145344"/>
                <a:ext cx="662956"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Road</a:t>
                </a:r>
              </a:p>
            </xdr:txBody>
          </xdr:sp>
          <xdr:sp macro="" textlink="">
            <xdr:nvSpPr>
              <xdr:cNvPr id="216" name="TextBox 217">
                <a:extLst>
                  <a:ext uri="{FF2B5EF4-FFF2-40B4-BE49-F238E27FC236}">
                    <a16:creationId xmlns:a16="http://schemas.microsoft.com/office/drawing/2014/main" id="{00000000-0008-0000-0100-0000D8000000}"/>
                  </a:ext>
                </a:extLst>
              </xdr:cNvPr>
              <xdr:cNvSpPr txBox="1"/>
            </xdr:nvSpPr>
            <xdr:spPr>
              <a:xfrm>
                <a:off x="6171123" y="3354778"/>
                <a:ext cx="662956"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Pipe</a:t>
                </a:r>
              </a:p>
            </xdr:txBody>
          </xdr:sp>
          <xdr:cxnSp macro="">
            <xdr:nvCxnSpPr>
              <xdr:cNvPr id="217" name="Straight Connector 216">
                <a:extLst>
                  <a:ext uri="{FF2B5EF4-FFF2-40B4-BE49-F238E27FC236}">
                    <a16:creationId xmlns:a16="http://schemas.microsoft.com/office/drawing/2014/main" id="{00000000-0008-0000-0100-0000D9000000}"/>
                  </a:ext>
                </a:extLst>
              </xdr:cNvPr>
              <xdr:cNvCxnSpPr>
                <a:cxnSpLocks/>
                <a:stCxn id="215" idx="3"/>
                <a:endCxn id="234" idx="1"/>
              </xdr:cNvCxnSpPr>
            </xdr:nvCxnSpPr>
            <xdr:spPr>
              <a:xfrm>
                <a:off x="6800482" y="3320461"/>
                <a:ext cx="380730" cy="449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8" name="Straight Connector 217">
                <a:extLst>
                  <a:ext uri="{FF2B5EF4-FFF2-40B4-BE49-F238E27FC236}">
                    <a16:creationId xmlns:a16="http://schemas.microsoft.com/office/drawing/2014/main" id="{00000000-0008-0000-0100-0000DA000000}"/>
                  </a:ext>
                </a:extLst>
              </xdr:cNvPr>
              <xdr:cNvCxnSpPr>
                <a:cxnSpLocks/>
                <a:stCxn id="216" idx="3"/>
                <a:endCxn id="234" idx="1"/>
              </xdr:cNvCxnSpPr>
            </xdr:nvCxnSpPr>
            <xdr:spPr>
              <a:xfrm flipV="1">
                <a:off x="6834079" y="3324955"/>
                <a:ext cx="347133" cy="20494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19" name="TextBox 220">
                <a:extLst>
                  <a:ext uri="{FF2B5EF4-FFF2-40B4-BE49-F238E27FC236}">
                    <a16:creationId xmlns:a16="http://schemas.microsoft.com/office/drawing/2014/main" id="{00000000-0008-0000-0100-0000DB000000}"/>
                  </a:ext>
                </a:extLst>
              </xdr:cNvPr>
              <xdr:cNvSpPr txBox="1"/>
            </xdr:nvSpPr>
            <xdr:spPr>
              <a:xfrm>
                <a:off x="6834079" y="3575907"/>
                <a:ext cx="1281081"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At intermediates</a:t>
                </a:r>
              </a:p>
            </xdr:txBody>
          </xdr:sp>
          <xdr:sp macro="" textlink="">
            <xdr:nvSpPr>
              <xdr:cNvPr id="220" name="TextBox 221">
                <a:extLst>
                  <a:ext uri="{FF2B5EF4-FFF2-40B4-BE49-F238E27FC236}">
                    <a16:creationId xmlns:a16="http://schemas.microsoft.com/office/drawing/2014/main" id="{00000000-0008-0000-0100-0000DC000000}"/>
                  </a:ext>
                </a:extLst>
              </xdr:cNvPr>
              <xdr:cNvSpPr txBox="1"/>
            </xdr:nvSpPr>
            <xdr:spPr>
              <a:xfrm>
                <a:off x="6926859" y="3744735"/>
                <a:ext cx="1188302"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At airport</a:t>
                </a:r>
              </a:p>
            </xdr:txBody>
          </xdr:sp>
          <xdr:cxnSp macro="">
            <xdr:nvCxnSpPr>
              <xdr:cNvPr id="221" name="Straight Connector 220">
                <a:extLst>
                  <a:ext uri="{FF2B5EF4-FFF2-40B4-BE49-F238E27FC236}">
                    <a16:creationId xmlns:a16="http://schemas.microsoft.com/office/drawing/2014/main" id="{00000000-0008-0000-0100-0000DD000000}"/>
                  </a:ext>
                </a:extLst>
              </xdr:cNvPr>
              <xdr:cNvCxnSpPr>
                <a:cxnSpLocks/>
                <a:stCxn id="219" idx="3"/>
                <a:endCxn id="232" idx="1"/>
              </xdr:cNvCxnSpPr>
            </xdr:nvCxnSpPr>
            <xdr:spPr>
              <a:xfrm flipV="1">
                <a:off x="8115160" y="3750014"/>
                <a:ext cx="461169" cy="101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100-0000DE000000}"/>
                  </a:ext>
                </a:extLst>
              </xdr:cNvPr>
              <xdr:cNvCxnSpPr>
                <a:cxnSpLocks/>
                <a:stCxn id="220" idx="3"/>
                <a:endCxn id="232" idx="1"/>
              </xdr:cNvCxnSpPr>
            </xdr:nvCxnSpPr>
            <xdr:spPr>
              <a:xfrm flipV="1">
                <a:off x="8115161" y="3750014"/>
                <a:ext cx="461168" cy="16983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23" name="TextBox 224">
                <a:extLst>
                  <a:ext uri="{FF2B5EF4-FFF2-40B4-BE49-F238E27FC236}">
                    <a16:creationId xmlns:a16="http://schemas.microsoft.com/office/drawing/2014/main" id="{00000000-0008-0000-0100-0000DF000000}"/>
                  </a:ext>
                </a:extLst>
              </xdr:cNvPr>
              <xdr:cNvSpPr txBox="1"/>
            </xdr:nvSpPr>
            <xdr:spPr>
              <a:xfrm>
                <a:off x="3873339" y="4456952"/>
                <a:ext cx="1215077" cy="3502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Luggage vehicle</a:t>
                </a:r>
              </a:p>
            </xdr:txBody>
          </xdr:sp>
          <xdr:cxnSp macro="">
            <xdr:nvCxnSpPr>
              <xdr:cNvPr id="224" name="Straight Connector 223">
                <a:extLst>
                  <a:ext uri="{FF2B5EF4-FFF2-40B4-BE49-F238E27FC236}">
                    <a16:creationId xmlns:a16="http://schemas.microsoft.com/office/drawing/2014/main" id="{00000000-0008-0000-0100-0000E0000000}"/>
                  </a:ext>
                </a:extLst>
              </xdr:cNvPr>
              <xdr:cNvCxnSpPr>
                <a:cxnSpLocks/>
                <a:stCxn id="223" idx="3"/>
                <a:endCxn id="226" idx="1"/>
              </xdr:cNvCxnSpPr>
            </xdr:nvCxnSpPr>
            <xdr:spPr>
              <a:xfrm>
                <a:off x="5088416" y="4632068"/>
                <a:ext cx="1062153" cy="44587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xnSp macro="">
        <xdr:nvCxnSpPr>
          <xdr:cNvPr id="143" name="Straight Arrow Connector 142">
            <a:extLst>
              <a:ext uri="{FF2B5EF4-FFF2-40B4-BE49-F238E27FC236}">
                <a16:creationId xmlns:a16="http://schemas.microsoft.com/office/drawing/2014/main" id="{00000000-0008-0000-0100-00008F000000}"/>
              </a:ext>
            </a:extLst>
          </xdr:cNvPr>
          <xdr:cNvCxnSpPr>
            <a:cxnSpLocks/>
          </xdr:cNvCxnSpPr>
        </xdr:nvCxnSpPr>
        <xdr:spPr>
          <a:xfrm>
            <a:off x="8805168" y="1161340"/>
            <a:ext cx="1188159" cy="28998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4" name="TextBox 188">
            <a:extLst>
              <a:ext uri="{FF2B5EF4-FFF2-40B4-BE49-F238E27FC236}">
                <a16:creationId xmlns:a16="http://schemas.microsoft.com/office/drawing/2014/main" id="{00000000-0008-0000-0100-000090000000}"/>
              </a:ext>
            </a:extLst>
          </xdr:cNvPr>
          <xdr:cNvSpPr txBox="1"/>
        </xdr:nvSpPr>
        <xdr:spPr>
          <a:xfrm>
            <a:off x="7195200" y="2007242"/>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00B050"/>
                </a:solidFill>
              </a:rPr>
              <a:t>Conversion method </a:t>
            </a:r>
          </a:p>
        </xdr:txBody>
      </xdr:sp>
      <xdr:sp macro="" textlink="">
        <xdr:nvSpPr>
          <xdr:cNvPr id="145" name="TextBox 189">
            <a:extLst>
              <a:ext uri="{FF2B5EF4-FFF2-40B4-BE49-F238E27FC236}">
                <a16:creationId xmlns:a16="http://schemas.microsoft.com/office/drawing/2014/main" id="{00000000-0008-0000-0100-000091000000}"/>
              </a:ext>
            </a:extLst>
          </xdr:cNvPr>
          <xdr:cNvSpPr txBox="1"/>
        </xdr:nvSpPr>
        <xdr:spPr>
          <a:xfrm>
            <a:off x="7171412" y="2621732"/>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000" b="1">
                <a:solidFill>
                  <a:schemeClr val="accent2"/>
                </a:solidFill>
              </a:rPr>
              <a:t>Total energy used in conversion</a:t>
            </a:r>
            <a:endParaRPr lang="en-IE" sz="1000" b="1">
              <a:solidFill>
                <a:schemeClr val="accent2"/>
              </a:solidFill>
            </a:endParaRPr>
          </a:p>
        </xdr:txBody>
      </xdr:sp>
      <xdr:sp macro="" textlink="">
        <xdr:nvSpPr>
          <xdr:cNvPr id="146" name="TextBox 190">
            <a:extLst>
              <a:ext uri="{FF2B5EF4-FFF2-40B4-BE49-F238E27FC236}">
                <a16:creationId xmlns:a16="http://schemas.microsoft.com/office/drawing/2014/main" id="{00000000-0008-0000-0100-000092000000}"/>
              </a:ext>
            </a:extLst>
          </xdr:cNvPr>
          <xdr:cNvSpPr txBox="1"/>
        </xdr:nvSpPr>
        <xdr:spPr>
          <a:xfrm>
            <a:off x="5413077" y="2364654"/>
            <a:ext cx="1254494"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Gasoline/Diesel use</a:t>
            </a:r>
          </a:p>
        </xdr:txBody>
      </xdr:sp>
      <xdr:sp macro="" textlink="">
        <xdr:nvSpPr>
          <xdr:cNvPr id="147" name="TextBox 237">
            <a:extLst>
              <a:ext uri="{FF2B5EF4-FFF2-40B4-BE49-F238E27FC236}">
                <a16:creationId xmlns:a16="http://schemas.microsoft.com/office/drawing/2014/main" id="{00000000-0008-0000-0100-000093000000}"/>
              </a:ext>
            </a:extLst>
          </xdr:cNvPr>
          <xdr:cNvSpPr txBox="1"/>
        </xdr:nvSpPr>
        <xdr:spPr>
          <a:xfrm>
            <a:off x="5608109" y="2554736"/>
            <a:ext cx="1254494"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Electricity use</a:t>
            </a:r>
          </a:p>
        </xdr:txBody>
      </xdr:sp>
      <xdr:sp macro="" textlink="">
        <xdr:nvSpPr>
          <xdr:cNvPr id="148" name="TextBox 238">
            <a:extLst>
              <a:ext uri="{FF2B5EF4-FFF2-40B4-BE49-F238E27FC236}">
                <a16:creationId xmlns:a16="http://schemas.microsoft.com/office/drawing/2014/main" id="{00000000-0008-0000-0100-000094000000}"/>
              </a:ext>
            </a:extLst>
          </xdr:cNvPr>
          <xdr:cNvSpPr txBox="1"/>
        </xdr:nvSpPr>
        <xdr:spPr>
          <a:xfrm>
            <a:off x="5571536" y="2740727"/>
            <a:ext cx="1254494"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Natural Gas use</a:t>
            </a:r>
          </a:p>
        </xdr:txBody>
      </xdr:sp>
      <xdr:sp macro="" textlink="">
        <xdr:nvSpPr>
          <xdr:cNvPr id="149" name="TextBox 239">
            <a:extLst>
              <a:ext uri="{FF2B5EF4-FFF2-40B4-BE49-F238E27FC236}">
                <a16:creationId xmlns:a16="http://schemas.microsoft.com/office/drawing/2014/main" id="{00000000-0008-0000-0100-000095000000}"/>
              </a:ext>
            </a:extLst>
          </xdr:cNvPr>
          <xdr:cNvSpPr txBox="1"/>
        </xdr:nvSpPr>
        <xdr:spPr>
          <a:xfrm>
            <a:off x="5934797" y="2912857"/>
            <a:ext cx="1254494"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Coal use</a:t>
            </a:r>
          </a:p>
        </xdr:txBody>
      </xdr:sp>
      <xdr:cxnSp macro="">
        <xdr:nvCxnSpPr>
          <xdr:cNvPr id="150" name="Straight Connector 149">
            <a:extLst>
              <a:ext uri="{FF2B5EF4-FFF2-40B4-BE49-F238E27FC236}">
                <a16:creationId xmlns:a16="http://schemas.microsoft.com/office/drawing/2014/main" id="{00000000-0008-0000-0100-000096000000}"/>
              </a:ext>
            </a:extLst>
          </xdr:cNvPr>
          <xdr:cNvCxnSpPr>
            <a:cxnSpLocks/>
          </xdr:cNvCxnSpPr>
        </xdr:nvCxnSpPr>
        <xdr:spPr>
          <a:xfrm flipV="1">
            <a:off x="6709539" y="2756020"/>
            <a:ext cx="421212" cy="7021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1" name="Straight Connector 150">
            <a:extLst>
              <a:ext uri="{FF2B5EF4-FFF2-40B4-BE49-F238E27FC236}">
                <a16:creationId xmlns:a16="http://schemas.microsoft.com/office/drawing/2014/main" id="{00000000-0008-0000-0100-000097000000}"/>
              </a:ext>
            </a:extLst>
          </xdr:cNvPr>
          <xdr:cNvCxnSpPr>
            <a:cxnSpLocks/>
          </xdr:cNvCxnSpPr>
        </xdr:nvCxnSpPr>
        <xdr:spPr>
          <a:xfrm>
            <a:off x="6639867" y="2505644"/>
            <a:ext cx="490884" cy="25037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00000000-0008-0000-0100-000098000000}"/>
              </a:ext>
            </a:extLst>
          </xdr:cNvPr>
          <xdr:cNvCxnSpPr>
            <a:cxnSpLocks/>
          </xdr:cNvCxnSpPr>
        </xdr:nvCxnSpPr>
        <xdr:spPr>
          <a:xfrm flipV="1">
            <a:off x="6826031" y="2756020"/>
            <a:ext cx="304719" cy="2186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0000000-0008-0000-0100-000099000000}"/>
              </a:ext>
            </a:extLst>
          </xdr:cNvPr>
          <xdr:cNvCxnSpPr>
            <a:cxnSpLocks/>
          </xdr:cNvCxnSpPr>
        </xdr:nvCxnSpPr>
        <xdr:spPr>
          <a:xfrm>
            <a:off x="6709540" y="2671408"/>
            <a:ext cx="421211" cy="8461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54" name="TextBox 244">
            <a:extLst>
              <a:ext uri="{FF2B5EF4-FFF2-40B4-BE49-F238E27FC236}">
                <a16:creationId xmlns:a16="http://schemas.microsoft.com/office/drawing/2014/main" id="{00000000-0008-0000-0100-00009A000000}"/>
              </a:ext>
            </a:extLst>
          </xdr:cNvPr>
          <xdr:cNvSpPr txBox="1"/>
        </xdr:nvSpPr>
        <xdr:spPr>
          <a:xfrm>
            <a:off x="5747492" y="2077912"/>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Catalyst used</a:t>
            </a:r>
          </a:p>
        </xdr:txBody>
      </xdr:sp>
      <xdr:sp macro="" textlink="">
        <xdr:nvSpPr>
          <xdr:cNvPr id="155" name="TextBox 245">
            <a:extLst>
              <a:ext uri="{FF2B5EF4-FFF2-40B4-BE49-F238E27FC236}">
                <a16:creationId xmlns:a16="http://schemas.microsoft.com/office/drawing/2014/main" id="{00000000-0008-0000-0100-00009B000000}"/>
              </a:ext>
            </a:extLst>
          </xdr:cNvPr>
          <xdr:cNvSpPr txBox="1"/>
        </xdr:nvSpPr>
        <xdr:spPr>
          <a:xfrm>
            <a:off x="5759368" y="3219163"/>
            <a:ext cx="2125537"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Emission factors of Electricity Use</a:t>
            </a:r>
          </a:p>
        </xdr:txBody>
      </xdr:sp>
      <xdr:sp macro="" textlink="">
        <xdr:nvSpPr>
          <xdr:cNvPr id="156" name="TextBox 247">
            <a:extLst>
              <a:ext uri="{FF2B5EF4-FFF2-40B4-BE49-F238E27FC236}">
                <a16:creationId xmlns:a16="http://schemas.microsoft.com/office/drawing/2014/main" id="{00000000-0008-0000-0100-00009C000000}"/>
              </a:ext>
            </a:extLst>
          </xdr:cNvPr>
          <xdr:cNvSpPr txBox="1"/>
        </xdr:nvSpPr>
        <xdr:spPr>
          <a:xfrm>
            <a:off x="6045172" y="3400122"/>
            <a:ext cx="2125537"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Transportation Factors</a:t>
            </a:r>
          </a:p>
        </xdr:txBody>
      </xdr:sp>
      <xdr:cxnSp macro="">
        <xdr:nvCxnSpPr>
          <xdr:cNvPr id="157" name="Straight Connector 156">
            <a:extLst>
              <a:ext uri="{FF2B5EF4-FFF2-40B4-BE49-F238E27FC236}">
                <a16:creationId xmlns:a16="http://schemas.microsoft.com/office/drawing/2014/main" id="{00000000-0008-0000-0100-00009D000000}"/>
              </a:ext>
            </a:extLst>
          </xdr:cNvPr>
          <xdr:cNvCxnSpPr>
            <a:cxnSpLocks/>
          </xdr:cNvCxnSpPr>
        </xdr:nvCxnSpPr>
        <xdr:spPr>
          <a:xfrm>
            <a:off x="7862672" y="3348892"/>
            <a:ext cx="336343" cy="86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8" name="Straight Connector 157">
            <a:extLst>
              <a:ext uri="{FF2B5EF4-FFF2-40B4-BE49-F238E27FC236}">
                <a16:creationId xmlns:a16="http://schemas.microsoft.com/office/drawing/2014/main" id="{00000000-0008-0000-0100-00009E000000}"/>
              </a:ext>
            </a:extLst>
          </xdr:cNvPr>
          <xdr:cNvCxnSpPr>
            <a:cxnSpLocks/>
          </xdr:cNvCxnSpPr>
        </xdr:nvCxnSpPr>
        <xdr:spPr>
          <a:xfrm flipV="1">
            <a:off x="7871701" y="3434892"/>
            <a:ext cx="327313" cy="609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59" name="TextBox 250">
            <a:extLst>
              <a:ext uri="{FF2B5EF4-FFF2-40B4-BE49-F238E27FC236}">
                <a16:creationId xmlns:a16="http://schemas.microsoft.com/office/drawing/2014/main" id="{00000000-0008-0000-0100-00009F000000}"/>
              </a:ext>
            </a:extLst>
          </xdr:cNvPr>
          <xdr:cNvSpPr txBox="1"/>
        </xdr:nvSpPr>
        <xdr:spPr>
          <a:xfrm>
            <a:off x="8126710" y="3311280"/>
            <a:ext cx="127843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00B050"/>
                </a:solidFill>
              </a:rPr>
              <a:t>Location of facility</a:t>
            </a:r>
          </a:p>
        </xdr:txBody>
      </xdr:sp>
      <xdr:sp macro="" textlink="">
        <xdr:nvSpPr>
          <xdr:cNvPr id="160" name="TextBox 251">
            <a:extLst>
              <a:ext uri="{FF2B5EF4-FFF2-40B4-BE49-F238E27FC236}">
                <a16:creationId xmlns:a16="http://schemas.microsoft.com/office/drawing/2014/main" id="{00000000-0008-0000-0100-0000A0000000}"/>
              </a:ext>
            </a:extLst>
          </xdr:cNvPr>
          <xdr:cNvSpPr txBox="1"/>
        </xdr:nvSpPr>
        <xdr:spPr>
          <a:xfrm>
            <a:off x="5269920" y="1913529"/>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Efficiency of conversion facility</a:t>
            </a:r>
          </a:p>
        </xdr:txBody>
      </xdr:sp>
      <xdr:sp macro="" textlink="">
        <xdr:nvSpPr>
          <xdr:cNvPr id="161" name="TextBox 252">
            <a:extLst>
              <a:ext uri="{FF2B5EF4-FFF2-40B4-BE49-F238E27FC236}">
                <a16:creationId xmlns:a16="http://schemas.microsoft.com/office/drawing/2014/main" id="{00000000-0008-0000-0100-0000A1000000}"/>
              </a:ext>
            </a:extLst>
          </xdr:cNvPr>
          <xdr:cNvSpPr txBox="1"/>
        </xdr:nvSpPr>
        <xdr:spPr>
          <a:xfrm>
            <a:off x="7541310" y="3734072"/>
            <a:ext cx="2037619"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FF0000"/>
                </a:solidFill>
              </a:rPr>
              <a:t>Co-products allocation methods</a:t>
            </a:r>
          </a:p>
        </xdr:txBody>
      </xdr:sp>
      <xdr:cxnSp macro="">
        <xdr:nvCxnSpPr>
          <xdr:cNvPr id="162" name="Straight Arrow Connector 161">
            <a:extLst>
              <a:ext uri="{FF2B5EF4-FFF2-40B4-BE49-F238E27FC236}">
                <a16:creationId xmlns:a16="http://schemas.microsoft.com/office/drawing/2014/main" id="{00000000-0008-0000-0100-0000A2000000}"/>
              </a:ext>
            </a:extLst>
          </xdr:cNvPr>
          <xdr:cNvCxnSpPr>
            <a:cxnSpLocks/>
          </xdr:cNvCxnSpPr>
        </xdr:nvCxnSpPr>
        <xdr:spPr>
          <a:xfrm flipV="1">
            <a:off x="9517439" y="3856925"/>
            <a:ext cx="155224" cy="2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3" name="Straight Arrow Connector 162">
            <a:extLst>
              <a:ext uri="{FF2B5EF4-FFF2-40B4-BE49-F238E27FC236}">
                <a16:creationId xmlns:a16="http://schemas.microsoft.com/office/drawing/2014/main" id="{00000000-0008-0000-0100-0000A3000000}"/>
              </a:ext>
            </a:extLst>
          </xdr:cNvPr>
          <xdr:cNvCxnSpPr>
            <a:cxnSpLocks/>
          </xdr:cNvCxnSpPr>
        </xdr:nvCxnSpPr>
        <xdr:spPr>
          <a:xfrm flipV="1">
            <a:off x="9321635" y="3427302"/>
            <a:ext cx="155224" cy="2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4" name="Straight Arrow Connector 163">
            <a:extLst>
              <a:ext uri="{FF2B5EF4-FFF2-40B4-BE49-F238E27FC236}">
                <a16:creationId xmlns:a16="http://schemas.microsoft.com/office/drawing/2014/main" id="{00000000-0008-0000-0100-0000A4000000}"/>
              </a:ext>
            </a:extLst>
          </xdr:cNvPr>
          <xdr:cNvCxnSpPr>
            <a:cxnSpLocks/>
          </xdr:cNvCxnSpPr>
        </xdr:nvCxnSpPr>
        <xdr:spPr>
          <a:xfrm>
            <a:off x="8758896" y="2137435"/>
            <a:ext cx="15522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5" name="Straight Arrow Connector 164">
            <a:extLst>
              <a:ext uri="{FF2B5EF4-FFF2-40B4-BE49-F238E27FC236}">
                <a16:creationId xmlns:a16="http://schemas.microsoft.com/office/drawing/2014/main" id="{00000000-0008-0000-0100-0000A5000000}"/>
              </a:ext>
            </a:extLst>
          </xdr:cNvPr>
          <xdr:cNvCxnSpPr>
            <a:cxnSpLocks/>
          </xdr:cNvCxnSpPr>
        </xdr:nvCxnSpPr>
        <xdr:spPr>
          <a:xfrm>
            <a:off x="9034432" y="2753672"/>
            <a:ext cx="15522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6" name="Straight Connector 165">
            <a:extLst>
              <a:ext uri="{FF2B5EF4-FFF2-40B4-BE49-F238E27FC236}">
                <a16:creationId xmlns:a16="http://schemas.microsoft.com/office/drawing/2014/main" id="{00000000-0008-0000-0100-0000A6000000}"/>
              </a:ext>
            </a:extLst>
          </xdr:cNvPr>
          <xdr:cNvCxnSpPr>
            <a:cxnSpLocks/>
          </xdr:cNvCxnSpPr>
        </xdr:nvCxnSpPr>
        <xdr:spPr>
          <a:xfrm>
            <a:off x="7175405" y="2046093"/>
            <a:ext cx="336343" cy="86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a:extLst>
              <a:ext uri="{FF2B5EF4-FFF2-40B4-BE49-F238E27FC236}">
                <a16:creationId xmlns:a16="http://schemas.microsoft.com/office/drawing/2014/main" id="{00000000-0008-0000-0100-0000A7000000}"/>
              </a:ext>
            </a:extLst>
          </xdr:cNvPr>
          <xdr:cNvCxnSpPr>
            <a:cxnSpLocks/>
          </xdr:cNvCxnSpPr>
        </xdr:nvCxnSpPr>
        <xdr:spPr>
          <a:xfrm flipV="1">
            <a:off x="7184434" y="2132093"/>
            <a:ext cx="327313" cy="609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TextBox 271">
            <a:extLst>
              <a:ext uri="{FF2B5EF4-FFF2-40B4-BE49-F238E27FC236}">
                <a16:creationId xmlns:a16="http://schemas.microsoft.com/office/drawing/2014/main" id="{00000000-0008-0000-0100-0000A8000000}"/>
              </a:ext>
            </a:extLst>
          </xdr:cNvPr>
          <xdr:cNvSpPr txBox="1"/>
        </xdr:nvSpPr>
        <xdr:spPr>
          <a:xfrm>
            <a:off x="4005144" y="1333718"/>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00B050"/>
                </a:solidFill>
              </a:rPr>
              <a:t>Feedstocks used</a:t>
            </a:r>
          </a:p>
        </xdr:txBody>
      </xdr:sp>
      <xdr:sp macro="" textlink="">
        <xdr:nvSpPr>
          <xdr:cNvPr id="169" name="TextBox 272">
            <a:extLst>
              <a:ext uri="{FF2B5EF4-FFF2-40B4-BE49-F238E27FC236}">
                <a16:creationId xmlns:a16="http://schemas.microsoft.com/office/drawing/2014/main" id="{00000000-0008-0000-0100-0000A9000000}"/>
              </a:ext>
            </a:extLst>
          </xdr:cNvPr>
          <xdr:cNvSpPr txBox="1"/>
        </xdr:nvSpPr>
        <xdr:spPr>
          <a:xfrm>
            <a:off x="5692948" y="1133990"/>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Triglyceride breakdown</a:t>
            </a:r>
          </a:p>
        </xdr:txBody>
      </xdr:sp>
      <xdr:sp macro="" textlink="">
        <xdr:nvSpPr>
          <xdr:cNvPr id="170" name="TextBox 273">
            <a:extLst>
              <a:ext uri="{FF2B5EF4-FFF2-40B4-BE49-F238E27FC236}">
                <a16:creationId xmlns:a16="http://schemas.microsoft.com/office/drawing/2014/main" id="{00000000-0008-0000-0100-0000AA000000}"/>
              </a:ext>
            </a:extLst>
          </xdr:cNvPr>
          <xdr:cNvSpPr txBox="1"/>
        </xdr:nvSpPr>
        <xdr:spPr>
          <a:xfrm>
            <a:off x="5707379" y="1271935"/>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00B050"/>
                </a:solidFill>
              </a:rPr>
              <a:t>Reaction mechanism</a:t>
            </a:r>
          </a:p>
        </xdr:txBody>
      </xdr:sp>
      <xdr:sp macro="" textlink="">
        <xdr:nvSpPr>
          <xdr:cNvPr id="171" name="TextBox 274">
            <a:extLst>
              <a:ext uri="{FF2B5EF4-FFF2-40B4-BE49-F238E27FC236}">
                <a16:creationId xmlns:a16="http://schemas.microsoft.com/office/drawing/2014/main" id="{00000000-0008-0000-0100-0000AB000000}"/>
              </a:ext>
            </a:extLst>
          </xdr:cNvPr>
          <xdr:cNvSpPr txBox="1"/>
        </xdr:nvSpPr>
        <xdr:spPr>
          <a:xfrm>
            <a:off x="5744569" y="1558677"/>
            <a:ext cx="1863020"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rgbClr val="00B050"/>
                </a:solidFill>
              </a:rPr>
              <a:t>Molecular properties</a:t>
            </a:r>
          </a:p>
        </xdr:txBody>
      </xdr:sp>
      <xdr:cxnSp macro="">
        <xdr:nvCxnSpPr>
          <xdr:cNvPr id="172" name="Straight Connector 171">
            <a:extLst>
              <a:ext uri="{FF2B5EF4-FFF2-40B4-BE49-F238E27FC236}">
                <a16:creationId xmlns:a16="http://schemas.microsoft.com/office/drawing/2014/main" id="{00000000-0008-0000-0100-0000AC000000}"/>
              </a:ext>
            </a:extLst>
          </xdr:cNvPr>
          <xdr:cNvCxnSpPr>
            <a:cxnSpLocks/>
          </xdr:cNvCxnSpPr>
        </xdr:nvCxnSpPr>
        <xdr:spPr>
          <a:xfrm>
            <a:off x="7390414" y="1293679"/>
            <a:ext cx="384044" cy="20804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3" name="Straight Connector 172">
            <a:extLst>
              <a:ext uri="{FF2B5EF4-FFF2-40B4-BE49-F238E27FC236}">
                <a16:creationId xmlns:a16="http://schemas.microsoft.com/office/drawing/2014/main" id="{00000000-0008-0000-0100-0000AD000000}"/>
              </a:ext>
            </a:extLst>
          </xdr:cNvPr>
          <xdr:cNvCxnSpPr>
            <a:cxnSpLocks/>
          </xdr:cNvCxnSpPr>
        </xdr:nvCxnSpPr>
        <xdr:spPr>
          <a:xfrm>
            <a:off x="7428099" y="1421920"/>
            <a:ext cx="346359" cy="7980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4" name="Straight Connector 173">
            <a:extLst>
              <a:ext uri="{FF2B5EF4-FFF2-40B4-BE49-F238E27FC236}">
                <a16:creationId xmlns:a16="http://schemas.microsoft.com/office/drawing/2014/main" id="{00000000-0008-0000-0100-0000AE000000}"/>
              </a:ext>
            </a:extLst>
          </xdr:cNvPr>
          <xdr:cNvCxnSpPr>
            <a:cxnSpLocks/>
          </xdr:cNvCxnSpPr>
        </xdr:nvCxnSpPr>
        <xdr:spPr>
          <a:xfrm flipV="1">
            <a:off x="7411838" y="1501723"/>
            <a:ext cx="362621" cy="15824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5" name="Straight Connector 174">
            <a:extLst>
              <a:ext uri="{FF2B5EF4-FFF2-40B4-BE49-F238E27FC236}">
                <a16:creationId xmlns:a16="http://schemas.microsoft.com/office/drawing/2014/main" id="{00000000-0008-0000-0100-0000AF000000}"/>
              </a:ext>
            </a:extLst>
          </xdr:cNvPr>
          <xdr:cNvCxnSpPr>
            <a:cxnSpLocks/>
          </xdr:cNvCxnSpPr>
        </xdr:nvCxnSpPr>
        <xdr:spPr>
          <a:xfrm flipH="1">
            <a:off x="5420219" y="1311317"/>
            <a:ext cx="358676" cy="14347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6" name="Straight Connector 175">
            <a:extLst>
              <a:ext uri="{FF2B5EF4-FFF2-40B4-BE49-F238E27FC236}">
                <a16:creationId xmlns:a16="http://schemas.microsoft.com/office/drawing/2014/main" id="{00000000-0008-0000-0100-0000B0000000}"/>
              </a:ext>
            </a:extLst>
          </xdr:cNvPr>
          <xdr:cNvCxnSpPr>
            <a:cxnSpLocks/>
          </xdr:cNvCxnSpPr>
        </xdr:nvCxnSpPr>
        <xdr:spPr>
          <a:xfrm flipH="1">
            <a:off x="5417270" y="1424326"/>
            <a:ext cx="401162" cy="3889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7" name="Straight Connector 176">
            <a:extLst>
              <a:ext uri="{FF2B5EF4-FFF2-40B4-BE49-F238E27FC236}">
                <a16:creationId xmlns:a16="http://schemas.microsoft.com/office/drawing/2014/main" id="{00000000-0008-0000-0100-0000B1000000}"/>
              </a:ext>
            </a:extLst>
          </xdr:cNvPr>
          <xdr:cNvCxnSpPr>
            <a:cxnSpLocks/>
          </xdr:cNvCxnSpPr>
        </xdr:nvCxnSpPr>
        <xdr:spPr>
          <a:xfrm flipH="1" flipV="1">
            <a:off x="5410920" y="1461143"/>
            <a:ext cx="425455" cy="176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78" name="TextBox 281">
            <a:extLst>
              <a:ext uri="{FF2B5EF4-FFF2-40B4-BE49-F238E27FC236}">
                <a16:creationId xmlns:a16="http://schemas.microsoft.com/office/drawing/2014/main" id="{00000000-0008-0000-0100-0000B2000000}"/>
              </a:ext>
            </a:extLst>
          </xdr:cNvPr>
          <xdr:cNvSpPr txBox="1"/>
        </xdr:nvSpPr>
        <xdr:spPr>
          <a:xfrm>
            <a:off x="7735036" y="1295117"/>
            <a:ext cx="801611" cy="40011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E" sz="1000" b="1">
                <a:solidFill>
                  <a:schemeClr val="accent2"/>
                </a:solidFill>
              </a:rPr>
              <a:t>SAF properties</a:t>
            </a:r>
          </a:p>
        </xdr:txBody>
      </xdr:sp>
      <xdr:cxnSp macro="">
        <xdr:nvCxnSpPr>
          <xdr:cNvPr id="179" name="Straight Arrow Connector 178">
            <a:extLst>
              <a:ext uri="{FF2B5EF4-FFF2-40B4-BE49-F238E27FC236}">
                <a16:creationId xmlns:a16="http://schemas.microsoft.com/office/drawing/2014/main" id="{00000000-0008-0000-0100-0000B3000000}"/>
              </a:ext>
            </a:extLst>
          </xdr:cNvPr>
          <xdr:cNvCxnSpPr>
            <a:cxnSpLocks/>
          </xdr:cNvCxnSpPr>
        </xdr:nvCxnSpPr>
        <xdr:spPr>
          <a:xfrm>
            <a:off x="8449844" y="1492506"/>
            <a:ext cx="15522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0" name="Straight Connector 179">
            <a:extLst>
              <a:ext uri="{FF2B5EF4-FFF2-40B4-BE49-F238E27FC236}">
                <a16:creationId xmlns:a16="http://schemas.microsoft.com/office/drawing/2014/main" id="{00000000-0008-0000-0100-0000B4000000}"/>
              </a:ext>
            </a:extLst>
          </xdr:cNvPr>
          <xdr:cNvCxnSpPr>
            <a:cxnSpLocks/>
          </xdr:cNvCxnSpPr>
        </xdr:nvCxnSpPr>
        <xdr:spPr>
          <a:xfrm flipH="1" flipV="1">
            <a:off x="5417350" y="1462178"/>
            <a:ext cx="445969" cy="583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81" name="TextBox 284">
            <a:extLst>
              <a:ext uri="{FF2B5EF4-FFF2-40B4-BE49-F238E27FC236}">
                <a16:creationId xmlns:a16="http://schemas.microsoft.com/office/drawing/2014/main" id="{00000000-0008-0000-0100-0000B5000000}"/>
              </a:ext>
            </a:extLst>
          </xdr:cNvPr>
          <xdr:cNvSpPr txBox="1"/>
        </xdr:nvSpPr>
        <xdr:spPr>
          <a:xfrm>
            <a:off x="5804151" y="1412771"/>
            <a:ext cx="1663649" cy="24622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000" b="1">
                <a:solidFill>
                  <a:schemeClr val="accent2"/>
                </a:solidFill>
              </a:rPr>
              <a:t>SAF </a:t>
            </a:r>
            <a:r>
              <a:rPr lang="en-IE" sz="1000" b="1">
                <a:solidFill>
                  <a:schemeClr val="accent2"/>
                </a:solidFill>
              </a:rPr>
              <a:t>Molecular Breakdown</a:t>
            </a:r>
          </a:p>
        </xdr:txBody>
      </xdr:sp>
      <xdr:cxnSp macro="">
        <xdr:nvCxnSpPr>
          <xdr:cNvPr id="182" name="Straight Connector 181">
            <a:extLst>
              <a:ext uri="{FF2B5EF4-FFF2-40B4-BE49-F238E27FC236}">
                <a16:creationId xmlns:a16="http://schemas.microsoft.com/office/drawing/2014/main" id="{00000000-0008-0000-0100-0000B6000000}"/>
              </a:ext>
            </a:extLst>
          </xdr:cNvPr>
          <xdr:cNvCxnSpPr>
            <a:cxnSpLocks/>
          </xdr:cNvCxnSpPr>
        </xdr:nvCxnSpPr>
        <xdr:spPr>
          <a:xfrm flipV="1">
            <a:off x="7396648" y="1502886"/>
            <a:ext cx="367882" cy="3991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83" name="TextBox 286">
            <a:extLst>
              <a:ext uri="{FF2B5EF4-FFF2-40B4-BE49-F238E27FC236}">
                <a16:creationId xmlns:a16="http://schemas.microsoft.com/office/drawing/2014/main" id="{00000000-0008-0000-0100-0000B7000000}"/>
              </a:ext>
            </a:extLst>
          </xdr:cNvPr>
          <xdr:cNvSpPr txBox="1"/>
        </xdr:nvSpPr>
        <xdr:spPr>
          <a:xfrm>
            <a:off x="10319827" y="778714"/>
            <a:ext cx="2262217" cy="64633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t>Considered – Verifiable</a:t>
            </a:r>
          </a:p>
          <a:p>
            <a:endParaRPr lang="en-IE" sz="300" b="1"/>
          </a:p>
          <a:p>
            <a:r>
              <a:rPr lang="en-IE" sz="1000" b="1"/>
              <a:t>Considered – TCD Assumption</a:t>
            </a:r>
          </a:p>
          <a:p>
            <a:endParaRPr lang="en-IE" sz="300" b="1"/>
          </a:p>
          <a:p>
            <a:r>
              <a:rPr lang="en-IE" sz="1000" b="1"/>
              <a:t>Not Considered</a:t>
            </a:r>
          </a:p>
        </xdr:txBody>
      </xdr:sp>
      <xdr:sp macro="" textlink="">
        <xdr:nvSpPr>
          <xdr:cNvPr id="184" name="Rectangle 183">
            <a:extLst>
              <a:ext uri="{FF2B5EF4-FFF2-40B4-BE49-F238E27FC236}">
                <a16:creationId xmlns:a16="http://schemas.microsoft.com/office/drawing/2014/main" id="{00000000-0008-0000-0100-0000B8000000}"/>
              </a:ext>
            </a:extLst>
          </xdr:cNvPr>
          <xdr:cNvSpPr/>
        </xdr:nvSpPr>
        <xdr:spPr>
          <a:xfrm>
            <a:off x="10210573" y="844715"/>
            <a:ext cx="122493" cy="119147"/>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E"/>
          </a:p>
        </xdr:txBody>
      </xdr:sp>
      <xdr:sp macro="" textlink="">
        <xdr:nvSpPr>
          <xdr:cNvPr id="185" name="Rectangle 184">
            <a:extLst>
              <a:ext uri="{FF2B5EF4-FFF2-40B4-BE49-F238E27FC236}">
                <a16:creationId xmlns:a16="http://schemas.microsoft.com/office/drawing/2014/main" id="{00000000-0008-0000-0100-0000B9000000}"/>
              </a:ext>
            </a:extLst>
          </xdr:cNvPr>
          <xdr:cNvSpPr/>
        </xdr:nvSpPr>
        <xdr:spPr>
          <a:xfrm>
            <a:off x="10210572" y="1047846"/>
            <a:ext cx="122493" cy="119147"/>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E">
              <a:solidFill>
                <a:srgbClr val="FFC000"/>
              </a:solidFill>
            </a:endParaRPr>
          </a:p>
        </xdr:txBody>
      </xdr:sp>
      <xdr:sp macro="" textlink="">
        <xdr:nvSpPr>
          <xdr:cNvPr id="186" name="Rectangle 185">
            <a:extLst>
              <a:ext uri="{FF2B5EF4-FFF2-40B4-BE49-F238E27FC236}">
                <a16:creationId xmlns:a16="http://schemas.microsoft.com/office/drawing/2014/main" id="{00000000-0008-0000-0100-0000BA000000}"/>
              </a:ext>
            </a:extLst>
          </xdr:cNvPr>
          <xdr:cNvSpPr/>
        </xdr:nvSpPr>
        <xdr:spPr>
          <a:xfrm>
            <a:off x="10210572" y="1243741"/>
            <a:ext cx="122493" cy="119147"/>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E"/>
          </a:p>
        </xdr:txBody>
      </xdr:sp>
    </xdr:grpSp>
    <xdr:clientData/>
  </xdr:twoCellAnchor>
  <xdr:twoCellAnchor>
    <xdr:from>
      <xdr:col>11</xdr:col>
      <xdr:colOff>266700</xdr:colOff>
      <xdr:row>43</xdr:row>
      <xdr:rowOff>66705</xdr:rowOff>
    </xdr:from>
    <xdr:to>
      <xdr:col>13</xdr:col>
      <xdr:colOff>369553</xdr:colOff>
      <xdr:row>44</xdr:row>
      <xdr:rowOff>125743</xdr:rowOff>
    </xdr:to>
    <xdr:sp macro="" textlink="">
      <xdr:nvSpPr>
        <xdr:cNvPr id="325" name="TextBox 184">
          <a:extLst>
            <a:ext uri="{FF2B5EF4-FFF2-40B4-BE49-F238E27FC236}">
              <a16:creationId xmlns:a16="http://schemas.microsoft.com/office/drawing/2014/main" id="{4AC9DB80-B1E6-463E-B8A2-120C8B87431C}"/>
            </a:ext>
          </a:extLst>
        </xdr:cNvPr>
        <xdr:cNvSpPr txBox="1"/>
      </xdr:nvSpPr>
      <xdr:spPr>
        <a:xfrm>
          <a:off x="6972300" y="8934480"/>
          <a:ext cx="1322053" cy="24001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E" sz="1000" b="1">
              <a:solidFill>
                <a:schemeClr val="accent2"/>
              </a:solidFill>
            </a:rPr>
            <a:t>Passengers</a:t>
          </a:r>
          <a:r>
            <a:rPr lang="en-IE" sz="1000" b="1" baseline="0">
              <a:solidFill>
                <a:schemeClr val="accent2"/>
              </a:solidFill>
            </a:rPr>
            <a:t> onboard</a:t>
          </a:r>
          <a:endParaRPr lang="en-IE" sz="1000" b="1">
            <a:solidFill>
              <a:schemeClr val="accent2"/>
            </a:solidFill>
          </a:endParaRPr>
        </a:p>
      </xdr:txBody>
    </xdr:sp>
    <xdr:clientData/>
  </xdr:twoCellAnchor>
  <xdr:twoCellAnchor>
    <xdr:from>
      <xdr:col>13</xdr:col>
      <xdr:colOff>369553</xdr:colOff>
      <xdr:row>44</xdr:row>
      <xdr:rowOff>2562</xdr:rowOff>
    </xdr:from>
    <xdr:to>
      <xdr:col>13</xdr:col>
      <xdr:colOff>582509</xdr:colOff>
      <xdr:row>44</xdr:row>
      <xdr:rowOff>5737</xdr:rowOff>
    </xdr:to>
    <xdr:cxnSp macro="">
      <xdr:nvCxnSpPr>
        <xdr:cNvPr id="326" name="Straight Arrow Connector 325">
          <a:extLst>
            <a:ext uri="{FF2B5EF4-FFF2-40B4-BE49-F238E27FC236}">
              <a16:creationId xmlns:a16="http://schemas.microsoft.com/office/drawing/2014/main" id="{F7D60DF6-E2F6-4A09-BDDD-664BD24D5ADF}"/>
            </a:ext>
          </a:extLst>
        </xdr:cNvPr>
        <xdr:cNvCxnSpPr>
          <a:cxnSpLocks/>
          <a:stCxn id="325" idx="3"/>
        </xdr:cNvCxnSpPr>
      </xdr:nvCxnSpPr>
      <xdr:spPr>
        <a:xfrm flipV="1">
          <a:off x="8294353" y="9051312"/>
          <a:ext cx="212956" cy="31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37524</xdr:colOff>
      <xdr:row>31</xdr:row>
      <xdr:rowOff>60138</xdr:rowOff>
    </xdr:from>
    <xdr:to>
      <xdr:col>7</xdr:col>
      <xdr:colOff>96290</xdr:colOff>
      <xdr:row>46</xdr:row>
      <xdr:rowOff>102469</xdr:rowOff>
    </xdr:to>
    <xdr:cxnSp macro="">
      <xdr:nvCxnSpPr>
        <xdr:cNvPr id="51" name="Straight Arrow Connector 50">
          <a:extLst>
            <a:ext uri="{FF2B5EF4-FFF2-40B4-BE49-F238E27FC236}">
              <a16:creationId xmlns:a16="http://schemas.microsoft.com/office/drawing/2014/main" id="{1A4D8C7C-B523-49F7-BAA7-B11A384094EE}"/>
            </a:ext>
          </a:extLst>
        </xdr:cNvPr>
        <xdr:cNvCxnSpPr>
          <a:cxnSpLocks/>
        </xdr:cNvCxnSpPr>
      </xdr:nvCxnSpPr>
      <xdr:spPr>
        <a:xfrm>
          <a:off x="7643917" y="4060638"/>
          <a:ext cx="1188159" cy="28998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210092</xdr:colOff>
      <xdr:row>35</xdr:row>
      <xdr:rowOff>144040</xdr:rowOff>
    </xdr:from>
    <xdr:to>
      <xdr:col>6</xdr:col>
      <xdr:colOff>290576</xdr:colOff>
      <xdr:row>37</xdr:row>
      <xdr:rowOff>9261</xdr:rowOff>
    </xdr:to>
    <xdr:sp macro="" textlink="">
      <xdr:nvSpPr>
        <xdr:cNvPr id="52" name="TextBox 10">
          <a:extLst>
            <a:ext uri="{FF2B5EF4-FFF2-40B4-BE49-F238E27FC236}">
              <a16:creationId xmlns:a16="http://schemas.microsoft.com/office/drawing/2014/main" id="{59AA982D-1B89-4486-9413-646C94292824}"/>
            </a:ext>
          </a:extLst>
        </xdr:cNvPr>
        <xdr:cNvSpPr txBox="1"/>
      </xdr:nvSpPr>
      <xdr:spPr>
        <a:xfrm>
          <a:off x="6033949" y="4906540"/>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00B050"/>
              </a:solidFill>
              <a:effectLst/>
              <a:uLnTx/>
              <a:uFillTx/>
              <a:latin typeface="Calibri" panose="020F0502020204030204"/>
              <a:ea typeface="+mn-ea"/>
              <a:cs typeface="+mn-cs"/>
            </a:rPr>
            <a:t>Conversion method </a:t>
          </a:r>
        </a:p>
      </xdr:txBody>
    </xdr:sp>
    <xdr:clientData/>
  </xdr:twoCellAnchor>
  <xdr:twoCellAnchor>
    <xdr:from>
      <xdr:col>5</xdr:col>
      <xdr:colOff>186304</xdr:colOff>
      <xdr:row>38</xdr:row>
      <xdr:rowOff>187030</xdr:rowOff>
    </xdr:from>
    <xdr:to>
      <xdr:col>6</xdr:col>
      <xdr:colOff>266788</xdr:colOff>
      <xdr:row>40</xdr:row>
      <xdr:rowOff>52251</xdr:rowOff>
    </xdr:to>
    <xdr:sp macro="" textlink="">
      <xdr:nvSpPr>
        <xdr:cNvPr id="53" name="TextBox 11">
          <a:extLst>
            <a:ext uri="{FF2B5EF4-FFF2-40B4-BE49-F238E27FC236}">
              <a16:creationId xmlns:a16="http://schemas.microsoft.com/office/drawing/2014/main" id="{F43DD15F-C5B6-4802-980A-7454EF4DD217}"/>
            </a:ext>
          </a:extLst>
        </xdr:cNvPr>
        <xdr:cNvSpPr txBox="1"/>
      </xdr:nvSpPr>
      <xdr:spPr>
        <a:xfrm>
          <a:off x="6010161" y="5521030"/>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US" sz="1000" b="1" i="0" u="none" strike="noStrike" kern="1200" cap="none" spc="0" normalizeH="0" baseline="0">
              <a:ln>
                <a:noFill/>
              </a:ln>
              <a:solidFill>
                <a:srgbClr val="ED7D31"/>
              </a:solidFill>
              <a:effectLst/>
              <a:uLnTx/>
              <a:uFillTx/>
              <a:latin typeface="Calibri" panose="020F0502020204030204"/>
              <a:ea typeface="+mn-ea"/>
              <a:cs typeface="+mn-cs"/>
            </a:rPr>
            <a:t>Total energy used in conversion</a:t>
          </a:r>
          <a:endParaRPr kumimoji="0" lang="en-IE" sz="1000" b="1" i="0" u="none" strike="noStrike" kern="1200" cap="none" spc="0" normalizeH="0" baseline="0">
            <a:ln>
              <a:noFill/>
            </a:ln>
            <a:solidFill>
              <a:srgbClr val="ED7D31"/>
            </a:solidFill>
            <a:effectLst/>
            <a:uLnTx/>
            <a:uFillTx/>
            <a:latin typeface="Calibri" panose="020F0502020204030204"/>
            <a:ea typeface="+mn-ea"/>
            <a:cs typeface="+mn-cs"/>
          </a:endParaRPr>
        </a:p>
      </xdr:txBody>
    </xdr:sp>
    <xdr:clientData/>
  </xdr:twoCellAnchor>
  <xdr:twoCellAnchor>
    <xdr:from>
      <xdr:col>3</xdr:col>
      <xdr:colOff>210505</xdr:colOff>
      <xdr:row>37</xdr:row>
      <xdr:rowOff>120452</xdr:rowOff>
    </xdr:from>
    <xdr:to>
      <xdr:col>4</xdr:col>
      <xdr:colOff>594141</xdr:colOff>
      <xdr:row>38</xdr:row>
      <xdr:rowOff>176173</xdr:rowOff>
    </xdr:to>
    <xdr:sp macro="" textlink="">
      <xdr:nvSpPr>
        <xdr:cNvPr id="54" name="TextBox 12">
          <a:extLst>
            <a:ext uri="{FF2B5EF4-FFF2-40B4-BE49-F238E27FC236}">
              <a16:creationId xmlns:a16="http://schemas.microsoft.com/office/drawing/2014/main" id="{3E388383-1CBF-4427-A1AB-F7C3BA8AEABE}"/>
            </a:ext>
          </a:extLst>
        </xdr:cNvPr>
        <xdr:cNvSpPr txBox="1"/>
      </xdr:nvSpPr>
      <xdr:spPr>
        <a:xfrm>
          <a:off x="4251826" y="5263952"/>
          <a:ext cx="1254494"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Gasoline/Diesel use</a:t>
          </a:r>
        </a:p>
      </xdr:txBody>
    </xdr:sp>
    <xdr:clientData/>
  </xdr:twoCellAnchor>
  <xdr:twoCellAnchor>
    <xdr:from>
      <xdr:col>3</xdr:col>
      <xdr:colOff>405537</xdr:colOff>
      <xdr:row>38</xdr:row>
      <xdr:rowOff>120034</xdr:rowOff>
    </xdr:from>
    <xdr:to>
      <xdr:col>4</xdr:col>
      <xdr:colOff>789173</xdr:colOff>
      <xdr:row>39</xdr:row>
      <xdr:rowOff>175755</xdr:rowOff>
    </xdr:to>
    <xdr:sp macro="" textlink="">
      <xdr:nvSpPr>
        <xdr:cNvPr id="55" name="TextBox 13">
          <a:extLst>
            <a:ext uri="{FF2B5EF4-FFF2-40B4-BE49-F238E27FC236}">
              <a16:creationId xmlns:a16="http://schemas.microsoft.com/office/drawing/2014/main" id="{80DB327A-2080-47D9-92B3-4732076474BC}"/>
            </a:ext>
          </a:extLst>
        </xdr:cNvPr>
        <xdr:cNvSpPr txBox="1"/>
      </xdr:nvSpPr>
      <xdr:spPr>
        <a:xfrm>
          <a:off x="4446858" y="5454034"/>
          <a:ext cx="1254494"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Electricity use</a:t>
          </a:r>
        </a:p>
      </xdr:txBody>
    </xdr:sp>
    <xdr:clientData/>
  </xdr:twoCellAnchor>
  <xdr:twoCellAnchor>
    <xdr:from>
      <xdr:col>3</xdr:col>
      <xdr:colOff>368964</xdr:colOff>
      <xdr:row>39</xdr:row>
      <xdr:rowOff>115525</xdr:rowOff>
    </xdr:from>
    <xdr:to>
      <xdr:col>4</xdr:col>
      <xdr:colOff>752600</xdr:colOff>
      <xdr:row>40</xdr:row>
      <xdr:rowOff>171246</xdr:rowOff>
    </xdr:to>
    <xdr:sp macro="" textlink="">
      <xdr:nvSpPr>
        <xdr:cNvPr id="56" name="TextBox 14">
          <a:extLst>
            <a:ext uri="{FF2B5EF4-FFF2-40B4-BE49-F238E27FC236}">
              <a16:creationId xmlns:a16="http://schemas.microsoft.com/office/drawing/2014/main" id="{48C98D25-6481-41F0-AD3F-58027322CB4B}"/>
            </a:ext>
          </a:extLst>
        </xdr:cNvPr>
        <xdr:cNvSpPr txBox="1"/>
      </xdr:nvSpPr>
      <xdr:spPr>
        <a:xfrm>
          <a:off x="4410285" y="5640025"/>
          <a:ext cx="1254494"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Natural Gas use</a:t>
          </a:r>
        </a:p>
      </xdr:txBody>
    </xdr:sp>
    <xdr:clientData/>
  </xdr:twoCellAnchor>
  <xdr:twoCellAnchor>
    <xdr:from>
      <xdr:col>3</xdr:col>
      <xdr:colOff>732225</xdr:colOff>
      <xdr:row>40</xdr:row>
      <xdr:rowOff>97155</xdr:rowOff>
    </xdr:from>
    <xdr:to>
      <xdr:col>5</xdr:col>
      <xdr:colOff>204183</xdr:colOff>
      <xdr:row>41</xdr:row>
      <xdr:rowOff>152876</xdr:rowOff>
    </xdr:to>
    <xdr:sp macro="" textlink="">
      <xdr:nvSpPr>
        <xdr:cNvPr id="57" name="TextBox 15">
          <a:extLst>
            <a:ext uri="{FF2B5EF4-FFF2-40B4-BE49-F238E27FC236}">
              <a16:creationId xmlns:a16="http://schemas.microsoft.com/office/drawing/2014/main" id="{5A3478BF-CD4E-4B71-B86E-2AE8A3FDEC40}"/>
            </a:ext>
          </a:extLst>
        </xdr:cNvPr>
        <xdr:cNvSpPr txBox="1"/>
      </xdr:nvSpPr>
      <xdr:spPr>
        <a:xfrm>
          <a:off x="4773546" y="5812155"/>
          <a:ext cx="1254494"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Coal use</a:t>
          </a:r>
        </a:p>
      </xdr:txBody>
    </xdr:sp>
    <xdr:clientData/>
  </xdr:twoCellAnchor>
  <xdr:twoCellAnchor>
    <xdr:from>
      <xdr:col>4</xdr:col>
      <xdr:colOff>636109</xdr:colOff>
      <xdr:row>39</xdr:row>
      <xdr:rowOff>130818</xdr:rowOff>
    </xdr:from>
    <xdr:to>
      <xdr:col>5</xdr:col>
      <xdr:colOff>145643</xdr:colOff>
      <xdr:row>40</xdr:row>
      <xdr:rowOff>10529</xdr:rowOff>
    </xdr:to>
    <xdr:cxnSp macro="">
      <xdr:nvCxnSpPr>
        <xdr:cNvPr id="58" name="Straight Connector 57">
          <a:extLst>
            <a:ext uri="{FF2B5EF4-FFF2-40B4-BE49-F238E27FC236}">
              <a16:creationId xmlns:a16="http://schemas.microsoft.com/office/drawing/2014/main" id="{232D8B0D-A8B8-490F-8614-DD1D8D6788FB}"/>
            </a:ext>
          </a:extLst>
        </xdr:cNvPr>
        <xdr:cNvCxnSpPr>
          <a:cxnSpLocks/>
        </xdr:cNvCxnSpPr>
      </xdr:nvCxnSpPr>
      <xdr:spPr>
        <a:xfrm flipV="1">
          <a:off x="5548288" y="5655318"/>
          <a:ext cx="421212" cy="7021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566437</xdr:colOff>
      <xdr:row>38</xdr:row>
      <xdr:rowOff>70942</xdr:rowOff>
    </xdr:from>
    <xdr:to>
      <xdr:col>5</xdr:col>
      <xdr:colOff>145643</xdr:colOff>
      <xdr:row>39</xdr:row>
      <xdr:rowOff>130818</xdr:rowOff>
    </xdr:to>
    <xdr:cxnSp macro="">
      <xdr:nvCxnSpPr>
        <xdr:cNvPr id="59" name="Straight Connector 58">
          <a:extLst>
            <a:ext uri="{FF2B5EF4-FFF2-40B4-BE49-F238E27FC236}">
              <a16:creationId xmlns:a16="http://schemas.microsoft.com/office/drawing/2014/main" id="{58A7F92D-1422-4F6C-B365-2CFA8635BC8C}"/>
            </a:ext>
          </a:extLst>
        </xdr:cNvPr>
        <xdr:cNvCxnSpPr>
          <a:cxnSpLocks/>
        </xdr:cNvCxnSpPr>
      </xdr:nvCxnSpPr>
      <xdr:spPr>
        <a:xfrm>
          <a:off x="5478616" y="5404942"/>
          <a:ext cx="490884" cy="25037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752601</xdr:colOff>
      <xdr:row>39</xdr:row>
      <xdr:rowOff>130818</xdr:rowOff>
    </xdr:from>
    <xdr:to>
      <xdr:col>5</xdr:col>
      <xdr:colOff>145642</xdr:colOff>
      <xdr:row>40</xdr:row>
      <xdr:rowOff>159000</xdr:rowOff>
    </xdr:to>
    <xdr:cxnSp macro="">
      <xdr:nvCxnSpPr>
        <xdr:cNvPr id="60" name="Straight Connector 59">
          <a:extLst>
            <a:ext uri="{FF2B5EF4-FFF2-40B4-BE49-F238E27FC236}">
              <a16:creationId xmlns:a16="http://schemas.microsoft.com/office/drawing/2014/main" id="{944578EE-5FBF-44BE-944E-2DED5C93BF4E}"/>
            </a:ext>
          </a:extLst>
        </xdr:cNvPr>
        <xdr:cNvCxnSpPr>
          <a:cxnSpLocks/>
        </xdr:cNvCxnSpPr>
      </xdr:nvCxnSpPr>
      <xdr:spPr>
        <a:xfrm flipV="1">
          <a:off x="5664780" y="5655318"/>
          <a:ext cx="304719" cy="2186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636110</xdr:colOff>
      <xdr:row>39</xdr:row>
      <xdr:rowOff>46206</xdr:rowOff>
    </xdr:from>
    <xdr:to>
      <xdr:col>5</xdr:col>
      <xdr:colOff>145643</xdr:colOff>
      <xdr:row>39</xdr:row>
      <xdr:rowOff>130818</xdr:rowOff>
    </xdr:to>
    <xdr:cxnSp macro="">
      <xdr:nvCxnSpPr>
        <xdr:cNvPr id="61" name="Straight Connector 60">
          <a:extLst>
            <a:ext uri="{FF2B5EF4-FFF2-40B4-BE49-F238E27FC236}">
              <a16:creationId xmlns:a16="http://schemas.microsoft.com/office/drawing/2014/main" id="{6A5B8AFD-1052-4DCF-8AF5-6765E8ECF4C9}"/>
            </a:ext>
          </a:extLst>
        </xdr:cNvPr>
        <xdr:cNvCxnSpPr>
          <a:cxnSpLocks/>
        </xdr:cNvCxnSpPr>
      </xdr:nvCxnSpPr>
      <xdr:spPr>
        <a:xfrm>
          <a:off x="5548289" y="5570706"/>
          <a:ext cx="421211" cy="8461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544920</xdr:colOff>
      <xdr:row>36</xdr:row>
      <xdr:rowOff>24210</xdr:rowOff>
    </xdr:from>
    <xdr:to>
      <xdr:col>5</xdr:col>
      <xdr:colOff>625404</xdr:colOff>
      <xdr:row>37</xdr:row>
      <xdr:rowOff>79931</xdr:rowOff>
    </xdr:to>
    <xdr:sp macro="" textlink="">
      <xdr:nvSpPr>
        <xdr:cNvPr id="62" name="TextBox 20">
          <a:extLst>
            <a:ext uri="{FF2B5EF4-FFF2-40B4-BE49-F238E27FC236}">
              <a16:creationId xmlns:a16="http://schemas.microsoft.com/office/drawing/2014/main" id="{0D8C1B19-A986-4FA3-A083-98DE34DE554D}"/>
            </a:ext>
          </a:extLst>
        </xdr:cNvPr>
        <xdr:cNvSpPr txBox="1"/>
      </xdr:nvSpPr>
      <xdr:spPr>
        <a:xfrm>
          <a:off x="4586241" y="4977210"/>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FF0000"/>
              </a:solidFill>
              <a:effectLst/>
              <a:uLnTx/>
              <a:uFillTx/>
              <a:latin typeface="Calibri" panose="020F0502020204030204"/>
              <a:ea typeface="+mn-ea"/>
              <a:cs typeface="+mn-cs"/>
            </a:rPr>
            <a:t>Catalyst used</a:t>
          </a:r>
        </a:p>
      </xdr:txBody>
    </xdr:sp>
    <xdr:clientData/>
  </xdr:twoCellAnchor>
  <xdr:twoCellAnchor>
    <xdr:from>
      <xdr:col>3</xdr:col>
      <xdr:colOff>556796</xdr:colOff>
      <xdr:row>42</xdr:row>
      <xdr:rowOff>22461</xdr:rowOff>
    </xdr:from>
    <xdr:to>
      <xdr:col>5</xdr:col>
      <xdr:colOff>899797</xdr:colOff>
      <xdr:row>43</xdr:row>
      <xdr:rowOff>78182</xdr:rowOff>
    </xdr:to>
    <xdr:sp macro="" textlink="">
      <xdr:nvSpPr>
        <xdr:cNvPr id="63" name="TextBox 21">
          <a:extLst>
            <a:ext uri="{FF2B5EF4-FFF2-40B4-BE49-F238E27FC236}">
              <a16:creationId xmlns:a16="http://schemas.microsoft.com/office/drawing/2014/main" id="{E5DBB2E9-B714-433E-B33A-9710F00DC4C3}"/>
            </a:ext>
          </a:extLst>
        </xdr:cNvPr>
        <xdr:cNvSpPr txBox="1"/>
      </xdr:nvSpPr>
      <xdr:spPr>
        <a:xfrm>
          <a:off x="4598117" y="6118461"/>
          <a:ext cx="2125537"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Emission factors of Electricity Use</a:t>
          </a:r>
        </a:p>
      </xdr:txBody>
    </xdr:sp>
    <xdr:clientData/>
  </xdr:twoCellAnchor>
  <xdr:twoCellAnchor>
    <xdr:from>
      <xdr:col>3</xdr:col>
      <xdr:colOff>842600</xdr:colOff>
      <xdr:row>43</xdr:row>
      <xdr:rowOff>12920</xdr:rowOff>
    </xdr:from>
    <xdr:to>
      <xdr:col>5</xdr:col>
      <xdr:colOff>1185601</xdr:colOff>
      <xdr:row>44</xdr:row>
      <xdr:rowOff>68641</xdr:rowOff>
    </xdr:to>
    <xdr:sp macro="" textlink="">
      <xdr:nvSpPr>
        <xdr:cNvPr id="64" name="TextBox 22">
          <a:extLst>
            <a:ext uri="{FF2B5EF4-FFF2-40B4-BE49-F238E27FC236}">
              <a16:creationId xmlns:a16="http://schemas.microsoft.com/office/drawing/2014/main" id="{3ACCA908-E39E-4892-9D8E-D06565F93C90}"/>
            </a:ext>
          </a:extLst>
        </xdr:cNvPr>
        <xdr:cNvSpPr txBox="1"/>
      </xdr:nvSpPr>
      <xdr:spPr>
        <a:xfrm>
          <a:off x="4883921" y="6299420"/>
          <a:ext cx="2125537"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Transportation Factors</a:t>
          </a:r>
        </a:p>
      </xdr:txBody>
    </xdr:sp>
    <xdr:clientData/>
  </xdr:twoCellAnchor>
  <xdr:twoCellAnchor>
    <xdr:from>
      <xdr:col>5</xdr:col>
      <xdr:colOff>877564</xdr:colOff>
      <xdr:row>42</xdr:row>
      <xdr:rowOff>152190</xdr:rowOff>
    </xdr:from>
    <xdr:to>
      <xdr:col>5</xdr:col>
      <xdr:colOff>1213907</xdr:colOff>
      <xdr:row>43</xdr:row>
      <xdr:rowOff>47690</xdr:rowOff>
    </xdr:to>
    <xdr:cxnSp macro="">
      <xdr:nvCxnSpPr>
        <xdr:cNvPr id="65" name="Straight Connector 64">
          <a:extLst>
            <a:ext uri="{FF2B5EF4-FFF2-40B4-BE49-F238E27FC236}">
              <a16:creationId xmlns:a16="http://schemas.microsoft.com/office/drawing/2014/main" id="{ADD895EE-3701-4F3B-83D7-F520D58E05EC}"/>
            </a:ext>
          </a:extLst>
        </xdr:cNvPr>
        <xdr:cNvCxnSpPr>
          <a:cxnSpLocks/>
        </xdr:cNvCxnSpPr>
      </xdr:nvCxnSpPr>
      <xdr:spPr>
        <a:xfrm>
          <a:off x="6701421" y="6248190"/>
          <a:ext cx="336343" cy="86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886593</xdr:colOff>
      <xdr:row>43</xdr:row>
      <xdr:rowOff>47690</xdr:rowOff>
    </xdr:from>
    <xdr:to>
      <xdr:col>5</xdr:col>
      <xdr:colOff>1213906</xdr:colOff>
      <xdr:row>43</xdr:row>
      <xdr:rowOff>108673</xdr:rowOff>
    </xdr:to>
    <xdr:cxnSp macro="">
      <xdr:nvCxnSpPr>
        <xdr:cNvPr id="66" name="Straight Connector 65">
          <a:extLst>
            <a:ext uri="{FF2B5EF4-FFF2-40B4-BE49-F238E27FC236}">
              <a16:creationId xmlns:a16="http://schemas.microsoft.com/office/drawing/2014/main" id="{242F2726-243A-49B4-A573-E9426DB7AA35}"/>
            </a:ext>
          </a:extLst>
        </xdr:cNvPr>
        <xdr:cNvCxnSpPr>
          <a:cxnSpLocks/>
        </xdr:cNvCxnSpPr>
      </xdr:nvCxnSpPr>
      <xdr:spPr>
        <a:xfrm flipV="1">
          <a:off x="6710450" y="6334190"/>
          <a:ext cx="327313" cy="609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1141602</xdr:colOff>
      <xdr:row>42</xdr:row>
      <xdr:rowOff>114578</xdr:rowOff>
    </xdr:from>
    <xdr:to>
      <xdr:col>6</xdr:col>
      <xdr:colOff>637496</xdr:colOff>
      <xdr:row>43</xdr:row>
      <xdr:rowOff>170299</xdr:rowOff>
    </xdr:to>
    <xdr:sp macro="" textlink="">
      <xdr:nvSpPr>
        <xdr:cNvPr id="67" name="TextBox 25">
          <a:extLst>
            <a:ext uri="{FF2B5EF4-FFF2-40B4-BE49-F238E27FC236}">
              <a16:creationId xmlns:a16="http://schemas.microsoft.com/office/drawing/2014/main" id="{E4E49889-1CF2-4EF1-8B4A-8B77BBBF94B4}"/>
            </a:ext>
          </a:extLst>
        </xdr:cNvPr>
        <xdr:cNvSpPr txBox="1"/>
      </xdr:nvSpPr>
      <xdr:spPr>
        <a:xfrm>
          <a:off x="6965459" y="6210578"/>
          <a:ext cx="127843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00B050"/>
              </a:solidFill>
              <a:effectLst/>
              <a:uLnTx/>
              <a:uFillTx/>
              <a:latin typeface="Calibri" panose="020F0502020204030204"/>
              <a:ea typeface="+mn-ea"/>
              <a:cs typeface="+mn-cs"/>
            </a:rPr>
            <a:t>Location of facility</a:t>
          </a:r>
        </a:p>
      </xdr:txBody>
    </xdr:sp>
    <xdr:clientData/>
  </xdr:twoCellAnchor>
  <xdr:twoCellAnchor>
    <xdr:from>
      <xdr:col>3</xdr:col>
      <xdr:colOff>67348</xdr:colOff>
      <xdr:row>35</xdr:row>
      <xdr:rowOff>50327</xdr:rowOff>
    </xdr:from>
    <xdr:to>
      <xdr:col>5</xdr:col>
      <xdr:colOff>147832</xdr:colOff>
      <xdr:row>36</xdr:row>
      <xdr:rowOff>106048</xdr:rowOff>
    </xdr:to>
    <xdr:sp macro="" textlink="">
      <xdr:nvSpPr>
        <xdr:cNvPr id="68" name="TextBox 26">
          <a:extLst>
            <a:ext uri="{FF2B5EF4-FFF2-40B4-BE49-F238E27FC236}">
              <a16:creationId xmlns:a16="http://schemas.microsoft.com/office/drawing/2014/main" id="{341B664C-A0CC-49E2-B49F-999128F68CC0}"/>
            </a:ext>
          </a:extLst>
        </xdr:cNvPr>
        <xdr:cNvSpPr txBox="1"/>
      </xdr:nvSpPr>
      <xdr:spPr>
        <a:xfrm>
          <a:off x="4108669" y="4812827"/>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Efficiency of conversion facility</a:t>
          </a:r>
        </a:p>
      </xdr:txBody>
    </xdr:sp>
    <xdr:clientData/>
  </xdr:twoCellAnchor>
  <xdr:twoCellAnchor>
    <xdr:from>
      <xdr:col>5</xdr:col>
      <xdr:colOff>556202</xdr:colOff>
      <xdr:row>44</xdr:row>
      <xdr:rowOff>156370</xdr:rowOff>
    </xdr:from>
    <xdr:to>
      <xdr:col>6</xdr:col>
      <xdr:colOff>811285</xdr:colOff>
      <xdr:row>46</xdr:row>
      <xdr:rowOff>21591</xdr:rowOff>
    </xdr:to>
    <xdr:sp macro="" textlink="">
      <xdr:nvSpPr>
        <xdr:cNvPr id="69" name="TextBox 27">
          <a:extLst>
            <a:ext uri="{FF2B5EF4-FFF2-40B4-BE49-F238E27FC236}">
              <a16:creationId xmlns:a16="http://schemas.microsoft.com/office/drawing/2014/main" id="{FCEE8E65-8558-4E87-A232-B6F87D0C5E40}"/>
            </a:ext>
          </a:extLst>
        </xdr:cNvPr>
        <xdr:cNvSpPr txBox="1"/>
      </xdr:nvSpPr>
      <xdr:spPr>
        <a:xfrm>
          <a:off x="6380059" y="6633370"/>
          <a:ext cx="2037619"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FF0000"/>
              </a:solidFill>
              <a:effectLst/>
              <a:uLnTx/>
              <a:uFillTx/>
              <a:latin typeface="Calibri" panose="020F0502020204030204"/>
              <a:ea typeface="+mn-ea"/>
              <a:cs typeface="+mn-cs"/>
            </a:rPr>
            <a:t>Co-products allocation methods</a:t>
          </a:r>
        </a:p>
      </xdr:txBody>
    </xdr:sp>
    <xdr:clientData/>
  </xdr:twoCellAnchor>
  <xdr:twoCellAnchor>
    <xdr:from>
      <xdr:col>6</xdr:col>
      <xdr:colOff>749795</xdr:colOff>
      <xdr:row>45</xdr:row>
      <xdr:rowOff>88723</xdr:rowOff>
    </xdr:from>
    <xdr:to>
      <xdr:col>6</xdr:col>
      <xdr:colOff>905019</xdr:colOff>
      <xdr:row>45</xdr:row>
      <xdr:rowOff>88980</xdr:rowOff>
    </xdr:to>
    <xdr:cxnSp macro="">
      <xdr:nvCxnSpPr>
        <xdr:cNvPr id="70" name="Straight Arrow Connector 69">
          <a:extLst>
            <a:ext uri="{FF2B5EF4-FFF2-40B4-BE49-F238E27FC236}">
              <a16:creationId xmlns:a16="http://schemas.microsoft.com/office/drawing/2014/main" id="{C19A03D9-72D1-4C44-988E-C245FE65E214}"/>
            </a:ext>
          </a:extLst>
        </xdr:cNvPr>
        <xdr:cNvCxnSpPr>
          <a:cxnSpLocks/>
        </xdr:cNvCxnSpPr>
      </xdr:nvCxnSpPr>
      <xdr:spPr>
        <a:xfrm flipV="1">
          <a:off x="8356188" y="6756223"/>
          <a:ext cx="155224" cy="2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553991</xdr:colOff>
      <xdr:row>43</xdr:row>
      <xdr:rowOff>40100</xdr:rowOff>
    </xdr:from>
    <xdr:to>
      <xdr:col>6</xdr:col>
      <xdr:colOff>709215</xdr:colOff>
      <xdr:row>43</xdr:row>
      <xdr:rowOff>40357</xdr:rowOff>
    </xdr:to>
    <xdr:cxnSp macro="">
      <xdr:nvCxnSpPr>
        <xdr:cNvPr id="71" name="Straight Arrow Connector 70">
          <a:extLst>
            <a:ext uri="{FF2B5EF4-FFF2-40B4-BE49-F238E27FC236}">
              <a16:creationId xmlns:a16="http://schemas.microsoft.com/office/drawing/2014/main" id="{B97C161F-7D56-43F2-8E7F-220E23CD3734}"/>
            </a:ext>
          </a:extLst>
        </xdr:cNvPr>
        <xdr:cNvCxnSpPr>
          <a:cxnSpLocks/>
        </xdr:cNvCxnSpPr>
      </xdr:nvCxnSpPr>
      <xdr:spPr>
        <a:xfrm flipV="1">
          <a:off x="8160384" y="6326600"/>
          <a:ext cx="155224" cy="25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1773788</xdr:colOff>
      <xdr:row>36</xdr:row>
      <xdr:rowOff>83733</xdr:rowOff>
    </xdr:from>
    <xdr:to>
      <xdr:col>6</xdr:col>
      <xdr:colOff>146476</xdr:colOff>
      <xdr:row>36</xdr:row>
      <xdr:rowOff>83733</xdr:rowOff>
    </xdr:to>
    <xdr:cxnSp macro="">
      <xdr:nvCxnSpPr>
        <xdr:cNvPr id="72" name="Straight Arrow Connector 71">
          <a:extLst>
            <a:ext uri="{FF2B5EF4-FFF2-40B4-BE49-F238E27FC236}">
              <a16:creationId xmlns:a16="http://schemas.microsoft.com/office/drawing/2014/main" id="{FE1B85B6-8B1F-48C0-847B-9A24E84F3BCC}"/>
            </a:ext>
          </a:extLst>
        </xdr:cNvPr>
        <xdr:cNvCxnSpPr>
          <a:cxnSpLocks/>
        </xdr:cNvCxnSpPr>
      </xdr:nvCxnSpPr>
      <xdr:spPr>
        <a:xfrm>
          <a:off x="7597645" y="5036733"/>
          <a:ext cx="15522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266788</xdr:colOff>
      <xdr:row>39</xdr:row>
      <xdr:rowOff>128470</xdr:rowOff>
    </xdr:from>
    <xdr:to>
      <xdr:col>6</xdr:col>
      <xdr:colOff>422012</xdr:colOff>
      <xdr:row>39</xdr:row>
      <xdr:rowOff>128470</xdr:rowOff>
    </xdr:to>
    <xdr:cxnSp macro="">
      <xdr:nvCxnSpPr>
        <xdr:cNvPr id="73" name="Straight Arrow Connector 72">
          <a:extLst>
            <a:ext uri="{FF2B5EF4-FFF2-40B4-BE49-F238E27FC236}">
              <a16:creationId xmlns:a16="http://schemas.microsoft.com/office/drawing/2014/main" id="{599A7094-44AA-47D2-A1E4-39DBB90AF63C}"/>
            </a:ext>
          </a:extLst>
        </xdr:cNvPr>
        <xdr:cNvCxnSpPr>
          <a:cxnSpLocks/>
        </xdr:cNvCxnSpPr>
      </xdr:nvCxnSpPr>
      <xdr:spPr>
        <a:xfrm>
          <a:off x="7873181" y="5652970"/>
          <a:ext cx="15522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190297</xdr:colOff>
      <xdr:row>35</xdr:row>
      <xdr:rowOff>182891</xdr:rowOff>
    </xdr:from>
    <xdr:to>
      <xdr:col>5</xdr:col>
      <xdr:colOff>526640</xdr:colOff>
      <xdr:row>36</xdr:row>
      <xdr:rowOff>78391</xdr:rowOff>
    </xdr:to>
    <xdr:cxnSp macro="">
      <xdr:nvCxnSpPr>
        <xdr:cNvPr id="74" name="Straight Connector 73">
          <a:extLst>
            <a:ext uri="{FF2B5EF4-FFF2-40B4-BE49-F238E27FC236}">
              <a16:creationId xmlns:a16="http://schemas.microsoft.com/office/drawing/2014/main" id="{67601CDB-B5FD-4012-AE6F-99542084F51C}"/>
            </a:ext>
          </a:extLst>
        </xdr:cNvPr>
        <xdr:cNvCxnSpPr>
          <a:cxnSpLocks/>
        </xdr:cNvCxnSpPr>
      </xdr:nvCxnSpPr>
      <xdr:spPr>
        <a:xfrm>
          <a:off x="6014154" y="4945391"/>
          <a:ext cx="336343" cy="86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199326</xdr:colOff>
      <xdr:row>36</xdr:row>
      <xdr:rowOff>78391</xdr:rowOff>
    </xdr:from>
    <xdr:to>
      <xdr:col>5</xdr:col>
      <xdr:colOff>526639</xdr:colOff>
      <xdr:row>36</xdr:row>
      <xdr:rowOff>139374</xdr:rowOff>
    </xdr:to>
    <xdr:cxnSp macro="">
      <xdr:nvCxnSpPr>
        <xdr:cNvPr id="75" name="Straight Connector 74">
          <a:extLst>
            <a:ext uri="{FF2B5EF4-FFF2-40B4-BE49-F238E27FC236}">
              <a16:creationId xmlns:a16="http://schemas.microsoft.com/office/drawing/2014/main" id="{557E7315-0BE7-438B-A298-FBD27F9B546B}"/>
            </a:ext>
          </a:extLst>
        </xdr:cNvPr>
        <xdr:cNvCxnSpPr>
          <a:cxnSpLocks/>
        </xdr:cNvCxnSpPr>
      </xdr:nvCxnSpPr>
      <xdr:spPr>
        <a:xfrm flipV="1">
          <a:off x="6023183" y="5031391"/>
          <a:ext cx="327313" cy="609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32</xdr:row>
      <xdr:rowOff>42016</xdr:rowOff>
    </xdr:from>
    <xdr:to>
      <xdr:col>3</xdr:col>
      <xdr:colOff>665592</xdr:colOff>
      <xdr:row>33</xdr:row>
      <xdr:rowOff>97737</xdr:rowOff>
    </xdr:to>
    <xdr:sp macro="" textlink="">
      <xdr:nvSpPr>
        <xdr:cNvPr id="76" name="TextBox 34">
          <a:extLst>
            <a:ext uri="{FF2B5EF4-FFF2-40B4-BE49-F238E27FC236}">
              <a16:creationId xmlns:a16="http://schemas.microsoft.com/office/drawing/2014/main" id="{5D921A09-5612-4C76-A65B-55A49224CCE9}"/>
            </a:ext>
          </a:extLst>
        </xdr:cNvPr>
        <xdr:cNvSpPr txBox="1"/>
      </xdr:nvSpPr>
      <xdr:spPr>
        <a:xfrm>
          <a:off x="2843893" y="4233016"/>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00B050"/>
              </a:solidFill>
              <a:effectLst/>
              <a:uLnTx/>
              <a:uFillTx/>
              <a:latin typeface="Calibri" panose="020F0502020204030204"/>
              <a:ea typeface="+mn-ea"/>
              <a:cs typeface="+mn-cs"/>
            </a:rPr>
            <a:t>Feedstocks used</a:t>
          </a:r>
        </a:p>
      </xdr:txBody>
    </xdr:sp>
    <xdr:clientData/>
  </xdr:twoCellAnchor>
  <xdr:twoCellAnchor>
    <xdr:from>
      <xdr:col>3</xdr:col>
      <xdr:colOff>490376</xdr:colOff>
      <xdr:row>31</xdr:row>
      <xdr:rowOff>32788</xdr:rowOff>
    </xdr:from>
    <xdr:to>
      <xdr:col>5</xdr:col>
      <xdr:colOff>570860</xdr:colOff>
      <xdr:row>32</xdr:row>
      <xdr:rowOff>88509</xdr:rowOff>
    </xdr:to>
    <xdr:sp macro="" textlink="">
      <xdr:nvSpPr>
        <xdr:cNvPr id="77" name="TextBox 35">
          <a:extLst>
            <a:ext uri="{FF2B5EF4-FFF2-40B4-BE49-F238E27FC236}">
              <a16:creationId xmlns:a16="http://schemas.microsoft.com/office/drawing/2014/main" id="{517C7C8C-6D94-4657-9C95-EEF214A475E5}"/>
            </a:ext>
          </a:extLst>
        </xdr:cNvPr>
        <xdr:cNvSpPr txBox="1"/>
      </xdr:nvSpPr>
      <xdr:spPr>
        <a:xfrm>
          <a:off x="4531697" y="4033288"/>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Triglyceride breakdown</a:t>
          </a:r>
        </a:p>
      </xdr:txBody>
    </xdr:sp>
    <xdr:clientData/>
  </xdr:twoCellAnchor>
  <xdr:twoCellAnchor>
    <xdr:from>
      <xdr:col>3</xdr:col>
      <xdr:colOff>504807</xdr:colOff>
      <xdr:row>31</xdr:row>
      <xdr:rowOff>170733</xdr:rowOff>
    </xdr:from>
    <xdr:to>
      <xdr:col>5</xdr:col>
      <xdr:colOff>585291</xdr:colOff>
      <xdr:row>33</xdr:row>
      <xdr:rowOff>35954</xdr:rowOff>
    </xdr:to>
    <xdr:sp macro="" textlink="">
      <xdr:nvSpPr>
        <xdr:cNvPr id="78" name="TextBox 36">
          <a:extLst>
            <a:ext uri="{FF2B5EF4-FFF2-40B4-BE49-F238E27FC236}">
              <a16:creationId xmlns:a16="http://schemas.microsoft.com/office/drawing/2014/main" id="{E063A4F8-B05D-4D3E-93D0-08BE11EB7C63}"/>
            </a:ext>
          </a:extLst>
        </xdr:cNvPr>
        <xdr:cNvSpPr txBox="1"/>
      </xdr:nvSpPr>
      <xdr:spPr>
        <a:xfrm>
          <a:off x="4546128" y="4171233"/>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00B050"/>
              </a:solidFill>
              <a:effectLst/>
              <a:uLnTx/>
              <a:uFillTx/>
              <a:latin typeface="Calibri" panose="020F0502020204030204"/>
              <a:ea typeface="+mn-ea"/>
              <a:cs typeface="+mn-cs"/>
            </a:rPr>
            <a:t>Reaction mechanism</a:t>
          </a:r>
        </a:p>
      </xdr:txBody>
    </xdr:sp>
    <xdr:clientData/>
  </xdr:twoCellAnchor>
  <xdr:twoCellAnchor>
    <xdr:from>
      <xdr:col>3</xdr:col>
      <xdr:colOff>541997</xdr:colOff>
      <xdr:row>33</xdr:row>
      <xdr:rowOff>76475</xdr:rowOff>
    </xdr:from>
    <xdr:to>
      <xdr:col>5</xdr:col>
      <xdr:colOff>622481</xdr:colOff>
      <xdr:row>34</xdr:row>
      <xdr:rowOff>132196</xdr:rowOff>
    </xdr:to>
    <xdr:sp macro="" textlink="">
      <xdr:nvSpPr>
        <xdr:cNvPr id="79" name="TextBox 37">
          <a:extLst>
            <a:ext uri="{FF2B5EF4-FFF2-40B4-BE49-F238E27FC236}">
              <a16:creationId xmlns:a16="http://schemas.microsoft.com/office/drawing/2014/main" id="{EADF9703-B4ED-44A3-B9FB-367C15A81897}"/>
            </a:ext>
          </a:extLst>
        </xdr:cNvPr>
        <xdr:cNvSpPr txBox="1"/>
      </xdr:nvSpPr>
      <xdr:spPr>
        <a:xfrm>
          <a:off x="4583318" y="4457975"/>
          <a:ext cx="1863020"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00B050"/>
              </a:solidFill>
              <a:effectLst/>
              <a:uLnTx/>
              <a:uFillTx/>
              <a:latin typeface="Calibri" panose="020F0502020204030204"/>
              <a:ea typeface="+mn-ea"/>
              <a:cs typeface="+mn-cs"/>
            </a:rPr>
            <a:t>Molecular properties</a:t>
          </a:r>
        </a:p>
      </xdr:txBody>
    </xdr:sp>
    <xdr:clientData/>
  </xdr:twoCellAnchor>
  <xdr:twoCellAnchor>
    <xdr:from>
      <xdr:col>5</xdr:col>
      <xdr:colOff>405306</xdr:colOff>
      <xdr:row>32</xdr:row>
      <xdr:rowOff>1977</xdr:rowOff>
    </xdr:from>
    <xdr:to>
      <xdr:col>5</xdr:col>
      <xdr:colOff>789350</xdr:colOff>
      <xdr:row>33</xdr:row>
      <xdr:rowOff>19520</xdr:rowOff>
    </xdr:to>
    <xdr:cxnSp macro="">
      <xdr:nvCxnSpPr>
        <xdr:cNvPr id="80" name="Straight Connector 79">
          <a:extLst>
            <a:ext uri="{FF2B5EF4-FFF2-40B4-BE49-F238E27FC236}">
              <a16:creationId xmlns:a16="http://schemas.microsoft.com/office/drawing/2014/main" id="{35048F0A-5667-4720-89B3-A5857FFE5424}"/>
            </a:ext>
          </a:extLst>
        </xdr:cNvPr>
        <xdr:cNvCxnSpPr>
          <a:cxnSpLocks/>
        </xdr:cNvCxnSpPr>
      </xdr:nvCxnSpPr>
      <xdr:spPr>
        <a:xfrm>
          <a:off x="6229163" y="4192977"/>
          <a:ext cx="384044" cy="20804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442991</xdr:colOff>
      <xdr:row>32</xdr:row>
      <xdr:rowOff>130218</xdr:rowOff>
    </xdr:from>
    <xdr:to>
      <xdr:col>5</xdr:col>
      <xdr:colOff>789350</xdr:colOff>
      <xdr:row>33</xdr:row>
      <xdr:rowOff>19521</xdr:rowOff>
    </xdr:to>
    <xdr:cxnSp macro="">
      <xdr:nvCxnSpPr>
        <xdr:cNvPr id="81" name="Straight Connector 80">
          <a:extLst>
            <a:ext uri="{FF2B5EF4-FFF2-40B4-BE49-F238E27FC236}">
              <a16:creationId xmlns:a16="http://schemas.microsoft.com/office/drawing/2014/main" id="{C8290AF7-C550-4EC1-B525-56F4920C38FF}"/>
            </a:ext>
          </a:extLst>
        </xdr:cNvPr>
        <xdr:cNvCxnSpPr>
          <a:cxnSpLocks/>
        </xdr:cNvCxnSpPr>
      </xdr:nvCxnSpPr>
      <xdr:spPr>
        <a:xfrm>
          <a:off x="6266848" y="4321218"/>
          <a:ext cx="346359" cy="7980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426730</xdr:colOff>
      <xdr:row>33</xdr:row>
      <xdr:rowOff>19521</xdr:rowOff>
    </xdr:from>
    <xdr:to>
      <xdr:col>5</xdr:col>
      <xdr:colOff>789351</xdr:colOff>
      <xdr:row>33</xdr:row>
      <xdr:rowOff>177765</xdr:rowOff>
    </xdr:to>
    <xdr:cxnSp macro="">
      <xdr:nvCxnSpPr>
        <xdr:cNvPr id="82" name="Straight Connector 81">
          <a:extLst>
            <a:ext uri="{FF2B5EF4-FFF2-40B4-BE49-F238E27FC236}">
              <a16:creationId xmlns:a16="http://schemas.microsoft.com/office/drawing/2014/main" id="{E5567483-12C2-45DA-ABC8-096CBFF366E0}"/>
            </a:ext>
          </a:extLst>
        </xdr:cNvPr>
        <xdr:cNvCxnSpPr>
          <a:cxnSpLocks/>
        </xdr:cNvCxnSpPr>
      </xdr:nvCxnSpPr>
      <xdr:spPr>
        <a:xfrm flipV="1">
          <a:off x="6250587" y="4401021"/>
          <a:ext cx="362621" cy="15824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217647</xdr:colOff>
      <xdr:row>32</xdr:row>
      <xdr:rowOff>19615</xdr:rowOff>
    </xdr:from>
    <xdr:to>
      <xdr:col>3</xdr:col>
      <xdr:colOff>576323</xdr:colOff>
      <xdr:row>32</xdr:row>
      <xdr:rowOff>163091</xdr:rowOff>
    </xdr:to>
    <xdr:cxnSp macro="">
      <xdr:nvCxnSpPr>
        <xdr:cNvPr id="83" name="Straight Connector 82">
          <a:extLst>
            <a:ext uri="{FF2B5EF4-FFF2-40B4-BE49-F238E27FC236}">
              <a16:creationId xmlns:a16="http://schemas.microsoft.com/office/drawing/2014/main" id="{B8D43E80-F96B-4827-ABBF-29441417985A}"/>
            </a:ext>
          </a:extLst>
        </xdr:cNvPr>
        <xdr:cNvCxnSpPr>
          <a:cxnSpLocks/>
        </xdr:cNvCxnSpPr>
      </xdr:nvCxnSpPr>
      <xdr:spPr>
        <a:xfrm flipH="1">
          <a:off x="4258968" y="4210615"/>
          <a:ext cx="358676" cy="14347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214698</xdr:colOff>
      <xdr:row>32</xdr:row>
      <xdr:rowOff>132624</xdr:rowOff>
    </xdr:from>
    <xdr:to>
      <xdr:col>3</xdr:col>
      <xdr:colOff>615860</xdr:colOff>
      <xdr:row>32</xdr:row>
      <xdr:rowOff>171515</xdr:rowOff>
    </xdr:to>
    <xdr:cxnSp macro="">
      <xdr:nvCxnSpPr>
        <xdr:cNvPr id="84" name="Straight Connector 83">
          <a:extLst>
            <a:ext uri="{FF2B5EF4-FFF2-40B4-BE49-F238E27FC236}">
              <a16:creationId xmlns:a16="http://schemas.microsoft.com/office/drawing/2014/main" id="{0B0095BE-8183-46DC-8D58-7AB85E75C180}"/>
            </a:ext>
          </a:extLst>
        </xdr:cNvPr>
        <xdr:cNvCxnSpPr>
          <a:cxnSpLocks/>
        </xdr:cNvCxnSpPr>
      </xdr:nvCxnSpPr>
      <xdr:spPr>
        <a:xfrm flipH="1">
          <a:off x="4256019" y="4323624"/>
          <a:ext cx="401162" cy="3889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208348</xdr:colOff>
      <xdr:row>32</xdr:row>
      <xdr:rowOff>169441</xdr:rowOff>
    </xdr:from>
    <xdr:to>
      <xdr:col>3</xdr:col>
      <xdr:colOff>633803</xdr:colOff>
      <xdr:row>33</xdr:row>
      <xdr:rowOff>155391</xdr:rowOff>
    </xdr:to>
    <xdr:cxnSp macro="">
      <xdr:nvCxnSpPr>
        <xdr:cNvPr id="85" name="Straight Connector 84">
          <a:extLst>
            <a:ext uri="{FF2B5EF4-FFF2-40B4-BE49-F238E27FC236}">
              <a16:creationId xmlns:a16="http://schemas.microsoft.com/office/drawing/2014/main" id="{1B702158-5E4C-475F-A92A-FAF8485F9947}"/>
            </a:ext>
          </a:extLst>
        </xdr:cNvPr>
        <xdr:cNvCxnSpPr>
          <a:cxnSpLocks/>
        </xdr:cNvCxnSpPr>
      </xdr:nvCxnSpPr>
      <xdr:spPr>
        <a:xfrm flipH="1" flipV="1">
          <a:off x="4249669" y="4360441"/>
          <a:ext cx="425455" cy="176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749928</xdr:colOff>
      <xdr:row>32</xdr:row>
      <xdr:rowOff>3415</xdr:rowOff>
    </xdr:from>
    <xdr:to>
      <xdr:col>5</xdr:col>
      <xdr:colOff>1551539</xdr:colOff>
      <xdr:row>34</xdr:row>
      <xdr:rowOff>22525</xdr:rowOff>
    </xdr:to>
    <xdr:sp macro="" textlink="">
      <xdr:nvSpPr>
        <xdr:cNvPr id="86" name="TextBox 44">
          <a:extLst>
            <a:ext uri="{FF2B5EF4-FFF2-40B4-BE49-F238E27FC236}">
              <a16:creationId xmlns:a16="http://schemas.microsoft.com/office/drawing/2014/main" id="{55A087EB-66F4-4D18-A413-9A2E531FE398}"/>
            </a:ext>
          </a:extLst>
        </xdr:cNvPr>
        <xdr:cNvSpPr txBox="1"/>
      </xdr:nvSpPr>
      <xdr:spPr>
        <a:xfrm>
          <a:off x="6573785" y="4194415"/>
          <a:ext cx="801611"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SAF properties</a:t>
          </a:r>
        </a:p>
      </xdr:txBody>
    </xdr:sp>
    <xdr:clientData/>
  </xdr:twoCellAnchor>
  <xdr:twoCellAnchor>
    <xdr:from>
      <xdr:col>5</xdr:col>
      <xdr:colOff>1464736</xdr:colOff>
      <xdr:row>33</xdr:row>
      <xdr:rowOff>10304</xdr:rowOff>
    </xdr:from>
    <xdr:to>
      <xdr:col>5</xdr:col>
      <xdr:colOff>1619960</xdr:colOff>
      <xdr:row>33</xdr:row>
      <xdr:rowOff>10304</xdr:rowOff>
    </xdr:to>
    <xdr:cxnSp macro="">
      <xdr:nvCxnSpPr>
        <xdr:cNvPr id="87" name="Straight Arrow Connector 86">
          <a:extLst>
            <a:ext uri="{FF2B5EF4-FFF2-40B4-BE49-F238E27FC236}">
              <a16:creationId xmlns:a16="http://schemas.microsoft.com/office/drawing/2014/main" id="{3FBEAF2D-0323-46AB-AF27-1AD6F3095FCB}"/>
            </a:ext>
          </a:extLst>
        </xdr:cNvPr>
        <xdr:cNvCxnSpPr>
          <a:cxnSpLocks/>
        </xdr:cNvCxnSpPr>
      </xdr:nvCxnSpPr>
      <xdr:spPr>
        <a:xfrm>
          <a:off x="7288593" y="4391804"/>
          <a:ext cx="15522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214778</xdr:colOff>
      <xdr:row>32</xdr:row>
      <xdr:rowOff>170476</xdr:rowOff>
    </xdr:from>
    <xdr:to>
      <xdr:col>3</xdr:col>
      <xdr:colOff>660747</xdr:colOff>
      <xdr:row>33</xdr:row>
      <xdr:rowOff>38364</xdr:rowOff>
    </xdr:to>
    <xdr:cxnSp macro="">
      <xdr:nvCxnSpPr>
        <xdr:cNvPr id="88" name="Straight Connector 87">
          <a:extLst>
            <a:ext uri="{FF2B5EF4-FFF2-40B4-BE49-F238E27FC236}">
              <a16:creationId xmlns:a16="http://schemas.microsoft.com/office/drawing/2014/main" id="{19A11D6F-8529-43C2-A74F-070CAF96724F}"/>
            </a:ext>
          </a:extLst>
        </xdr:cNvPr>
        <xdr:cNvCxnSpPr>
          <a:cxnSpLocks/>
        </xdr:cNvCxnSpPr>
      </xdr:nvCxnSpPr>
      <xdr:spPr>
        <a:xfrm flipH="1" flipV="1">
          <a:off x="4256099" y="4361476"/>
          <a:ext cx="445969" cy="583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601579</xdr:colOff>
      <xdr:row>32</xdr:row>
      <xdr:rowOff>121069</xdr:rowOff>
    </xdr:from>
    <xdr:to>
      <xdr:col>5</xdr:col>
      <xdr:colOff>482692</xdr:colOff>
      <xdr:row>33</xdr:row>
      <xdr:rowOff>176790</xdr:rowOff>
    </xdr:to>
    <xdr:sp macro="" textlink="">
      <xdr:nvSpPr>
        <xdr:cNvPr id="89" name="TextBox 47">
          <a:extLst>
            <a:ext uri="{FF2B5EF4-FFF2-40B4-BE49-F238E27FC236}">
              <a16:creationId xmlns:a16="http://schemas.microsoft.com/office/drawing/2014/main" id="{04DCB2D8-B1DD-41D4-9805-71CDFCC138A6}"/>
            </a:ext>
          </a:extLst>
        </xdr:cNvPr>
        <xdr:cNvSpPr txBox="1"/>
      </xdr:nvSpPr>
      <xdr:spPr>
        <a:xfrm>
          <a:off x="4642900" y="4312069"/>
          <a:ext cx="1663649" cy="24622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US" sz="1000" b="1" i="0" u="none" strike="noStrike" kern="1200" cap="none" spc="0" normalizeH="0" baseline="0">
              <a:ln>
                <a:noFill/>
              </a:ln>
              <a:solidFill>
                <a:srgbClr val="ED7D31"/>
              </a:solidFill>
              <a:effectLst/>
              <a:uLnTx/>
              <a:uFillTx/>
              <a:latin typeface="Calibri" panose="020F0502020204030204"/>
              <a:ea typeface="+mn-ea"/>
              <a:cs typeface="+mn-cs"/>
            </a:rPr>
            <a:t>SAF </a:t>
          </a:r>
          <a:r>
            <a:rPr kumimoji="0" lang="en-IE" sz="1000" b="1" i="0" u="none" strike="noStrike" kern="1200" cap="none" spc="0" normalizeH="0" baseline="0">
              <a:ln>
                <a:noFill/>
              </a:ln>
              <a:solidFill>
                <a:srgbClr val="ED7D31"/>
              </a:solidFill>
              <a:effectLst/>
              <a:uLnTx/>
              <a:uFillTx/>
              <a:latin typeface="Calibri" panose="020F0502020204030204"/>
              <a:ea typeface="+mn-ea"/>
              <a:cs typeface="+mn-cs"/>
            </a:rPr>
            <a:t>Molecular Breakdown</a:t>
          </a:r>
        </a:p>
      </xdr:txBody>
    </xdr:sp>
    <xdr:clientData/>
  </xdr:twoCellAnchor>
  <xdr:twoCellAnchor>
    <xdr:from>
      <xdr:col>5</xdr:col>
      <xdr:colOff>411540</xdr:colOff>
      <xdr:row>33</xdr:row>
      <xdr:rowOff>20684</xdr:rowOff>
    </xdr:from>
    <xdr:to>
      <xdr:col>5</xdr:col>
      <xdr:colOff>779422</xdr:colOff>
      <xdr:row>33</xdr:row>
      <xdr:rowOff>60594</xdr:rowOff>
    </xdr:to>
    <xdr:cxnSp macro="">
      <xdr:nvCxnSpPr>
        <xdr:cNvPr id="90" name="Straight Connector 89">
          <a:extLst>
            <a:ext uri="{FF2B5EF4-FFF2-40B4-BE49-F238E27FC236}">
              <a16:creationId xmlns:a16="http://schemas.microsoft.com/office/drawing/2014/main" id="{8B14EB39-D7C1-4D4A-8B3B-3172BB27A4DE}"/>
            </a:ext>
          </a:extLst>
        </xdr:cNvPr>
        <xdr:cNvCxnSpPr>
          <a:cxnSpLocks/>
        </xdr:cNvCxnSpPr>
      </xdr:nvCxnSpPr>
      <xdr:spPr>
        <a:xfrm flipV="1">
          <a:off x="6235397" y="4402184"/>
          <a:ext cx="367882" cy="3991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637497</xdr:colOff>
      <xdr:row>29</xdr:row>
      <xdr:rowOff>53189</xdr:rowOff>
    </xdr:from>
    <xdr:to>
      <xdr:col>6</xdr:col>
      <xdr:colOff>759990</xdr:colOff>
      <xdr:row>29</xdr:row>
      <xdr:rowOff>172336</xdr:rowOff>
    </xdr:to>
    <xdr:sp macro="" textlink="">
      <xdr:nvSpPr>
        <xdr:cNvPr id="91" name="Rectangle 90">
          <a:extLst>
            <a:ext uri="{FF2B5EF4-FFF2-40B4-BE49-F238E27FC236}">
              <a16:creationId xmlns:a16="http://schemas.microsoft.com/office/drawing/2014/main" id="{FDBB189F-ADFB-455C-AEC4-79EAA317C274}"/>
            </a:ext>
          </a:extLst>
        </xdr:cNvPr>
        <xdr:cNvSpPr/>
      </xdr:nvSpPr>
      <xdr:spPr>
        <a:xfrm>
          <a:off x="8243890" y="3672689"/>
          <a:ext cx="122493" cy="119147"/>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endParaRPr kumimoji="0" lang="en-IE" sz="1800" b="0" i="0" u="none" strike="noStrike" kern="1200" cap="none" spc="0" normalizeH="0" baseline="0">
            <a:ln>
              <a:noFill/>
            </a:ln>
            <a:solidFill>
              <a:prstClr val="white"/>
            </a:solidFill>
            <a:effectLst/>
            <a:uLnTx/>
            <a:uFillTx/>
            <a:latin typeface="Calibri" panose="020F0502020204030204"/>
            <a:ea typeface="+mn-ea"/>
            <a:cs typeface="+mn-cs"/>
          </a:endParaRPr>
        </a:p>
      </xdr:txBody>
    </xdr:sp>
    <xdr:clientData/>
  </xdr:twoCellAnchor>
  <xdr:twoCellAnchor>
    <xdr:from>
      <xdr:col>6</xdr:col>
      <xdr:colOff>637496</xdr:colOff>
      <xdr:row>30</xdr:row>
      <xdr:rowOff>65820</xdr:rowOff>
    </xdr:from>
    <xdr:to>
      <xdr:col>6</xdr:col>
      <xdr:colOff>759989</xdr:colOff>
      <xdr:row>30</xdr:row>
      <xdr:rowOff>184967</xdr:rowOff>
    </xdr:to>
    <xdr:sp macro="" textlink="">
      <xdr:nvSpPr>
        <xdr:cNvPr id="92" name="Rectangle 91">
          <a:extLst>
            <a:ext uri="{FF2B5EF4-FFF2-40B4-BE49-F238E27FC236}">
              <a16:creationId xmlns:a16="http://schemas.microsoft.com/office/drawing/2014/main" id="{0908D395-767C-4512-87A1-C61A7B714BB3}"/>
            </a:ext>
          </a:extLst>
        </xdr:cNvPr>
        <xdr:cNvSpPr/>
      </xdr:nvSpPr>
      <xdr:spPr>
        <a:xfrm>
          <a:off x="8243889" y="3875820"/>
          <a:ext cx="122493" cy="119147"/>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endParaRPr kumimoji="0" lang="en-IE" sz="1800" b="0" i="0" u="none" strike="noStrike" kern="1200" cap="none" spc="0" normalizeH="0" baseline="0">
            <a:ln>
              <a:noFill/>
            </a:ln>
            <a:solidFill>
              <a:srgbClr val="FFC000"/>
            </a:solidFill>
            <a:effectLst/>
            <a:uLnTx/>
            <a:uFillTx/>
            <a:latin typeface="Calibri" panose="020F0502020204030204"/>
            <a:ea typeface="+mn-ea"/>
            <a:cs typeface="+mn-cs"/>
          </a:endParaRPr>
        </a:p>
      </xdr:txBody>
    </xdr:sp>
    <xdr:clientData/>
  </xdr:twoCellAnchor>
  <xdr:twoCellAnchor>
    <xdr:from>
      <xdr:col>6</xdr:col>
      <xdr:colOff>637496</xdr:colOff>
      <xdr:row>31</xdr:row>
      <xdr:rowOff>71215</xdr:rowOff>
    </xdr:from>
    <xdr:to>
      <xdr:col>6</xdr:col>
      <xdr:colOff>759989</xdr:colOff>
      <xdr:row>31</xdr:row>
      <xdr:rowOff>190362</xdr:rowOff>
    </xdr:to>
    <xdr:sp macro="" textlink="">
      <xdr:nvSpPr>
        <xdr:cNvPr id="93" name="Rectangle 92">
          <a:extLst>
            <a:ext uri="{FF2B5EF4-FFF2-40B4-BE49-F238E27FC236}">
              <a16:creationId xmlns:a16="http://schemas.microsoft.com/office/drawing/2014/main" id="{0DBF1D7A-E8CB-4379-BB47-DCC659C4D7CD}"/>
            </a:ext>
          </a:extLst>
        </xdr:cNvPr>
        <xdr:cNvSpPr/>
      </xdr:nvSpPr>
      <xdr:spPr>
        <a:xfrm>
          <a:off x="8243889" y="4071715"/>
          <a:ext cx="122493" cy="119147"/>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endParaRPr kumimoji="0" lang="en-IE" sz="1800" b="0" i="0" u="none" strike="noStrike" kern="1200" cap="none" spc="0" normalizeH="0" baseline="0">
            <a:ln>
              <a:noFill/>
            </a:ln>
            <a:solidFill>
              <a:prstClr val="white"/>
            </a:solidFill>
            <a:effectLst/>
            <a:uLnTx/>
            <a:uFillTx/>
            <a:latin typeface="Calibri" panose="020F0502020204030204"/>
            <a:ea typeface="+mn-ea"/>
            <a:cs typeface="+mn-cs"/>
          </a:endParaRPr>
        </a:p>
      </xdr:txBody>
    </xdr:sp>
    <xdr:clientData/>
  </xdr:twoCellAnchor>
  <xdr:twoCellAnchor>
    <xdr:from>
      <xdr:col>5</xdr:col>
      <xdr:colOff>378512</xdr:colOff>
      <xdr:row>29</xdr:row>
      <xdr:rowOff>71324</xdr:rowOff>
    </xdr:from>
    <xdr:to>
      <xdr:col>6</xdr:col>
      <xdr:colOff>344400</xdr:colOff>
      <xdr:row>31</xdr:row>
      <xdr:rowOff>59784</xdr:rowOff>
    </xdr:to>
    <xdr:sp macro="" textlink="">
      <xdr:nvSpPr>
        <xdr:cNvPr id="94" name="TextBox 52">
          <a:extLst>
            <a:ext uri="{FF2B5EF4-FFF2-40B4-BE49-F238E27FC236}">
              <a16:creationId xmlns:a16="http://schemas.microsoft.com/office/drawing/2014/main" id="{33F1DF12-72D7-4641-AEE8-99CBE3D5B14E}"/>
            </a:ext>
          </a:extLst>
        </xdr:cNvPr>
        <xdr:cNvSpPr txBox="1"/>
      </xdr:nvSpPr>
      <xdr:spPr>
        <a:xfrm>
          <a:off x="6202369" y="3690824"/>
          <a:ext cx="1748424" cy="369460"/>
        </a:xfrm>
        <a:prstGeom prst="rect">
          <a:avLst/>
        </a:prstGeom>
        <a:noFill/>
        <a:ln>
          <a:solidFill>
            <a:schemeClr val="accent1"/>
          </a:solidFill>
        </a:ln>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r>
            <a:rPr kumimoji="0" lang="en-IE" sz="1801" b="1" i="0" u="none" strike="noStrike" kern="1200" cap="none" spc="0" normalizeH="0" baseline="0">
              <a:ln>
                <a:noFill/>
              </a:ln>
              <a:solidFill>
                <a:srgbClr val="005EAE"/>
              </a:solidFill>
              <a:effectLst/>
              <a:uLnTx/>
              <a:uFillTx/>
              <a:latin typeface="Calibri" panose="020F0502020204030204"/>
              <a:ea typeface="+mn-ea"/>
              <a:cs typeface="+mn-cs"/>
            </a:rPr>
            <a:t>Fuel Production</a:t>
          </a:r>
        </a:p>
      </xdr:txBody>
    </xdr:sp>
    <xdr:clientData/>
  </xdr:twoCellAnchor>
  <xdr:twoCellAnchor>
    <xdr:from>
      <xdr:col>2</xdr:col>
      <xdr:colOff>383449</xdr:colOff>
      <xdr:row>46</xdr:row>
      <xdr:rowOff>179568</xdr:rowOff>
    </xdr:from>
    <xdr:to>
      <xdr:col>9</xdr:col>
      <xdr:colOff>169062</xdr:colOff>
      <xdr:row>46</xdr:row>
      <xdr:rowOff>188533</xdr:rowOff>
    </xdr:to>
    <xdr:cxnSp macro="">
      <xdr:nvCxnSpPr>
        <xdr:cNvPr id="95" name="Straight Arrow Connector 94">
          <a:extLst>
            <a:ext uri="{FF2B5EF4-FFF2-40B4-BE49-F238E27FC236}">
              <a16:creationId xmlns:a16="http://schemas.microsoft.com/office/drawing/2014/main" id="{273974C4-2A34-4569-BBAD-35EA4365D596}"/>
            </a:ext>
          </a:extLst>
        </xdr:cNvPr>
        <xdr:cNvCxnSpPr>
          <a:cxnSpLocks/>
        </xdr:cNvCxnSpPr>
      </xdr:nvCxnSpPr>
      <xdr:spPr>
        <a:xfrm>
          <a:off x="3227342" y="7037568"/>
          <a:ext cx="6915756" cy="8965"/>
        </a:xfrm>
        <a:prstGeom prst="straightConnector1">
          <a:avLst/>
        </a:prstGeom>
        <a:ln w="57150">
          <a:solidFill>
            <a:schemeClr val="accent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727408</xdr:colOff>
      <xdr:row>29</xdr:row>
      <xdr:rowOff>0</xdr:rowOff>
    </xdr:from>
    <xdr:to>
      <xdr:col>9</xdr:col>
      <xdr:colOff>621982</xdr:colOff>
      <xdr:row>32</xdr:row>
      <xdr:rowOff>74831</xdr:rowOff>
    </xdr:to>
    <xdr:sp macro="" textlink="">
      <xdr:nvSpPr>
        <xdr:cNvPr id="96" name="TextBox 54">
          <a:extLst>
            <a:ext uri="{FF2B5EF4-FFF2-40B4-BE49-F238E27FC236}">
              <a16:creationId xmlns:a16="http://schemas.microsoft.com/office/drawing/2014/main" id="{C1C05B09-A270-4960-83F7-3FC054C52F85}"/>
            </a:ext>
          </a:extLst>
        </xdr:cNvPr>
        <xdr:cNvSpPr txBox="1"/>
      </xdr:nvSpPr>
      <xdr:spPr>
        <a:xfrm>
          <a:off x="8333801" y="3619500"/>
          <a:ext cx="2262217"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prstClr val="black"/>
              </a:solidFill>
              <a:effectLst/>
              <a:uLnTx/>
              <a:uFillTx/>
              <a:latin typeface="Calibri" panose="020F0502020204030204"/>
              <a:ea typeface="+mn-ea"/>
              <a:cs typeface="+mn-cs"/>
            </a:rPr>
            <a:t>Considered – Verifiable</a:t>
          </a:r>
        </a:p>
        <a:p>
          <a:pPr marL="0" marR="0" lvl="0" indent="0" algn="l" defTabSz="457200" rtl="0" eaLnBrk="1" fontAlgn="auto" latinLnBrk="0" hangingPunct="1">
            <a:lnSpc>
              <a:spcPct val="100000"/>
            </a:lnSpc>
            <a:spcBef>
              <a:spcPts val="0"/>
            </a:spcBef>
            <a:spcAft>
              <a:spcPts val="0"/>
            </a:spcAft>
            <a:buClrTx/>
            <a:buSzTx/>
            <a:buFontTx/>
            <a:buNone/>
            <a:tabLst/>
            <a:defRPr/>
          </a:pPr>
          <a:endParaRPr kumimoji="0" lang="en-IE" sz="300" b="1" i="0" u="none" strike="noStrike" kern="1200" cap="none" spc="0" normalizeH="0" baseline="0">
            <a:ln>
              <a:noFill/>
            </a:ln>
            <a:solidFill>
              <a:prstClr val="black"/>
            </a:solidFill>
            <a:effectLst/>
            <a:uLnTx/>
            <a:uFillTx/>
            <a:latin typeface="Calibri" panose="020F0502020204030204"/>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prstClr val="black"/>
              </a:solidFill>
              <a:effectLst/>
              <a:uLnTx/>
              <a:uFillTx/>
              <a:latin typeface="Calibri" panose="020F0502020204030204"/>
              <a:ea typeface="+mn-ea"/>
              <a:cs typeface="+mn-cs"/>
            </a:rPr>
            <a:t>Considered – TCD Assumption</a:t>
          </a:r>
        </a:p>
        <a:p>
          <a:pPr marL="0" marR="0" lvl="0" indent="0" algn="l" defTabSz="457200" rtl="0" eaLnBrk="1" fontAlgn="auto" latinLnBrk="0" hangingPunct="1">
            <a:lnSpc>
              <a:spcPct val="100000"/>
            </a:lnSpc>
            <a:spcBef>
              <a:spcPts val="0"/>
            </a:spcBef>
            <a:spcAft>
              <a:spcPts val="0"/>
            </a:spcAft>
            <a:buClrTx/>
            <a:buSzTx/>
            <a:buFontTx/>
            <a:buNone/>
            <a:tabLst/>
            <a:defRPr/>
          </a:pPr>
          <a:endParaRPr kumimoji="0" lang="en-IE" sz="300" b="1" i="0" u="none" strike="noStrike" kern="1200" cap="none" spc="0" normalizeH="0" baseline="0">
            <a:ln>
              <a:noFill/>
            </a:ln>
            <a:solidFill>
              <a:prstClr val="black"/>
            </a:solidFill>
            <a:effectLst/>
            <a:uLnTx/>
            <a:uFillTx/>
            <a:latin typeface="Calibri" panose="020F0502020204030204"/>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0" lang="en-IE" sz="1000" b="1" i="0" u="none" strike="noStrike" kern="1200" cap="none" spc="0" normalizeH="0" baseline="0">
              <a:ln>
                <a:noFill/>
              </a:ln>
              <a:solidFill>
                <a:prstClr val="black"/>
              </a:solidFill>
              <a:effectLst/>
              <a:uLnTx/>
              <a:uFillTx/>
              <a:latin typeface="Calibri" panose="020F0502020204030204"/>
              <a:ea typeface="+mn-ea"/>
              <a:cs typeface="+mn-cs"/>
            </a:rPr>
            <a:t>Not Considered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564171</xdr:colOff>
      <xdr:row>10</xdr:row>
      <xdr:rowOff>65943</xdr:rowOff>
    </xdr:from>
    <xdr:to>
      <xdr:col>19</xdr:col>
      <xdr:colOff>578826</xdr:colOff>
      <xdr:row>37</xdr:row>
      <xdr:rowOff>7326</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537482</xdr:colOff>
      <xdr:row>38</xdr:row>
      <xdr:rowOff>68036</xdr:rowOff>
    </xdr:from>
    <xdr:to>
      <xdr:col>19</xdr:col>
      <xdr:colOff>578302</xdr:colOff>
      <xdr:row>56</xdr:row>
      <xdr:rowOff>136072</xdr:rowOff>
    </xdr:to>
    <xdr:graphicFrame macro="">
      <xdr:nvGraphicFramePr>
        <xdr:cNvPr id="3" name="Chart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850212</xdr:colOff>
      <xdr:row>119</xdr:row>
      <xdr:rowOff>16986</xdr:rowOff>
    </xdr:from>
    <xdr:to>
      <xdr:col>18</xdr:col>
      <xdr:colOff>658117</xdr:colOff>
      <xdr:row>120</xdr:row>
      <xdr:rowOff>124341</xdr:rowOff>
    </xdr:to>
    <xdr:cxnSp macro="">
      <xdr:nvCxnSpPr>
        <xdr:cNvPr id="2" name="Straight Arrow Connector 1">
          <a:extLst>
            <a:ext uri="{FF2B5EF4-FFF2-40B4-BE49-F238E27FC236}">
              <a16:creationId xmlns:a16="http://schemas.microsoft.com/office/drawing/2014/main" id="{00000000-0008-0000-0B00-000002000000}"/>
            </a:ext>
          </a:extLst>
        </xdr:cNvPr>
        <xdr:cNvCxnSpPr/>
      </xdr:nvCxnSpPr>
      <xdr:spPr>
        <a:xfrm flipH="1">
          <a:off x="12508812" y="24115236"/>
          <a:ext cx="788980" cy="31690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54428</xdr:colOff>
      <xdr:row>12</xdr:row>
      <xdr:rowOff>190500</xdr:rowOff>
    </xdr:from>
    <xdr:to>
      <xdr:col>23</xdr:col>
      <xdr:colOff>952500</xdr:colOff>
      <xdr:row>12</xdr:row>
      <xdr:rowOff>190500</xdr:rowOff>
    </xdr:to>
    <xdr:cxnSp macro="">
      <xdr:nvCxnSpPr>
        <xdr:cNvPr id="3" name="Straight Arrow Connector 2">
          <a:extLst>
            <a:ext uri="{FF2B5EF4-FFF2-40B4-BE49-F238E27FC236}">
              <a16:creationId xmlns:a16="http://schemas.microsoft.com/office/drawing/2014/main" id="{00000000-0008-0000-0B00-000003000000}"/>
            </a:ext>
          </a:extLst>
        </xdr:cNvPr>
        <xdr:cNvCxnSpPr/>
      </xdr:nvCxnSpPr>
      <xdr:spPr>
        <a:xfrm>
          <a:off x="11713028" y="2724150"/>
          <a:ext cx="5670097"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353786</xdr:colOff>
      <xdr:row>20</xdr:row>
      <xdr:rowOff>19523</xdr:rowOff>
    </xdr:from>
    <xdr:to>
      <xdr:col>29</xdr:col>
      <xdr:colOff>356745</xdr:colOff>
      <xdr:row>26</xdr:row>
      <xdr:rowOff>13607</xdr:rowOff>
    </xdr:to>
    <xdr:cxnSp macro="">
      <xdr:nvCxnSpPr>
        <xdr:cNvPr id="4" name="Straight Arrow Connector 3">
          <a:extLst>
            <a:ext uri="{FF2B5EF4-FFF2-40B4-BE49-F238E27FC236}">
              <a16:creationId xmlns:a16="http://schemas.microsoft.com/office/drawing/2014/main" id="{00000000-0008-0000-0B00-000004000000}"/>
            </a:ext>
          </a:extLst>
        </xdr:cNvPr>
        <xdr:cNvCxnSpPr/>
      </xdr:nvCxnSpPr>
      <xdr:spPr>
        <a:xfrm flipH="1">
          <a:off x="22642286" y="4162898"/>
          <a:ext cx="2959" cy="126090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348461</xdr:colOff>
      <xdr:row>44</xdr:row>
      <xdr:rowOff>16567</xdr:rowOff>
    </xdr:from>
    <xdr:to>
      <xdr:col>29</xdr:col>
      <xdr:colOff>353786</xdr:colOff>
      <xdr:row>48</xdr:row>
      <xdr:rowOff>176893</xdr:rowOff>
    </xdr:to>
    <xdr:cxnSp macro="">
      <xdr:nvCxnSpPr>
        <xdr:cNvPr id="5" name="Straight Arrow Connector 4">
          <a:extLst>
            <a:ext uri="{FF2B5EF4-FFF2-40B4-BE49-F238E27FC236}">
              <a16:creationId xmlns:a16="http://schemas.microsoft.com/office/drawing/2014/main" id="{00000000-0008-0000-0B00-000005000000}"/>
            </a:ext>
          </a:extLst>
        </xdr:cNvPr>
        <xdr:cNvCxnSpPr/>
      </xdr:nvCxnSpPr>
      <xdr:spPr>
        <a:xfrm>
          <a:off x="22636961" y="9027217"/>
          <a:ext cx="5325" cy="97947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326571</xdr:colOff>
      <xdr:row>63</xdr:row>
      <xdr:rowOff>40821</xdr:rowOff>
    </xdr:from>
    <xdr:to>
      <xdr:col>29</xdr:col>
      <xdr:colOff>326571</xdr:colOff>
      <xdr:row>69</xdr:row>
      <xdr:rowOff>0</xdr:rowOff>
    </xdr:to>
    <xdr:cxnSp macro="">
      <xdr:nvCxnSpPr>
        <xdr:cNvPr id="6" name="Straight Arrow Connector 5">
          <a:extLst>
            <a:ext uri="{FF2B5EF4-FFF2-40B4-BE49-F238E27FC236}">
              <a16:creationId xmlns:a16="http://schemas.microsoft.com/office/drawing/2014/main" id="{00000000-0008-0000-0B00-000006000000}"/>
            </a:ext>
          </a:extLst>
        </xdr:cNvPr>
        <xdr:cNvCxnSpPr/>
      </xdr:nvCxnSpPr>
      <xdr:spPr>
        <a:xfrm>
          <a:off x="22615071" y="12832896"/>
          <a:ext cx="0" cy="11783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666750</xdr:colOff>
      <xdr:row>137</xdr:row>
      <xdr:rowOff>0</xdr:rowOff>
    </xdr:from>
    <xdr:to>
      <xdr:col>15</xdr:col>
      <xdr:colOff>9526</xdr:colOff>
      <xdr:row>142</xdr:row>
      <xdr:rowOff>2721</xdr:rowOff>
    </xdr:to>
    <xdr:cxnSp macro="">
      <xdr:nvCxnSpPr>
        <xdr:cNvPr id="7" name="Straight Arrow Connector 6">
          <a:extLst>
            <a:ext uri="{FF2B5EF4-FFF2-40B4-BE49-F238E27FC236}">
              <a16:creationId xmlns:a16="http://schemas.microsoft.com/office/drawing/2014/main" id="{00000000-0008-0000-0B00-000007000000}"/>
            </a:ext>
          </a:extLst>
        </xdr:cNvPr>
        <xdr:cNvCxnSpPr/>
      </xdr:nvCxnSpPr>
      <xdr:spPr>
        <a:xfrm>
          <a:off x="9763125" y="27755850"/>
          <a:ext cx="28576" cy="104094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299357</xdr:colOff>
      <xdr:row>86</xdr:row>
      <xdr:rowOff>27215</xdr:rowOff>
    </xdr:from>
    <xdr:to>
      <xdr:col>38</xdr:col>
      <xdr:colOff>299357</xdr:colOff>
      <xdr:row>94</xdr:row>
      <xdr:rowOff>13608</xdr:rowOff>
    </xdr:to>
    <xdr:cxnSp macro="">
      <xdr:nvCxnSpPr>
        <xdr:cNvPr id="8" name="Straight Arrow Connector 7">
          <a:extLst>
            <a:ext uri="{FF2B5EF4-FFF2-40B4-BE49-F238E27FC236}">
              <a16:creationId xmlns:a16="http://schemas.microsoft.com/office/drawing/2014/main" id="{00000000-0008-0000-0B00-000008000000}"/>
            </a:ext>
          </a:extLst>
        </xdr:cNvPr>
        <xdr:cNvCxnSpPr/>
      </xdr:nvCxnSpPr>
      <xdr:spPr>
        <a:xfrm>
          <a:off x="30293582" y="17410340"/>
          <a:ext cx="0" cy="171994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41290</xdr:colOff>
      <xdr:row>119</xdr:row>
      <xdr:rowOff>26746</xdr:rowOff>
    </xdr:from>
    <xdr:to>
      <xdr:col>22</xdr:col>
      <xdr:colOff>23930</xdr:colOff>
      <xdr:row>121</xdr:row>
      <xdr:rowOff>13139</xdr:rowOff>
    </xdr:to>
    <xdr:cxnSp macro="">
      <xdr:nvCxnSpPr>
        <xdr:cNvPr id="9" name="Straight Arrow Connector 8">
          <a:extLst>
            <a:ext uri="{FF2B5EF4-FFF2-40B4-BE49-F238E27FC236}">
              <a16:creationId xmlns:a16="http://schemas.microsoft.com/office/drawing/2014/main" id="{00000000-0008-0000-0B00-000009000000}"/>
            </a:ext>
          </a:extLst>
        </xdr:cNvPr>
        <xdr:cNvCxnSpPr/>
      </xdr:nvCxnSpPr>
      <xdr:spPr>
        <a:xfrm>
          <a:off x="14938390" y="24124996"/>
          <a:ext cx="668440" cy="40549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141</xdr:row>
      <xdr:rowOff>0</xdr:rowOff>
    </xdr:from>
    <xdr:to>
      <xdr:col>23</xdr:col>
      <xdr:colOff>966107</xdr:colOff>
      <xdr:row>153</xdr:row>
      <xdr:rowOff>176893</xdr:rowOff>
    </xdr:to>
    <xdr:cxnSp macro="">
      <xdr:nvCxnSpPr>
        <xdr:cNvPr id="10" name="Straight Arrow Connector 9">
          <a:extLst>
            <a:ext uri="{FF2B5EF4-FFF2-40B4-BE49-F238E27FC236}">
              <a16:creationId xmlns:a16="http://schemas.microsoft.com/office/drawing/2014/main" id="{00000000-0008-0000-0B00-00000A000000}"/>
            </a:ext>
          </a:extLst>
        </xdr:cNvPr>
        <xdr:cNvCxnSpPr/>
      </xdr:nvCxnSpPr>
      <xdr:spPr>
        <a:xfrm flipH="1">
          <a:off x="14897100" y="28584525"/>
          <a:ext cx="2499632" cy="252956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1197429</xdr:colOff>
      <xdr:row>141</xdr:row>
      <xdr:rowOff>0</xdr:rowOff>
    </xdr:from>
    <xdr:to>
      <xdr:col>25</xdr:col>
      <xdr:colOff>1238250</xdr:colOff>
      <xdr:row>154</xdr:row>
      <xdr:rowOff>13607</xdr:rowOff>
    </xdr:to>
    <xdr:cxnSp macro="">
      <xdr:nvCxnSpPr>
        <xdr:cNvPr id="11" name="Straight Arrow Connector 10">
          <a:extLst>
            <a:ext uri="{FF2B5EF4-FFF2-40B4-BE49-F238E27FC236}">
              <a16:creationId xmlns:a16="http://schemas.microsoft.com/office/drawing/2014/main" id="{00000000-0008-0000-0B00-00000B000000}"/>
            </a:ext>
          </a:extLst>
        </xdr:cNvPr>
        <xdr:cNvCxnSpPr/>
      </xdr:nvCxnSpPr>
      <xdr:spPr>
        <a:xfrm>
          <a:off x="19456854" y="28584525"/>
          <a:ext cx="40821" cy="257583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141</xdr:row>
      <xdr:rowOff>0</xdr:rowOff>
    </xdr:from>
    <xdr:to>
      <xdr:col>32</xdr:col>
      <xdr:colOff>0</xdr:colOff>
      <xdr:row>154</xdr:row>
      <xdr:rowOff>0</xdr:rowOff>
    </xdr:to>
    <xdr:cxnSp macro="">
      <xdr:nvCxnSpPr>
        <xdr:cNvPr id="12" name="Straight Arrow Connector 11">
          <a:extLst>
            <a:ext uri="{FF2B5EF4-FFF2-40B4-BE49-F238E27FC236}">
              <a16:creationId xmlns:a16="http://schemas.microsoft.com/office/drawing/2014/main" id="{00000000-0008-0000-0B00-00000C000000}"/>
            </a:ext>
          </a:extLst>
        </xdr:cNvPr>
        <xdr:cNvCxnSpPr/>
      </xdr:nvCxnSpPr>
      <xdr:spPr>
        <a:xfrm>
          <a:off x="21459825" y="28584525"/>
          <a:ext cx="3143250" cy="25622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612321</xdr:colOff>
      <xdr:row>13</xdr:row>
      <xdr:rowOff>1361</xdr:rowOff>
    </xdr:from>
    <xdr:to>
      <xdr:col>20</xdr:col>
      <xdr:colOff>621847</xdr:colOff>
      <xdr:row>20</xdr:row>
      <xdr:rowOff>204107</xdr:rowOff>
    </xdr:to>
    <xdr:cxnSp macro="">
      <xdr:nvCxnSpPr>
        <xdr:cNvPr id="13" name="Straight Arrow Connector 12">
          <a:extLst>
            <a:ext uri="{FF2B5EF4-FFF2-40B4-BE49-F238E27FC236}">
              <a16:creationId xmlns:a16="http://schemas.microsoft.com/office/drawing/2014/main" id="{00000000-0008-0000-0B00-00000D000000}"/>
            </a:ext>
          </a:extLst>
        </xdr:cNvPr>
        <xdr:cNvCxnSpPr/>
      </xdr:nvCxnSpPr>
      <xdr:spPr>
        <a:xfrm flipH="1">
          <a:off x="14756946" y="2735036"/>
          <a:ext cx="9526" cy="161244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363812</xdr:colOff>
      <xdr:row>88</xdr:row>
      <xdr:rowOff>16471</xdr:rowOff>
    </xdr:from>
    <xdr:to>
      <xdr:col>18</xdr:col>
      <xdr:colOff>367393</xdr:colOff>
      <xdr:row>94</xdr:row>
      <xdr:rowOff>0</xdr:rowOff>
    </xdr:to>
    <xdr:cxnSp macro="">
      <xdr:nvCxnSpPr>
        <xdr:cNvPr id="14" name="Straight Arrow Connector 13">
          <a:extLst>
            <a:ext uri="{FF2B5EF4-FFF2-40B4-BE49-F238E27FC236}">
              <a16:creationId xmlns:a16="http://schemas.microsoft.com/office/drawing/2014/main" id="{00000000-0008-0000-0B00-00000E000000}"/>
            </a:ext>
          </a:extLst>
        </xdr:cNvPr>
        <xdr:cNvCxnSpPr/>
      </xdr:nvCxnSpPr>
      <xdr:spPr>
        <a:xfrm>
          <a:off x="13003487" y="17818696"/>
          <a:ext cx="3581" cy="12979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367393</xdr:colOff>
      <xdr:row>21</xdr:row>
      <xdr:rowOff>13607</xdr:rowOff>
    </xdr:from>
    <xdr:to>
      <xdr:col>32</xdr:col>
      <xdr:colOff>625929</xdr:colOff>
      <xdr:row>21</xdr:row>
      <xdr:rowOff>27216</xdr:rowOff>
    </xdr:to>
    <xdr:cxnSp macro="">
      <xdr:nvCxnSpPr>
        <xdr:cNvPr id="15" name="Straight Arrow Connector 14">
          <a:extLst>
            <a:ext uri="{FF2B5EF4-FFF2-40B4-BE49-F238E27FC236}">
              <a16:creationId xmlns:a16="http://schemas.microsoft.com/office/drawing/2014/main" id="{00000000-0008-0000-0B00-00000F000000}"/>
            </a:ext>
          </a:extLst>
        </xdr:cNvPr>
        <xdr:cNvCxnSpPr/>
      </xdr:nvCxnSpPr>
      <xdr:spPr>
        <a:xfrm flipH="1" flipV="1">
          <a:off x="22655893" y="4404632"/>
          <a:ext cx="2573111" cy="1360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394608</xdr:colOff>
      <xdr:row>70</xdr:row>
      <xdr:rowOff>0</xdr:rowOff>
    </xdr:from>
    <xdr:to>
      <xdr:col>11</xdr:col>
      <xdr:colOff>394608</xdr:colOff>
      <xdr:row>73</xdr:row>
      <xdr:rowOff>190500</xdr:rowOff>
    </xdr:to>
    <xdr:cxnSp macro="">
      <xdr:nvCxnSpPr>
        <xdr:cNvPr id="16" name="Straight Arrow Connector 15">
          <a:extLst>
            <a:ext uri="{FF2B5EF4-FFF2-40B4-BE49-F238E27FC236}">
              <a16:creationId xmlns:a16="http://schemas.microsoft.com/office/drawing/2014/main" id="{00000000-0008-0000-0B00-000010000000}"/>
            </a:ext>
          </a:extLst>
        </xdr:cNvPr>
        <xdr:cNvCxnSpPr/>
      </xdr:nvCxnSpPr>
      <xdr:spPr>
        <a:xfrm>
          <a:off x="7100208" y="14211300"/>
          <a:ext cx="0" cy="8001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683729</xdr:colOff>
      <xdr:row>92</xdr:row>
      <xdr:rowOff>185058</xdr:rowOff>
    </xdr:from>
    <xdr:to>
      <xdr:col>13</xdr:col>
      <xdr:colOff>979714</xdr:colOff>
      <xdr:row>92</xdr:row>
      <xdr:rowOff>188016</xdr:rowOff>
    </xdr:to>
    <xdr:cxnSp macro="">
      <xdr:nvCxnSpPr>
        <xdr:cNvPr id="17" name="Straight Arrow Connector 16">
          <a:extLst>
            <a:ext uri="{FF2B5EF4-FFF2-40B4-BE49-F238E27FC236}">
              <a16:creationId xmlns:a16="http://schemas.microsoft.com/office/drawing/2014/main" id="{00000000-0008-0000-0B00-000011000000}"/>
            </a:ext>
          </a:extLst>
        </xdr:cNvPr>
        <xdr:cNvCxnSpPr/>
      </xdr:nvCxnSpPr>
      <xdr:spPr>
        <a:xfrm flipV="1">
          <a:off x="8408504" y="18815958"/>
          <a:ext cx="686510" cy="295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20</xdr:row>
      <xdr:rowOff>231321</xdr:rowOff>
    </xdr:from>
    <xdr:to>
      <xdr:col>35</xdr:col>
      <xdr:colOff>898071</xdr:colOff>
      <xdr:row>21</xdr:row>
      <xdr:rowOff>0</xdr:rowOff>
    </xdr:to>
    <xdr:cxnSp macro="">
      <xdr:nvCxnSpPr>
        <xdr:cNvPr id="18" name="Straight Arrow Connector 17">
          <a:extLst>
            <a:ext uri="{FF2B5EF4-FFF2-40B4-BE49-F238E27FC236}">
              <a16:creationId xmlns:a16="http://schemas.microsoft.com/office/drawing/2014/main" id="{00000000-0008-0000-0B00-000012000000}"/>
            </a:ext>
          </a:extLst>
        </xdr:cNvPr>
        <xdr:cNvCxnSpPr/>
      </xdr:nvCxnSpPr>
      <xdr:spPr>
        <a:xfrm flipH="1" flipV="1">
          <a:off x="27327225" y="4374696"/>
          <a:ext cx="898071" cy="1632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8282</xdr:colOff>
      <xdr:row>51</xdr:row>
      <xdr:rowOff>165652</xdr:rowOff>
    </xdr:from>
    <xdr:to>
      <xdr:col>32</xdr:col>
      <xdr:colOff>637761</xdr:colOff>
      <xdr:row>51</xdr:row>
      <xdr:rowOff>173935</xdr:rowOff>
    </xdr:to>
    <xdr:cxnSp macro="">
      <xdr:nvCxnSpPr>
        <xdr:cNvPr id="19" name="Straight Arrow Connector 18">
          <a:extLst>
            <a:ext uri="{FF2B5EF4-FFF2-40B4-BE49-F238E27FC236}">
              <a16:creationId xmlns:a16="http://schemas.microsoft.com/office/drawing/2014/main" id="{00000000-0008-0000-0B00-000013000000}"/>
            </a:ext>
          </a:extLst>
        </xdr:cNvPr>
        <xdr:cNvCxnSpPr/>
      </xdr:nvCxnSpPr>
      <xdr:spPr>
        <a:xfrm>
          <a:off x="24611357" y="10605052"/>
          <a:ext cx="629479" cy="828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27214</xdr:colOff>
      <xdr:row>111</xdr:row>
      <xdr:rowOff>81642</xdr:rowOff>
    </xdr:from>
    <xdr:to>
      <xdr:col>15</xdr:col>
      <xdr:colOff>1156607</xdr:colOff>
      <xdr:row>111</xdr:row>
      <xdr:rowOff>95250</xdr:rowOff>
    </xdr:to>
    <xdr:cxnSp macro="">
      <xdr:nvCxnSpPr>
        <xdr:cNvPr id="20" name="Straight Arrow Connector 19">
          <a:extLst>
            <a:ext uri="{FF2B5EF4-FFF2-40B4-BE49-F238E27FC236}">
              <a16:creationId xmlns:a16="http://schemas.microsoft.com/office/drawing/2014/main" id="{00000000-0008-0000-0B00-000014000000}"/>
            </a:ext>
          </a:extLst>
        </xdr:cNvPr>
        <xdr:cNvCxnSpPr/>
      </xdr:nvCxnSpPr>
      <xdr:spPr>
        <a:xfrm flipH="1" flipV="1">
          <a:off x="9123589" y="22560642"/>
          <a:ext cx="1815193" cy="1360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40354</xdr:colOff>
      <xdr:row>76</xdr:row>
      <xdr:rowOff>183931</xdr:rowOff>
    </xdr:from>
    <xdr:to>
      <xdr:col>42</xdr:col>
      <xdr:colOff>27214</xdr:colOff>
      <xdr:row>77</xdr:row>
      <xdr:rowOff>0</xdr:rowOff>
    </xdr:to>
    <xdr:cxnSp macro="">
      <xdr:nvCxnSpPr>
        <xdr:cNvPr id="21" name="Straight Arrow Connector 20">
          <a:extLst>
            <a:ext uri="{FF2B5EF4-FFF2-40B4-BE49-F238E27FC236}">
              <a16:creationId xmlns:a16="http://schemas.microsoft.com/office/drawing/2014/main" id="{00000000-0008-0000-0B00-000015000000}"/>
            </a:ext>
          </a:extLst>
        </xdr:cNvPr>
        <xdr:cNvCxnSpPr/>
      </xdr:nvCxnSpPr>
      <xdr:spPr>
        <a:xfrm>
          <a:off x="32215804" y="15595381"/>
          <a:ext cx="672660" cy="656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11616</xdr:colOff>
      <xdr:row>93</xdr:row>
      <xdr:rowOff>2958</xdr:rowOff>
    </xdr:from>
    <xdr:to>
      <xdr:col>18</xdr:col>
      <xdr:colOff>353786</xdr:colOff>
      <xdr:row>93</xdr:row>
      <xdr:rowOff>13607</xdr:rowOff>
    </xdr:to>
    <xdr:cxnSp macro="">
      <xdr:nvCxnSpPr>
        <xdr:cNvPr id="22" name="Straight Arrow Connector 21">
          <a:extLst>
            <a:ext uri="{FF2B5EF4-FFF2-40B4-BE49-F238E27FC236}">
              <a16:creationId xmlns:a16="http://schemas.microsoft.com/office/drawing/2014/main" id="{00000000-0008-0000-0B00-000016000000}"/>
            </a:ext>
          </a:extLst>
        </xdr:cNvPr>
        <xdr:cNvCxnSpPr/>
      </xdr:nvCxnSpPr>
      <xdr:spPr>
        <a:xfrm>
          <a:off x="10984416" y="18881508"/>
          <a:ext cx="2009045" cy="1064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461148</xdr:colOff>
      <xdr:row>172</xdr:row>
      <xdr:rowOff>104543</xdr:rowOff>
    </xdr:from>
    <xdr:to>
      <xdr:col>22</xdr:col>
      <xdr:colOff>824725</xdr:colOff>
      <xdr:row>211</xdr:row>
      <xdr:rowOff>58079</xdr:rowOff>
    </xdr:to>
    <xdr:graphicFrame macro="">
      <xdr:nvGraphicFramePr>
        <xdr:cNvPr id="23" name="Chart 22">
          <a:extLst>
            <a:ext uri="{FF2B5EF4-FFF2-40B4-BE49-F238E27FC236}">
              <a16:creationId xmlns:a16="http://schemas.microsoft.com/office/drawing/2014/main" id="{00000000-0008-0000-0B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397262</xdr:colOff>
      <xdr:row>172</xdr:row>
      <xdr:rowOff>162622</xdr:rowOff>
    </xdr:from>
    <xdr:to>
      <xdr:col>34</xdr:col>
      <xdr:colOff>418171</xdr:colOff>
      <xdr:row>208</xdr:row>
      <xdr:rowOff>34847</xdr:rowOff>
    </xdr:to>
    <xdr:graphicFrame macro="">
      <xdr:nvGraphicFramePr>
        <xdr:cNvPr id="24" name="Chart 23">
          <a:extLst>
            <a:ext uri="{FF2B5EF4-FFF2-40B4-BE49-F238E27FC236}">
              <a16:creationId xmlns:a16="http://schemas.microsoft.com/office/drawing/2014/main" id="{00000000-0008-0000-0B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676042</xdr:colOff>
      <xdr:row>172</xdr:row>
      <xdr:rowOff>167499</xdr:rowOff>
    </xdr:from>
    <xdr:to>
      <xdr:col>57</xdr:col>
      <xdr:colOff>92926</xdr:colOff>
      <xdr:row>207</xdr:row>
      <xdr:rowOff>162622</xdr:rowOff>
    </xdr:to>
    <xdr:graphicFrame macro="">
      <xdr:nvGraphicFramePr>
        <xdr:cNvPr id="25" name="Chart 24">
          <a:extLst>
            <a:ext uri="{FF2B5EF4-FFF2-40B4-BE49-F238E27FC236}">
              <a16:creationId xmlns:a16="http://schemas.microsoft.com/office/drawing/2014/main" id="{00000000-0008-0000-0B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381000</xdr:colOff>
      <xdr:row>70</xdr:row>
      <xdr:rowOff>1</xdr:rowOff>
    </xdr:from>
    <xdr:to>
      <xdr:col>23</xdr:col>
      <xdr:colOff>966107</xdr:colOff>
      <xdr:row>70</xdr:row>
      <xdr:rowOff>27215</xdr:rowOff>
    </xdr:to>
    <xdr:cxnSp macro="">
      <xdr:nvCxnSpPr>
        <xdr:cNvPr id="26" name="Straight Connector 25">
          <a:extLst>
            <a:ext uri="{FF2B5EF4-FFF2-40B4-BE49-F238E27FC236}">
              <a16:creationId xmlns:a16="http://schemas.microsoft.com/office/drawing/2014/main" id="{00000000-0008-0000-0B00-00001A000000}"/>
            </a:ext>
          </a:extLst>
        </xdr:cNvPr>
        <xdr:cNvCxnSpPr/>
      </xdr:nvCxnSpPr>
      <xdr:spPr>
        <a:xfrm>
          <a:off x="7086600" y="14211301"/>
          <a:ext cx="10310132" cy="27214"/>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451758</xdr:colOff>
      <xdr:row>70</xdr:row>
      <xdr:rowOff>2721</xdr:rowOff>
    </xdr:from>
    <xdr:to>
      <xdr:col>19</xdr:col>
      <xdr:colOff>451758</xdr:colOff>
      <xdr:row>73</xdr:row>
      <xdr:rowOff>193221</xdr:rowOff>
    </xdr:to>
    <xdr:cxnSp macro="">
      <xdr:nvCxnSpPr>
        <xdr:cNvPr id="27" name="Straight Arrow Connector 26">
          <a:extLst>
            <a:ext uri="{FF2B5EF4-FFF2-40B4-BE49-F238E27FC236}">
              <a16:creationId xmlns:a16="http://schemas.microsoft.com/office/drawing/2014/main" id="{00000000-0008-0000-0B00-00001B000000}"/>
            </a:ext>
          </a:extLst>
        </xdr:cNvPr>
        <xdr:cNvCxnSpPr/>
      </xdr:nvCxnSpPr>
      <xdr:spPr>
        <a:xfrm>
          <a:off x="13777233" y="14214021"/>
          <a:ext cx="0" cy="8001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2721</xdr:colOff>
      <xdr:row>69</xdr:row>
      <xdr:rowOff>193223</xdr:rowOff>
    </xdr:from>
    <xdr:to>
      <xdr:col>36</xdr:col>
      <xdr:colOff>966107</xdr:colOff>
      <xdr:row>70</xdr:row>
      <xdr:rowOff>13607</xdr:rowOff>
    </xdr:to>
    <xdr:cxnSp macro="">
      <xdr:nvCxnSpPr>
        <xdr:cNvPr id="28" name="Straight Connector 27">
          <a:extLst>
            <a:ext uri="{FF2B5EF4-FFF2-40B4-BE49-F238E27FC236}">
              <a16:creationId xmlns:a16="http://schemas.microsoft.com/office/drawing/2014/main" id="{00000000-0008-0000-0B00-00001C000000}"/>
            </a:ext>
          </a:extLst>
        </xdr:cNvPr>
        <xdr:cNvCxnSpPr/>
      </xdr:nvCxnSpPr>
      <xdr:spPr>
        <a:xfrm>
          <a:off x="24605796" y="14204498"/>
          <a:ext cx="4592411" cy="2040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971551</xdr:colOff>
      <xdr:row>70</xdr:row>
      <xdr:rowOff>5442</xdr:rowOff>
    </xdr:from>
    <xdr:to>
      <xdr:col>37</xdr:col>
      <xdr:colOff>0</xdr:colOff>
      <xdr:row>73</xdr:row>
      <xdr:rowOff>13607</xdr:rowOff>
    </xdr:to>
    <xdr:cxnSp macro="">
      <xdr:nvCxnSpPr>
        <xdr:cNvPr id="29" name="Straight Arrow Connector 28">
          <a:extLst>
            <a:ext uri="{FF2B5EF4-FFF2-40B4-BE49-F238E27FC236}">
              <a16:creationId xmlns:a16="http://schemas.microsoft.com/office/drawing/2014/main" id="{00000000-0008-0000-0B00-00001D000000}"/>
            </a:ext>
          </a:extLst>
        </xdr:cNvPr>
        <xdr:cNvCxnSpPr/>
      </xdr:nvCxnSpPr>
      <xdr:spPr>
        <a:xfrm>
          <a:off x="29203651" y="14216742"/>
          <a:ext cx="9524" cy="61776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394607</xdr:colOff>
      <xdr:row>88</xdr:row>
      <xdr:rowOff>190500</xdr:rowOff>
    </xdr:from>
    <xdr:to>
      <xdr:col>18</xdr:col>
      <xdr:colOff>367393</xdr:colOff>
      <xdr:row>89</xdr:row>
      <xdr:rowOff>0</xdr:rowOff>
    </xdr:to>
    <xdr:cxnSp macro="">
      <xdr:nvCxnSpPr>
        <xdr:cNvPr id="30" name="Straight Arrow Connector 29">
          <a:extLst>
            <a:ext uri="{FF2B5EF4-FFF2-40B4-BE49-F238E27FC236}">
              <a16:creationId xmlns:a16="http://schemas.microsoft.com/office/drawing/2014/main" id="{00000000-0008-0000-0B00-00001E000000}"/>
            </a:ext>
          </a:extLst>
        </xdr:cNvPr>
        <xdr:cNvCxnSpPr/>
      </xdr:nvCxnSpPr>
      <xdr:spPr>
        <a:xfrm>
          <a:off x="7100207" y="17992725"/>
          <a:ext cx="5906861" cy="190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394607</xdr:colOff>
      <xdr:row>83</xdr:row>
      <xdr:rowOff>27215</xdr:rowOff>
    </xdr:from>
    <xdr:to>
      <xdr:col>11</xdr:col>
      <xdr:colOff>394607</xdr:colOff>
      <xdr:row>88</xdr:row>
      <xdr:rowOff>190500</xdr:rowOff>
    </xdr:to>
    <xdr:cxnSp macro="">
      <xdr:nvCxnSpPr>
        <xdr:cNvPr id="31" name="Straight Connector 30">
          <a:extLst>
            <a:ext uri="{FF2B5EF4-FFF2-40B4-BE49-F238E27FC236}">
              <a16:creationId xmlns:a16="http://schemas.microsoft.com/office/drawing/2014/main" id="{00000000-0008-0000-0B00-00001F000000}"/>
            </a:ext>
          </a:extLst>
        </xdr:cNvPr>
        <xdr:cNvCxnSpPr/>
      </xdr:nvCxnSpPr>
      <xdr:spPr>
        <a:xfrm>
          <a:off x="7100207" y="16829315"/>
          <a:ext cx="0" cy="116341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57</xdr:row>
      <xdr:rowOff>190500</xdr:rowOff>
    </xdr:from>
    <xdr:to>
      <xdr:col>37</xdr:col>
      <xdr:colOff>0</xdr:colOff>
      <xdr:row>70</xdr:row>
      <xdr:rowOff>85725</xdr:rowOff>
    </xdr:to>
    <xdr:cxnSp macro="">
      <xdr:nvCxnSpPr>
        <xdr:cNvPr id="32" name="Straight Connector 31">
          <a:extLst>
            <a:ext uri="{FF2B5EF4-FFF2-40B4-BE49-F238E27FC236}">
              <a16:creationId xmlns:a16="http://schemas.microsoft.com/office/drawing/2014/main" id="{00000000-0008-0000-0B00-000020000000}"/>
            </a:ext>
          </a:extLst>
        </xdr:cNvPr>
        <xdr:cNvCxnSpPr/>
      </xdr:nvCxnSpPr>
      <xdr:spPr>
        <a:xfrm>
          <a:off x="29213175" y="11782425"/>
          <a:ext cx="0" cy="251460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134</xdr:row>
      <xdr:rowOff>28575</xdr:rowOff>
    </xdr:from>
    <xdr:to>
      <xdr:col>9</xdr:col>
      <xdr:colOff>571500</xdr:colOff>
      <xdr:row>134</xdr:row>
      <xdr:rowOff>28575</xdr:rowOff>
    </xdr:to>
    <xdr:cxnSp macro="">
      <xdr:nvCxnSpPr>
        <xdr:cNvPr id="33" name="Straight Arrow Connector 32">
          <a:extLst>
            <a:ext uri="{FF2B5EF4-FFF2-40B4-BE49-F238E27FC236}">
              <a16:creationId xmlns:a16="http://schemas.microsoft.com/office/drawing/2014/main" id="{00000000-0008-0000-0B00-000021000000}"/>
            </a:ext>
          </a:extLst>
        </xdr:cNvPr>
        <xdr:cNvCxnSpPr/>
      </xdr:nvCxnSpPr>
      <xdr:spPr>
        <a:xfrm flipH="1">
          <a:off x="5486400" y="27193875"/>
          <a:ext cx="5715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512662</xdr:colOff>
      <xdr:row>124</xdr:row>
      <xdr:rowOff>135970</xdr:rowOff>
    </xdr:from>
    <xdr:to>
      <xdr:col>38</xdr:col>
      <xdr:colOff>139778</xdr:colOff>
      <xdr:row>141</xdr:row>
      <xdr:rowOff>70432</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stretch>
          <a:fillRect/>
        </a:stretch>
      </xdr:blipFill>
      <xdr:spPr>
        <a:xfrm>
          <a:off x="29049562" y="24939070"/>
          <a:ext cx="5005566" cy="3278671"/>
        </a:xfrm>
        <a:prstGeom prst="rect">
          <a:avLst/>
        </a:prstGeom>
      </xdr:spPr>
    </xdr:pic>
    <xdr:clientData/>
  </xdr:twoCellAnchor>
  <xdr:twoCellAnchor>
    <xdr:from>
      <xdr:col>28</xdr:col>
      <xdr:colOff>203114</xdr:colOff>
      <xdr:row>177</xdr:row>
      <xdr:rowOff>52974</xdr:rowOff>
    </xdr:from>
    <xdr:to>
      <xdr:col>36</xdr:col>
      <xdr:colOff>107985</xdr:colOff>
      <xdr:row>200</xdr:row>
      <xdr:rowOff>181879</xdr:rowOff>
    </xdr:to>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739587</xdr:colOff>
      <xdr:row>164</xdr:row>
      <xdr:rowOff>34738</xdr:rowOff>
    </xdr:from>
    <xdr:to>
      <xdr:col>51</xdr:col>
      <xdr:colOff>145676</xdr:colOff>
      <xdr:row>194</xdr:row>
      <xdr:rowOff>145676</xdr:rowOff>
    </xdr:to>
    <xdr:graphicFrame macro="">
      <xdr:nvGraphicFramePr>
        <xdr:cNvPr id="5" name="Chart 2">
          <a:extLst>
            <a:ext uri="{FF2B5EF4-FFF2-40B4-BE49-F238E27FC236}">
              <a16:creationId xmlns:a16="http://schemas.microsoft.com/office/drawing/2014/main" id="{60F9A2C9-D5C8-490B-BC1C-5656BC50D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62</xdr:col>
      <xdr:colOff>8658</xdr:colOff>
      <xdr:row>116</xdr:row>
      <xdr:rowOff>141194</xdr:rowOff>
    </xdr:from>
    <xdr:to>
      <xdr:col>67</xdr:col>
      <xdr:colOff>378961</xdr:colOff>
      <xdr:row>135</xdr:row>
      <xdr:rowOff>29543</xdr:rowOff>
    </xdr:to>
    <xdr:graphicFrame macro="">
      <xdr:nvGraphicFramePr>
        <xdr:cNvPr id="2" name="Chart 1">
          <a:extLst>
            <a:ext uri="{FF2B5EF4-FFF2-40B4-BE49-F238E27FC236}">
              <a16:creationId xmlns:a16="http://schemas.microsoft.com/office/drawing/2014/main" id="{4EDEDB0D-6AA6-5304-AAB4-27D6B6F7D2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26</xdr:col>
      <xdr:colOff>409575</xdr:colOff>
      <xdr:row>4</xdr:row>
      <xdr:rowOff>147637</xdr:rowOff>
    </xdr:from>
    <xdr:to>
      <xdr:col>34</xdr:col>
      <xdr:colOff>104775</xdr:colOff>
      <xdr:row>19</xdr:row>
      <xdr:rowOff>33337</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41</xdr:col>
      <xdr:colOff>497340</xdr:colOff>
      <xdr:row>109</xdr:row>
      <xdr:rowOff>55108</xdr:rowOff>
    </xdr:from>
    <xdr:to>
      <xdr:col>52</xdr:col>
      <xdr:colOff>187779</xdr:colOff>
      <xdr:row>125</xdr:row>
      <xdr:rowOff>28575</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41</xdr:col>
      <xdr:colOff>504824</xdr:colOff>
      <xdr:row>89</xdr:row>
      <xdr:rowOff>80963</xdr:rowOff>
    </xdr:from>
    <xdr:to>
      <xdr:col>54</xdr:col>
      <xdr:colOff>180975</xdr:colOff>
      <xdr:row>107</xdr:row>
      <xdr:rowOff>171450</xdr:rowOff>
    </xdr:to>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17</xdr:col>
      <xdr:colOff>57150</xdr:colOff>
      <xdr:row>14</xdr:row>
      <xdr:rowOff>123825</xdr:rowOff>
    </xdr:from>
    <xdr:to>
      <xdr:col>21</xdr:col>
      <xdr:colOff>447321</xdr:colOff>
      <xdr:row>21</xdr:row>
      <xdr:rowOff>9373</xdr:rowOff>
    </xdr:to>
    <xdr:pic>
      <xdr:nvPicPr>
        <xdr:cNvPr id="2" name="Picture 1">
          <a:extLst>
            <a:ext uri="{FF2B5EF4-FFF2-40B4-BE49-F238E27FC236}">
              <a16:creationId xmlns:a16="http://schemas.microsoft.com/office/drawing/2014/main" id="{23196890-D4E6-4AF8-B7A7-809BC5130266}"/>
            </a:ext>
          </a:extLst>
        </xdr:cNvPr>
        <xdr:cNvPicPr>
          <a:picLocks noChangeAspect="1"/>
        </xdr:cNvPicPr>
      </xdr:nvPicPr>
      <xdr:blipFill>
        <a:blip xmlns:r="http://schemas.openxmlformats.org/officeDocument/2006/relationships" r:embed="rId1"/>
        <a:stretch>
          <a:fillRect/>
        </a:stretch>
      </xdr:blipFill>
      <xdr:spPr>
        <a:xfrm>
          <a:off x="10610850" y="2790825"/>
          <a:ext cx="2828571" cy="121904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iam Mannion" id="{42A6A77D-DE88-451E-B56A-7D18CBFEEB19}" userId="Liam Manni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H46" dT="2022-10-17T10:47:25.62" personId="{42A6A77D-DE88-451E-B56A-7D18CBFEEB19}" id="{94E6D289-AF40-43CF-99B2-278F1B059B69}">
    <text>before using the number in this box, make sure you "calculate now" by pressing F9 or searching "calculate now" and selecting the option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CA27" dT="2022-09-06T11:05:54.17" personId="{42A6A77D-DE88-451E-B56A-7D18CBFEEB19}" id="{8CB216FC-C6D5-439B-85BF-7CB4857E0317}">
    <text>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ports.com/sea-route/" TargetMode="External"/><Relationship Id="rId13" Type="http://schemas.openxmlformats.org/officeDocument/2006/relationships/hyperlink" Target="https://www.marineinsight.com/know-more/10-major-ports-in-germany/" TargetMode="External"/><Relationship Id="rId18" Type="http://schemas.openxmlformats.org/officeDocument/2006/relationships/hyperlink" Target="https://www.epa.gov/sites/default/files/2015-07/documents/emission-factors_2014.pdf" TargetMode="External"/><Relationship Id="rId3" Type="http://schemas.openxmlformats.org/officeDocument/2006/relationships/hyperlink" Target="http://ports.com/sea-route/" TargetMode="External"/><Relationship Id="rId21" Type="http://schemas.openxmlformats.org/officeDocument/2006/relationships/printerSettings" Target="../printerSettings/printerSettings3.bin"/><Relationship Id="rId7" Type="http://schemas.openxmlformats.org/officeDocument/2006/relationships/hyperlink" Target="http://ports.com/sea-route/" TargetMode="External"/><Relationship Id="rId12" Type="http://schemas.openxmlformats.org/officeDocument/2006/relationships/hyperlink" Target="http://ports.com/sea-route/" TargetMode="External"/><Relationship Id="rId17" Type="http://schemas.openxmlformats.org/officeDocument/2006/relationships/hyperlink" Target="https://www.pumpsandsystems.com/pump-efficiency-what-efficiency" TargetMode="External"/><Relationship Id="rId2" Type="http://schemas.openxmlformats.org/officeDocument/2006/relationships/hyperlink" Target="https://www.dublinairport.com/latest-news/2019/05/31/dublin-airport's-new-fuel-farm-opens" TargetMode="External"/><Relationship Id="rId16" Type="http://schemas.openxmlformats.org/officeDocument/2006/relationships/hyperlink" Target="https://www.marineinsight.com/know-more/10-major-ports-in-china/" TargetMode="External"/><Relationship Id="rId20" Type="http://schemas.openxmlformats.org/officeDocument/2006/relationships/hyperlink" Target="https://www.crownoil.co.uk/fuel-tankers-fleet/" TargetMode="External"/><Relationship Id="rId1" Type="http://schemas.openxmlformats.org/officeDocument/2006/relationships/hyperlink" Target="http://large.stanford.edu/courses/2012/ph240/greenbaum1/" TargetMode="External"/><Relationship Id="rId6" Type="http://schemas.openxmlformats.org/officeDocument/2006/relationships/hyperlink" Target="http://ports.com/sea-route/" TargetMode="External"/><Relationship Id="rId11" Type="http://schemas.openxmlformats.org/officeDocument/2006/relationships/hyperlink" Target="http://ports.com/sea-route/" TargetMode="External"/><Relationship Id="rId5" Type="http://schemas.openxmlformats.org/officeDocument/2006/relationships/hyperlink" Target="http://ports.com/sea-route/" TargetMode="External"/><Relationship Id="rId15" Type="http://schemas.openxmlformats.org/officeDocument/2006/relationships/hyperlink" Target="https://www.icontainers.com/us/2017/05/16/top-10-us-ports/" TargetMode="External"/><Relationship Id="rId10" Type="http://schemas.openxmlformats.org/officeDocument/2006/relationships/hyperlink" Target="http://data.europa.eu/89h/919df040-0252-4e4e-ad82-c054896e1641" TargetMode="External"/><Relationship Id="rId19" Type="http://schemas.openxmlformats.org/officeDocument/2006/relationships/hyperlink" Target="https://ev-database.org/cheatsheet/energy-consumption-electric-car" TargetMode="External"/><Relationship Id="rId4" Type="http://schemas.openxmlformats.org/officeDocument/2006/relationships/hyperlink" Target="http://ports.com/sea-route/" TargetMode="External"/><Relationship Id="rId9" Type="http://schemas.openxmlformats.org/officeDocument/2006/relationships/hyperlink" Target="https://www.omnicalculator.com/physics/friction-factor" TargetMode="External"/><Relationship Id="rId14" Type="http://schemas.openxmlformats.org/officeDocument/2006/relationships/hyperlink" Target="https://www.marineinsight.com/know-more/major-ports-in-indonesi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8" Type="http://schemas.openxmlformats.org/officeDocument/2006/relationships/hyperlink" Target="https://ift.onlinelibrary.wiley.com/doi/epdf/10.1111/1750-3841.14089" TargetMode="External"/><Relationship Id="rId13" Type="http://schemas.openxmlformats.org/officeDocument/2006/relationships/hyperlink" Target="https://ift.onlinelibrary.wiley.com/doi/epdf/10.1111/1750-3841.14089" TargetMode="External"/><Relationship Id="rId18" Type="http://schemas.microsoft.com/office/2017/10/relationships/threadedComment" Target="../threadedComments/threadedComment2.xml"/><Relationship Id="rId3" Type="http://schemas.openxmlformats.org/officeDocument/2006/relationships/hyperlink" Target="https://webbook.nist.gov/cgi/cbook.cgi?ID=C110543&amp;Units=SI&amp;Mask=4" TargetMode="External"/><Relationship Id="rId7" Type="http://schemas.openxmlformats.org/officeDocument/2006/relationships/hyperlink" Target="https://www.researchgate.net/publication/279712144_Liquid_specific_heat_capacity_estimation_for_fatty_acids_triacylglycerols_and_vegetable_oils_based_on_their_fatty_acid_composition" TargetMode="External"/><Relationship Id="rId12" Type="http://schemas.openxmlformats.org/officeDocument/2006/relationships/hyperlink" Target="https://www.researchgate.net/publication/279712144_Liquid_specific_heat_capacity_estimation_for_fatty_acids_triacylglycerols_and_vegetable_oils_based_on_their_fatty_acid_composition" TargetMode="External"/><Relationship Id="rId17" Type="http://schemas.openxmlformats.org/officeDocument/2006/relationships/comments" Target="../comments3.xml"/><Relationship Id="rId2" Type="http://schemas.openxmlformats.org/officeDocument/2006/relationships/hyperlink" Target="https://webbook.nist.gov/cgi/cbook.cgi?ID=C124185&amp;Units=SI&amp;Mask=4" TargetMode="External"/><Relationship Id="rId16" Type="http://schemas.openxmlformats.org/officeDocument/2006/relationships/vmlDrawing" Target="../drawings/vmlDrawing3.vml"/><Relationship Id="rId1" Type="http://schemas.openxmlformats.org/officeDocument/2006/relationships/hyperlink" Target="https://webbook.nist.gov/cgi/cbook.cgi?ID=C629629&amp;Units=SI&amp;Mask=4" TargetMode="External"/><Relationship Id="rId6" Type="http://schemas.openxmlformats.org/officeDocument/2006/relationships/hyperlink" Target="https://www.researchgate.net/publication/279712144_Liquid_specific_heat_capacity_estimation_for_fatty_acids_triacylglycerols_and_vegetable_oils_based_on_their_fatty_acid_composition" TargetMode="External"/><Relationship Id="rId11" Type="http://schemas.openxmlformats.org/officeDocument/2006/relationships/hyperlink" Target="https://ift.onlinelibrary.wiley.com/doi/epdf/10.1111/1750-3841.14089" TargetMode="External"/><Relationship Id="rId5" Type="http://schemas.openxmlformats.org/officeDocument/2006/relationships/hyperlink" Target="https://webbook.nist.gov/cgi/cbook.cgi?ID=C57103&amp;Units=SI&amp;Mask=2" TargetMode="External"/><Relationship Id="rId15" Type="http://schemas.openxmlformats.org/officeDocument/2006/relationships/drawing" Target="../drawings/drawing5.xml"/><Relationship Id="rId10" Type="http://schemas.openxmlformats.org/officeDocument/2006/relationships/hyperlink" Target="https://ift.onlinelibrary.wiley.com/doi/epdf/10.1111/1750-3841.14089" TargetMode="External"/><Relationship Id="rId4" Type="http://schemas.openxmlformats.org/officeDocument/2006/relationships/hyperlink" Target="https://webbook.nist.gov/cgi/cbook.cgi?ID=C142825&amp;Units=SI&amp;Mask=4" TargetMode="External"/><Relationship Id="rId9" Type="http://schemas.openxmlformats.org/officeDocument/2006/relationships/hyperlink" Target="https://ift.onlinelibrary.wiley.com/doi/epdf/10.1111/1750-3841.14089" TargetMode="External"/><Relationship Id="rId1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4"/>
  <sheetViews>
    <sheetView showGridLines="0" workbookViewId="0">
      <pane xSplit="1" ySplit="2" topLeftCell="B3" activePane="bottomRight" state="frozen"/>
      <selection pane="topRight" activeCell="B1" sqref="B1"/>
      <selection pane="bottomLeft" activeCell="A3" sqref="A3"/>
      <selection pane="bottomRight" activeCell="D22" sqref="D22"/>
    </sheetView>
  </sheetViews>
  <sheetFormatPr defaultRowHeight="15" x14ac:dyDescent="0.25"/>
  <cols>
    <col min="1" max="1" width="8.7109375" style="16"/>
    <col min="8" max="8" width="10.140625" customWidth="1"/>
  </cols>
  <sheetData>
    <row r="1" spans="1:5" x14ac:dyDescent="0.25">
      <c r="A1" s="110" t="s">
        <v>244</v>
      </c>
    </row>
    <row r="2" spans="1:5" x14ac:dyDescent="0.25">
      <c r="B2" s="2" t="s">
        <v>178</v>
      </c>
    </row>
    <row r="4" spans="1:5" x14ac:dyDescent="0.25">
      <c r="B4" t="s">
        <v>50</v>
      </c>
    </row>
    <row r="5" spans="1:5" x14ac:dyDescent="0.25">
      <c r="B5" t="s">
        <v>51</v>
      </c>
    </row>
    <row r="7" spans="1:5" x14ac:dyDescent="0.25">
      <c r="B7" s="2" t="s">
        <v>23</v>
      </c>
    </row>
    <row r="8" spans="1:5" x14ac:dyDescent="0.25">
      <c r="B8" s="864" t="s">
        <v>24</v>
      </c>
      <c r="C8" s="864"/>
      <c r="D8" s="864"/>
      <c r="E8" s="864"/>
    </row>
    <row r="9" spans="1:5" x14ac:dyDescent="0.25">
      <c r="B9" s="863" t="s">
        <v>25</v>
      </c>
      <c r="C9" s="863"/>
      <c r="D9" s="863"/>
      <c r="E9" s="863"/>
    </row>
    <row r="11" spans="1:5" x14ac:dyDescent="0.25">
      <c r="B11" s="871" t="s">
        <v>36</v>
      </c>
      <c r="C11" s="871"/>
      <c r="D11" s="871"/>
      <c r="E11" s="871"/>
    </row>
    <row r="12" spans="1:5" x14ac:dyDescent="0.25">
      <c r="B12" s="870" t="s">
        <v>35</v>
      </c>
      <c r="C12" s="870"/>
      <c r="D12" s="870"/>
      <c r="E12" s="870"/>
    </row>
    <row r="13" spans="1:5" x14ac:dyDescent="0.25">
      <c r="B13" s="5"/>
    </row>
    <row r="14" spans="1:5" x14ac:dyDescent="0.25">
      <c r="B14" s="869" t="s">
        <v>52</v>
      </c>
      <c r="C14" s="869"/>
      <c r="D14" s="869"/>
      <c r="E14" s="869"/>
    </row>
    <row r="15" spans="1:5" x14ac:dyDescent="0.25">
      <c r="B15" s="868" t="s">
        <v>243</v>
      </c>
      <c r="C15" s="868"/>
      <c r="D15" s="868"/>
      <c r="E15" s="868"/>
    </row>
    <row r="17" spans="1:17" x14ac:dyDescent="0.25">
      <c r="A17" s="111"/>
      <c r="B17" s="2" t="s">
        <v>38</v>
      </c>
    </row>
    <row r="18" spans="1:17" ht="15.75" thickBot="1" x14ac:dyDescent="0.3">
      <c r="A18" s="111"/>
      <c r="B18" s="2"/>
    </row>
    <row r="19" spans="1:17" ht="15.75" thickBot="1" x14ac:dyDescent="0.3">
      <c r="B19" s="865" t="s">
        <v>37</v>
      </c>
      <c r="C19" s="866"/>
      <c r="D19" s="866"/>
      <c r="E19" s="866"/>
      <c r="F19" s="866"/>
      <c r="G19" s="866"/>
      <c r="H19" s="866"/>
      <c r="I19" s="866"/>
      <c r="J19" s="866"/>
      <c r="K19" s="866"/>
      <c r="L19" s="866"/>
      <c r="M19" s="866"/>
      <c r="N19" s="866"/>
      <c r="O19" s="866"/>
      <c r="P19" s="866"/>
      <c r="Q19" s="867"/>
    </row>
    <row r="20" spans="1:17" x14ac:dyDescent="0.25">
      <c r="A20" s="111"/>
      <c r="B20" t="s">
        <v>158</v>
      </c>
    </row>
    <row r="21" spans="1:17" x14ac:dyDescent="0.25">
      <c r="A21" s="111"/>
    </row>
    <row r="22" spans="1:17" x14ac:dyDescent="0.25">
      <c r="A22" s="111"/>
      <c r="B22" t="s">
        <v>39</v>
      </c>
    </row>
    <row r="23" spans="1:17" x14ac:dyDescent="0.25">
      <c r="A23" s="111"/>
    </row>
    <row r="24" spans="1:17" x14ac:dyDescent="0.25">
      <c r="A24" s="111"/>
    </row>
    <row r="25" spans="1:17" x14ac:dyDescent="0.25">
      <c r="A25" s="111"/>
    </row>
    <row r="26" spans="1:17" x14ac:dyDescent="0.25">
      <c r="A26" s="111"/>
      <c r="B26" s="11" t="s">
        <v>41</v>
      </c>
      <c r="C26" s="11"/>
      <c r="D26" s="11" t="s">
        <v>40</v>
      </c>
      <c r="E26" s="11"/>
      <c r="F26" s="11" t="s">
        <v>42</v>
      </c>
      <c r="G26" s="11"/>
      <c r="H26" s="11" t="s">
        <v>43</v>
      </c>
      <c r="I26" s="11"/>
      <c r="J26" s="11" t="s">
        <v>176</v>
      </c>
      <c r="K26" s="11"/>
      <c r="L26" s="11" t="s">
        <v>44</v>
      </c>
      <c r="M26" s="11"/>
      <c r="N26" s="11"/>
      <c r="O26" s="11"/>
      <c r="P26" s="11"/>
      <c r="Q26" s="11"/>
    </row>
    <row r="27" spans="1:17" x14ac:dyDescent="0.25">
      <c r="A27" s="111"/>
      <c r="B27" t="s">
        <v>45</v>
      </c>
      <c r="D27" t="s">
        <v>46</v>
      </c>
      <c r="F27" t="s">
        <v>47</v>
      </c>
      <c r="H27" s="10">
        <v>44887</v>
      </c>
      <c r="J27" s="4" t="s">
        <v>48</v>
      </c>
      <c r="L27" t="s">
        <v>49</v>
      </c>
    </row>
    <row r="28" spans="1:17" x14ac:dyDescent="0.25">
      <c r="A28" s="111"/>
      <c r="H28" s="10"/>
      <c r="J28" s="5"/>
    </row>
    <row r="29" spans="1:17" x14ac:dyDescent="0.25">
      <c r="A29" s="111"/>
      <c r="H29" s="10"/>
      <c r="J29" s="5"/>
    </row>
    <row r="30" spans="1:17" x14ac:dyDescent="0.25">
      <c r="A30" s="111"/>
      <c r="H30" s="10"/>
      <c r="J30" s="5"/>
    </row>
    <row r="31" spans="1:17" x14ac:dyDescent="0.25">
      <c r="A31" s="111"/>
      <c r="H31" s="10"/>
      <c r="J31" s="5"/>
    </row>
    <row r="32" spans="1:17" x14ac:dyDescent="0.25">
      <c r="A32" s="111"/>
      <c r="H32" s="10"/>
      <c r="J32" s="5"/>
    </row>
    <row r="33" spans="1:10" x14ac:dyDescent="0.25">
      <c r="A33" s="111"/>
      <c r="H33" s="10"/>
      <c r="J33" s="5"/>
    </row>
    <row r="34" spans="1:10" x14ac:dyDescent="0.25">
      <c r="A34" s="111"/>
      <c r="H34" s="10"/>
      <c r="J34" s="5"/>
    </row>
  </sheetData>
  <mergeCells count="7">
    <mergeCell ref="B9:E9"/>
    <mergeCell ref="B8:E8"/>
    <mergeCell ref="B19:Q19"/>
    <mergeCell ref="B15:E15"/>
    <mergeCell ref="B14:E14"/>
    <mergeCell ref="B12:E12"/>
    <mergeCell ref="B11:E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7F7C-0D75-4C2C-ACBA-2304851BA55C}">
  <sheetPr codeName="Sheet2"/>
  <dimension ref="A1:T93"/>
  <sheetViews>
    <sheetView showGridLines="0" zoomScaleNormal="100" workbookViewId="0">
      <pane xSplit="1" ySplit="2" topLeftCell="B51" activePane="bottomRight" state="frozen"/>
      <selection pane="topRight" activeCell="B1" sqref="B1"/>
      <selection pane="bottomLeft" activeCell="A3" sqref="A3"/>
      <selection pane="bottomRight" activeCell="B11" sqref="B11:T11"/>
    </sheetView>
  </sheetViews>
  <sheetFormatPr defaultRowHeight="15" x14ac:dyDescent="0.25"/>
  <sheetData>
    <row r="1" spans="1:20" x14ac:dyDescent="0.25">
      <c r="A1" s="16" t="s">
        <v>244</v>
      </c>
    </row>
    <row r="2" spans="1:20" x14ac:dyDescent="0.25">
      <c r="B2" s="2" t="s">
        <v>179</v>
      </c>
    </row>
    <row r="3" spans="1:20" x14ac:dyDescent="0.25">
      <c r="B3" s="2"/>
    </row>
    <row r="4" spans="1:20" x14ac:dyDescent="0.25">
      <c r="B4" s="738" t="s">
        <v>1325</v>
      </c>
    </row>
    <row r="5" spans="1:20" x14ac:dyDescent="0.25">
      <c r="B5" s="738"/>
    </row>
    <row r="6" spans="1:20" x14ac:dyDescent="0.25">
      <c r="A6" s="12"/>
      <c r="B6" s="872" t="s">
        <v>0</v>
      </c>
      <c r="C6" s="872"/>
      <c r="D6" s="872"/>
      <c r="E6" s="872"/>
      <c r="F6" s="872"/>
      <c r="G6" s="872"/>
      <c r="H6" s="872"/>
      <c r="I6" s="872"/>
      <c r="J6" s="872"/>
      <c r="K6" s="872"/>
      <c r="L6" s="872"/>
      <c r="M6" s="872"/>
      <c r="N6" s="872"/>
      <c r="O6" s="872"/>
      <c r="P6" s="872"/>
      <c r="Q6" s="872"/>
      <c r="R6" s="872"/>
      <c r="S6" s="872"/>
      <c r="T6" s="872"/>
    </row>
    <row r="7" spans="1:20" x14ac:dyDescent="0.25">
      <c r="A7" s="12"/>
      <c r="B7" s="873" t="s">
        <v>22</v>
      </c>
      <c r="C7" s="873"/>
      <c r="D7" s="873"/>
      <c r="E7" s="873"/>
      <c r="F7" s="873"/>
      <c r="G7" s="873"/>
      <c r="H7" s="873"/>
      <c r="I7" s="873"/>
      <c r="J7" s="873"/>
      <c r="K7" s="873"/>
      <c r="L7" s="873"/>
      <c r="M7" s="873"/>
      <c r="N7" s="873"/>
      <c r="O7" s="873"/>
      <c r="P7" s="873"/>
      <c r="Q7" s="873"/>
      <c r="R7" s="873"/>
      <c r="S7" s="873"/>
      <c r="T7" s="873"/>
    </row>
    <row r="8" spans="1:20" ht="29.1" customHeight="1" x14ac:dyDescent="0.25">
      <c r="A8" s="12"/>
      <c r="B8" s="873" t="s">
        <v>21</v>
      </c>
      <c r="C8" s="873"/>
      <c r="D8" s="873"/>
      <c r="E8" s="873"/>
      <c r="F8" s="873"/>
      <c r="G8" s="873"/>
      <c r="H8" s="873"/>
      <c r="I8" s="873"/>
      <c r="J8" s="873"/>
      <c r="K8" s="873"/>
      <c r="L8" s="873"/>
      <c r="M8" s="873"/>
      <c r="N8" s="873"/>
      <c r="O8" s="873"/>
      <c r="P8" s="873"/>
      <c r="Q8" s="873"/>
      <c r="R8" s="873"/>
      <c r="S8" s="873"/>
      <c r="T8" s="873"/>
    </row>
    <row r="9" spans="1:20" x14ac:dyDescent="0.25">
      <c r="B9" s="873"/>
      <c r="C9" s="873"/>
      <c r="D9" s="873"/>
      <c r="E9" s="873"/>
      <c r="F9" s="873"/>
      <c r="G9" s="873"/>
      <c r="H9" s="873"/>
      <c r="I9" s="873"/>
      <c r="J9" s="873"/>
      <c r="K9" s="873"/>
      <c r="L9" s="873"/>
      <c r="M9" s="873"/>
      <c r="N9" s="873"/>
      <c r="O9" s="873"/>
      <c r="P9" s="873"/>
      <c r="Q9" s="873"/>
      <c r="R9" s="873"/>
      <c r="S9" s="873"/>
      <c r="T9" s="873"/>
    </row>
    <row r="10" spans="1:20" x14ac:dyDescent="0.25">
      <c r="A10" s="12"/>
      <c r="B10" s="875" t="s">
        <v>196</v>
      </c>
      <c r="C10" s="875"/>
      <c r="D10" s="875"/>
      <c r="E10" s="875"/>
      <c r="F10" s="875"/>
      <c r="G10" s="875"/>
      <c r="H10" s="875"/>
      <c r="I10" s="875"/>
      <c r="J10" s="875"/>
      <c r="K10" s="875"/>
      <c r="L10" s="875"/>
      <c r="M10" s="875"/>
      <c r="N10" s="875"/>
      <c r="O10" s="875"/>
      <c r="P10" s="875"/>
      <c r="Q10" s="875"/>
      <c r="R10" s="875"/>
      <c r="S10" s="875"/>
      <c r="T10" s="875"/>
    </row>
    <row r="11" spans="1:20" ht="54.6" customHeight="1" x14ac:dyDescent="0.25">
      <c r="A11" s="12"/>
      <c r="B11" s="872" t="s">
        <v>194</v>
      </c>
      <c r="C11" s="872"/>
      <c r="D11" s="872"/>
      <c r="E11" s="872"/>
      <c r="F11" s="872"/>
      <c r="G11" s="872"/>
      <c r="H11" s="872"/>
      <c r="I11" s="872"/>
      <c r="J11" s="872"/>
      <c r="K11" s="872"/>
      <c r="L11" s="872"/>
      <c r="M11" s="872"/>
      <c r="N11" s="872"/>
      <c r="O11" s="872"/>
      <c r="P11" s="872"/>
      <c r="Q11" s="872"/>
      <c r="R11" s="872"/>
      <c r="S11" s="872"/>
      <c r="T11" s="872"/>
    </row>
    <row r="12" spans="1:20" ht="30.6" customHeight="1" x14ac:dyDescent="0.25">
      <c r="A12" s="12"/>
      <c r="B12" s="872" t="s">
        <v>195</v>
      </c>
      <c r="C12" s="872"/>
      <c r="D12" s="872"/>
      <c r="E12" s="872"/>
      <c r="F12" s="872"/>
      <c r="G12" s="872"/>
      <c r="H12" s="872"/>
      <c r="I12" s="872"/>
      <c r="J12" s="872"/>
      <c r="K12" s="872"/>
      <c r="L12" s="872"/>
      <c r="M12" s="872"/>
      <c r="N12" s="872"/>
      <c r="O12" s="872"/>
      <c r="P12" s="872"/>
      <c r="Q12" s="872"/>
      <c r="R12" s="872"/>
      <c r="S12" s="872"/>
      <c r="T12" s="872"/>
    </row>
    <row r="13" spans="1:20" ht="14.1" customHeight="1" x14ac:dyDescent="0.25">
      <c r="B13" s="106"/>
      <c r="C13" s="106"/>
      <c r="D13" s="106"/>
      <c r="E13" s="106"/>
      <c r="F13" s="106"/>
      <c r="G13" s="106"/>
      <c r="H13" s="106"/>
      <c r="I13" s="106"/>
      <c r="J13" s="106"/>
      <c r="K13" s="106"/>
      <c r="L13" s="106"/>
      <c r="M13" s="106"/>
      <c r="N13" s="106"/>
      <c r="O13" s="106"/>
      <c r="P13" s="106"/>
      <c r="Q13" s="106"/>
      <c r="R13" s="106"/>
      <c r="S13" s="106"/>
      <c r="T13" s="106"/>
    </row>
    <row r="14" spans="1:20" ht="14.45" customHeight="1" x14ac:dyDescent="0.25">
      <c r="A14" s="12"/>
      <c r="B14" s="875" t="s">
        <v>198</v>
      </c>
      <c r="C14" s="875"/>
      <c r="D14" s="875"/>
      <c r="E14" s="875"/>
      <c r="F14" s="875"/>
      <c r="G14" s="875"/>
      <c r="H14" s="875"/>
      <c r="I14" s="875"/>
      <c r="J14" s="875"/>
      <c r="K14" s="875"/>
      <c r="L14" s="875"/>
      <c r="M14" s="875"/>
      <c r="N14" s="875"/>
      <c r="O14" s="875"/>
      <c r="P14" s="875"/>
      <c r="Q14" s="875"/>
      <c r="R14" s="875"/>
      <c r="S14" s="875"/>
      <c r="T14" s="875"/>
    </row>
    <row r="15" spans="1:20" ht="42.6" customHeight="1" x14ac:dyDescent="0.25">
      <c r="A15" s="12"/>
      <c r="B15" s="872" t="s">
        <v>197</v>
      </c>
      <c r="C15" s="872"/>
      <c r="D15" s="872"/>
      <c r="E15" s="872"/>
      <c r="F15" s="872"/>
      <c r="G15" s="872"/>
      <c r="H15" s="872"/>
      <c r="I15" s="872"/>
      <c r="J15" s="872"/>
      <c r="K15" s="872"/>
      <c r="L15" s="872"/>
      <c r="M15" s="872"/>
      <c r="N15" s="872"/>
      <c r="O15" s="872"/>
      <c r="P15" s="872"/>
      <c r="Q15" s="872"/>
      <c r="R15" s="872"/>
      <c r="S15" s="872"/>
      <c r="T15" s="872"/>
    </row>
    <row r="16" spans="1:20" ht="27.95" customHeight="1" x14ac:dyDescent="0.25">
      <c r="A16" s="12"/>
      <c r="B16" s="873" t="s">
        <v>201</v>
      </c>
      <c r="C16" s="874"/>
      <c r="D16" s="874"/>
      <c r="E16" s="874"/>
      <c r="F16" s="874"/>
      <c r="G16" s="874"/>
      <c r="H16" s="874"/>
      <c r="I16" s="874"/>
      <c r="J16" s="874"/>
      <c r="K16" s="874"/>
      <c r="L16" s="874"/>
      <c r="M16" s="874"/>
      <c r="N16" s="874"/>
      <c r="O16" s="874"/>
      <c r="P16" s="874"/>
      <c r="Q16" s="874"/>
      <c r="R16" s="874"/>
      <c r="S16" s="874"/>
      <c r="T16" s="874"/>
    </row>
    <row r="17" spans="1:11" x14ac:dyDescent="0.25">
      <c r="B17" s="1"/>
      <c r="C17" s="1"/>
      <c r="D17" s="1"/>
      <c r="E17" s="1"/>
      <c r="F17" s="1"/>
      <c r="G17" s="1"/>
      <c r="H17" s="1"/>
      <c r="I17" s="1"/>
      <c r="J17" s="1"/>
      <c r="K17" s="1"/>
    </row>
    <row r="18" spans="1:11" x14ac:dyDescent="0.25">
      <c r="B18" s="2" t="s">
        <v>192</v>
      </c>
    </row>
    <row r="19" spans="1:11" x14ac:dyDescent="0.25">
      <c r="B19" s="2"/>
    </row>
    <row r="20" spans="1:11" x14ac:dyDescent="0.25">
      <c r="B20" s="6" t="s">
        <v>53</v>
      </c>
    </row>
    <row r="21" spans="1:11" x14ac:dyDescent="0.25">
      <c r="B21" s="6"/>
    </row>
    <row r="23" spans="1:11" x14ac:dyDescent="0.25">
      <c r="A23" s="9"/>
    </row>
    <row r="24" spans="1:11" x14ac:dyDescent="0.25">
      <c r="A24" s="9"/>
    </row>
    <row r="25" spans="1:11" x14ac:dyDescent="0.25">
      <c r="A25" s="9"/>
    </row>
    <row r="26" spans="1:11" x14ac:dyDescent="0.25">
      <c r="A26" s="9"/>
    </row>
    <row r="27" spans="1:11" x14ac:dyDescent="0.25">
      <c r="A27" s="9"/>
    </row>
    <row r="28" spans="1:11" x14ac:dyDescent="0.25">
      <c r="A28" s="9"/>
    </row>
    <row r="29" spans="1:11" x14ac:dyDescent="0.25">
      <c r="A29" s="9"/>
    </row>
    <row r="30" spans="1:11" x14ac:dyDescent="0.25">
      <c r="A30" s="9"/>
    </row>
    <row r="31" spans="1:11" x14ac:dyDescent="0.25">
      <c r="A31" s="9"/>
    </row>
    <row r="32" spans="1:11" x14ac:dyDescent="0.25">
      <c r="A32" s="9"/>
    </row>
    <row r="33" spans="1:1" x14ac:dyDescent="0.25">
      <c r="A33" s="9"/>
    </row>
    <row r="34" spans="1:1" x14ac:dyDescent="0.25">
      <c r="A34" s="9"/>
    </row>
    <row r="35" spans="1:1" x14ac:dyDescent="0.25">
      <c r="A35" s="9"/>
    </row>
    <row r="36" spans="1:1" x14ac:dyDescent="0.25">
      <c r="A36" s="9"/>
    </row>
    <row r="37" spans="1:1" x14ac:dyDescent="0.25">
      <c r="A37" s="9"/>
    </row>
    <row r="38" spans="1:1" x14ac:dyDescent="0.25">
      <c r="A38" s="9"/>
    </row>
    <row r="39" spans="1:1" x14ac:dyDescent="0.25">
      <c r="A39" s="9"/>
    </row>
    <row r="40" spans="1:1" x14ac:dyDescent="0.25">
      <c r="A40" s="9"/>
    </row>
    <row r="41" spans="1:1" x14ac:dyDescent="0.25">
      <c r="A41" s="9"/>
    </row>
    <row r="42" spans="1:1" x14ac:dyDescent="0.25">
      <c r="A42" s="9"/>
    </row>
    <row r="43" spans="1:1" x14ac:dyDescent="0.25">
      <c r="A43" s="9"/>
    </row>
    <row r="44" spans="1:1" x14ac:dyDescent="0.25">
      <c r="A44" s="9"/>
    </row>
    <row r="45" spans="1:1" x14ac:dyDescent="0.25">
      <c r="A45" s="9"/>
    </row>
    <row r="46" spans="1:1" x14ac:dyDescent="0.25">
      <c r="A46" s="9"/>
    </row>
    <row r="47" spans="1:1" x14ac:dyDescent="0.25">
      <c r="A47" s="9"/>
    </row>
    <row r="48" spans="1:1" x14ac:dyDescent="0.25">
      <c r="A48" s="9"/>
    </row>
    <row r="49" spans="1:13" x14ac:dyDescent="0.25">
      <c r="A49" s="9"/>
    </row>
    <row r="50" spans="1:13" x14ac:dyDescent="0.25">
      <c r="A50" s="9"/>
    </row>
    <row r="51" spans="1:13" x14ac:dyDescent="0.25">
      <c r="A51" s="9"/>
    </row>
    <row r="52" spans="1:13" x14ac:dyDescent="0.25">
      <c r="A52" s="9"/>
    </row>
    <row r="56" spans="1:13" x14ac:dyDescent="0.25">
      <c r="A56" s="12"/>
      <c r="B56" s="2" t="s">
        <v>26</v>
      </c>
      <c r="C56" s="2"/>
      <c r="D56" s="2"/>
    </row>
    <row r="57" spans="1:13" x14ac:dyDescent="0.25">
      <c r="A57" s="12"/>
    </row>
    <row r="58" spans="1:13" x14ac:dyDescent="0.25">
      <c r="A58" s="12"/>
      <c r="C58" s="3" t="s">
        <v>2</v>
      </c>
      <c r="D58" t="s">
        <v>3</v>
      </c>
    </row>
    <row r="59" spans="1:13" x14ac:dyDescent="0.25">
      <c r="A59" s="12"/>
      <c r="C59" s="3" t="s">
        <v>4</v>
      </c>
      <c r="D59" t="s">
        <v>5</v>
      </c>
    </row>
    <row r="60" spans="1:13" x14ac:dyDescent="0.25">
      <c r="A60" s="12"/>
      <c r="C60" s="3" t="s">
        <v>6</v>
      </c>
      <c r="D60" t="s">
        <v>7</v>
      </c>
    </row>
    <row r="61" spans="1:13" x14ac:dyDescent="0.25">
      <c r="A61" s="12"/>
      <c r="K61" s="5"/>
      <c r="L61" s="5"/>
      <c r="M61" s="5"/>
    </row>
    <row r="62" spans="1:13" x14ac:dyDescent="0.25">
      <c r="A62" s="12"/>
      <c r="B62" t="s">
        <v>1</v>
      </c>
    </row>
    <row r="63" spans="1:13" x14ac:dyDescent="0.25">
      <c r="A63" s="12"/>
    </row>
    <row r="64" spans="1:13" x14ac:dyDescent="0.25">
      <c r="A64" s="12"/>
      <c r="B64" t="s">
        <v>29</v>
      </c>
      <c r="K64" s="5"/>
      <c r="L64" s="5"/>
      <c r="M64" s="5"/>
    </row>
    <row r="65" spans="1:13" x14ac:dyDescent="0.25">
      <c r="A65" s="12"/>
      <c r="B65" t="s">
        <v>28</v>
      </c>
      <c r="K65" s="5"/>
      <c r="L65" s="5"/>
      <c r="M65" s="5"/>
    </row>
    <row r="66" spans="1:13" x14ac:dyDescent="0.25">
      <c r="A66" s="12"/>
      <c r="B66" t="s">
        <v>27</v>
      </c>
      <c r="K66" s="5"/>
      <c r="L66" s="5"/>
      <c r="M66" s="5"/>
    </row>
    <row r="67" spans="1:13" x14ac:dyDescent="0.25">
      <c r="A67" s="12"/>
      <c r="B67" t="s">
        <v>30</v>
      </c>
      <c r="K67" s="5"/>
      <c r="L67" s="5"/>
      <c r="M67" s="5"/>
    </row>
    <row r="68" spans="1:13" x14ac:dyDescent="0.25">
      <c r="A68" s="12"/>
      <c r="K68" s="5"/>
      <c r="L68" s="5"/>
      <c r="M68" s="5"/>
    </row>
    <row r="69" spans="1:13" x14ac:dyDescent="0.25">
      <c r="A69" s="12"/>
      <c r="B69" t="s">
        <v>31</v>
      </c>
      <c r="K69" s="5"/>
      <c r="L69" s="5"/>
      <c r="M69" s="5"/>
    </row>
    <row r="70" spans="1:13" x14ac:dyDescent="0.25">
      <c r="A70" s="12"/>
      <c r="K70" s="5"/>
      <c r="L70" s="5"/>
      <c r="M70" s="5"/>
    </row>
    <row r="71" spans="1:13" x14ac:dyDescent="0.25">
      <c r="A71" s="12"/>
      <c r="B71" t="s">
        <v>32</v>
      </c>
      <c r="K71" s="5"/>
      <c r="L71" s="5"/>
      <c r="M71" s="5"/>
    </row>
    <row r="72" spans="1:13" x14ac:dyDescent="0.25">
      <c r="A72" s="12"/>
      <c r="B72" t="s">
        <v>33</v>
      </c>
      <c r="K72" s="5"/>
      <c r="L72" s="5"/>
      <c r="M72" s="5"/>
    </row>
    <row r="73" spans="1:13" x14ac:dyDescent="0.25">
      <c r="A73" s="12"/>
      <c r="B73" t="s">
        <v>34</v>
      </c>
      <c r="K73" s="5"/>
      <c r="L73" s="5"/>
      <c r="M73" s="5"/>
    </row>
    <row r="74" spans="1:13" x14ac:dyDescent="0.25">
      <c r="K74" s="5"/>
      <c r="L74" s="5"/>
      <c r="M74" s="5"/>
    </row>
    <row r="75" spans="1:13" x14ac:dyDescent="0.25">
      <c r="A75" s="12"/>
      <c r="B75" s="2" t="s">
        <v>8</v>
      </c>
      <c r="K75" s="5"/>
      <c r="L75" s="5"/>
      <c r="M75" s="5"/>
    </row>
    <row r="76" spans="1:13" x14ac:dyDescent="0.25">
      <c r="A76" s="12"/>
      <c r="B76" t="s">
        <v>9</v>
      </c>
      <c r="C76" t="s">
        <v>10</v>
      </c>
      <c r="K76" s="5"/>
      <c r="L76" s="5"/>
      <c r="M76" s="5"/>
    </row>
    <row r="77" spans="1:13" x14ac:dyDescent="0.25">
      <c r="A77" s="12"/>
      <c r="B77" t="s">
        <v>11</v>
      </c>
      <c r="C77" t="s">
        <v>12</v>
      </c>
    </row>
    <row r="78" spans="1:13" x14ac:dyDescent="0.25">
      <c r="A78" s="12"/>
      <c r="B78" t="s">
        <v>13</v>
      </c>
      <c r="C78" t="s">
        <v>14</v>
      </c>
    </row>
    <row r="79" spans="1:13" x14ac:dyDescent="0.25">
      <c r="A79" s="12"/>
      <c r="B79" t="s">
        <v>15</v>
      </c>
      <c r="C79" t="s">
        <v>16</v>
      </c>
    </row>
    <row r="80" spans="1:13" x14ac:dyDescent="0.25">
      <c r="A80" s="12"/>
      <c r="B80" t="s">
        <v>17</v>
      </c>
      <c r="C80" t="s">
        <v>18</v>
      </c>
    </row>
    <row r="81" spans="1:5" x14ac:dyDescent="0.25">
      <c r="A81" s="12"/>
      <c r="B81" t="s">
        <v>19</v>
      </c>
      <c r="C81" t="s">
        <v>20</v>
      </c>
    </row>
    <row r="82" spans="1:5" x14ac:dyDescent="0.25">
      <c r="A82" s="12"/>
      <c r="B82" t="s">
        <v>202</v>
      </c>
      <c r="C82" t="s">
        <v>1058</v>
      </c>
    </row>
    <row r="84" spans="1:5" x14ac:dyDescent="0.25">
      <c r="A84" s="12"/>
      <c r="B84" s="2" t="s">
        <v>23</v>
      </c>
    </row>
    <row r="85" spans="1:5" x14ac:dyDescent="0.25">
      <c r="A85" s="12"/>
      <c r="B85" s="864" t="s">
        <v>24</v>
      </c>
      <c r="C85" s="864"/>
      <c r="D85" s="864"/>
      <c r="E85" s="864"/>
    </row>
    <row r="86" spans="1:5" x14ac:dyDescent="0.25">
      <c r="A86" s="12"/>
      <c r="B86" s="863" t="s">
        <v>25</v>
      </c>
      <c r="C86" s="863"/>
      <c r="D86" s="863"/>
      <c r="E86" s="863"/>
    </row>
    <row r="87" spans="1:5" x14ac:dyDescent="0.25">
      <c r="A87" s="12"/>
    </row>
    <row r="88" spans="1:5" x14ac:dyDescent="0.25">
      <c r="A88" s="12"/>
      <c r="B88" s="871" t="s">
        <v>36</v>
      </c>
      <c r="C88" s="871"/>
      <c r="D88" s="871"/>
      <c r="E88" s="871"/>
    </row>
    <row r="89" spans="1:5" x14ac:dyDescent="0.25">
      <c r="A89" s="12"/>
      <c r="B89" s="870" t="s">
        <v>35</v>
      </c>
      <c r="C89" s="870"/>
      <c r="D89" s="870"/>
      <c r="E89" s="870"/>
    </row>
    <row r="90" spans="1:5" x14ac:dyDescent="0.25">
      <c r="A90" s="12"/>
      <c r="B90" s="5"/>
    </row>
    <row r="91" spans="1:5" x14ac:dyDescent="0.25">
      <c r="A91" s="12"/>
      <c r="B91" s="869" t="s">
        <v>52</v>
      </c>
      <c r="C91" s="869"/>
      <c r="D91" s="869"/>
      <c r="E91" s="869"/>
    </row>
    <row r="92" spans="1:5" x14ac:dyDescent="0.25">
      <c r="A92" s="12"/>
      <c r="B92" s="868" t="s">
        <v>243</v>
      </c>
      <c r="C92" s="868"/>
      <c r="D92" s="868"/>
      <c r="E92" s="868"/>
    </row>
    <row r="93" spans="1:5" x14ac:dyDescent="0.25">
      <c r="B93" s="5"/>
    </row>
  </sheetData>
  <mergeCells count="16">
    <mergeCell ref="B92:E92"/>
    <mergeCell ref="B85:E85"/>
    <mergeCell ref="B86:E86"/>
    <mergeCell ref="B88:E88"/>
    <mergeCell ref="B89:E89"/>
    <mergeCell ref="B91:E91"/>
    <mergeCell ref="B6:T6"/>
    <mergeCell ref="B12:T12"/>
    <mergeCell ref="B15:T15"/>
    <mergeCell ref="B16:T16"/>
    <mergeCell ref="B14:T14"/>
    <mergeCell ref="B11:T11"/>
    <mergeCell ref="B7:T7"/>
    <mergeCell ref="B9:T9"/>
    <mergeCell ref="B10:T10"/>
    <mergeCell ref="B8:T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C4D9F-CAAA-4198-9FB6-9E68DC90CAB7}">
  <sheetPr codeName="Sheet3"/>
  <dimension ref="A1:BW191"/>
  <sheetViews>
    <sheetView showGridLines="0" zoomScale="80" zoomScaleNormal="80" workbookViewId="0">
      <pane xSplit="1" ySplit="8" topLeftCell="B112" activePane="bottomRight" state="frozen"/>
      <selection pane="topRight" activeCell="B1" sqref="B1"/>
      <selection pane="bottomLeft" activeCell="A4" sqref="A4"/>
      <selection pane="bottomRight" activeCell="C105" sqref="C105"/>
    </sheetView>
  </sheetViews>
  <sheetFormatPr defaultColWidth="8.7109375" defaultRowHeight="15" outlineLevelRow="1" x14ac:dyDescent="0.25"/>
  <cols>
    <col min="1" max="1" width="8.5703125" style="24" customWidth="1"/>
    <col min="2" max="2" width="41.7109375" style="18" customWidth="1"/>
    <col min="3" max="17" width="15.140625" style="18" customWidth="1"/>
    <col min="18" max="18" width="14.42578125" style="18" customWidth="1"/>
    <col min="19" max="19" width="14" style="652" customWidth="1"/>
    <col min="20" max="20" width="15" style="18" customWidth="1"/>
    <col min="21" max="21" width="14.5703125" style="18" customWidth="1"/>
    <col min="22" max="22" width="14.140625" style="18" customWidth="1"/>
    <col min="23" max="23" width="14.28515625" style="18" customWidth="1"/>
    <col min="24" max="24" width="15.42578125" style="18" customWidth="1"/>
    <col min="25" max="25" width="23" style="18" customWidth="1"/>
    <col min="26" max="26" width="17.42578125" style="18" customWidth="1"/>
    <col min="27" max="27" width="15.85546875" style="18" customWidth="1"/>
    <col min="28" max="28" width="17.7109375" style="18" customWidth="1"/>
    <col min="29" max="29" width="15.85546875" style="18" customWidth="1"/>
    <col min="30" max="30" width="13.140625" style="18" customWidth="1"/>
    <col min="31" max="31" width="15.85546875" style="18" customWidth="1"/>
    <col min="32" max="32" width="19" style="18" customWidth="1"/>
    <col min="33" max="33" width="14" style="18" customWidth="1"/>
    <col min="34" max="34" width="15.28515625" style="18" customWidth="1"/>
    <col min="35" max="35" width="14.140625" style="18" customWidth="1"/>
    <col min="36" max="36" width="14.7109375" style="18" customWidth="1"/>
    <col min="37" max="37" width="16" style="18" customWidth="1"/>
    <col min="38" max="38" width="13" style="18" customWidth="1"/>
    <col min="39" max="39" width="18" style="18" customWidth="1"/>
    <col min="40" max="16384" width="8.7109375" style="18"/>
  </cols>
  <sheetData>
    <row r="1" spans="1:75" x14ac:dyDescent="0.25">
      <c r="A1" s="395" t="s">
        <v>244</v>
      </c>
    </row>
    <row r="2" spans="1:75" x14ac:dyDescent="0.25">
      <c r="A2" s="395"/>
      <c r="B2" s="912" t="s">
        <v>1062</v>
      </c>
      <c r="C2" s="913"/>
      <c r="D2" s="913"/>
      <c r="E2" s="913"/>
      <c r="F2" s="913"/>
      <c r="G2" s="913"/>
      <c r="H2" s="913"/>
      <c r="I2" s="913"/>
      <c r="J2" s="913"/>
      <c r="K2" s="913"/>
      <c r="L2" s="913"/>
      <c r="M2" s="913"/>
    </row>
    <row r="3" spans="1:75" x14ac:dyDescent="0.25">
      <c r="A3" s="44"/>
    </row>
    <row r="4" spans="1:75" s="30" customFormat="1" ht="14.45" hidden="1" customHeight="1" outlineLevel="1" x14ac:dyDescent="0.25">
      <c r="A4" s="115"/>
      <c r="B4" s="107" t="s">
        <v>191</v>
      </c>
      <c r="S4" s="652"/>
    </row>
    <row r="5" spans="1:75" s="30" customFormat="1" ht="14.45" hidden="1" customHeight="1" outlineLevel="1" x14ac:dyDescent="0.25">
      <c r="A5" s="115"/>
      <c r="B5" s="872" t="s">
        <v>1059</v>
      </c>
      <c r="C5" s="872"/>
      <c r="D5" s="872"/>
      <c r="E5" s="872"/>
      <c r="F5" s="872"/>
      <c r="G5" s="872"/>
      <c r="H5" s="872"/>
      <c r="I5" s="872"/>
      <c r="J5" s="872"/>
      <c r="S5" s="652"/>
    </row>
    <row r="6" spans="1:75" s="30" customFormat="1" ht="14.45" hidden="1" customHeight="1" outlineLevel="1" x14ac:dyDescent="0.25">
      <c r="A6" s="115"/>
      <c r="B6" s="872" t="s">
        <v>1060</v>
      </c>
      <c r="C6" s="872"/>
      <c r="D6" s="872"/>
      <c r="E6" s="872"/>
      <c r="F6" s="872"/>
      <c r="G6" s="872"/>
      <c r="H6" s="872"/>
      <c r="I6" s="872"/>
      <c r="J6" s="872"/>
      <c r="S6" s="652"/>
    </row>
    <row r="7" spans="1:75" s="30" customFormat="1" ht="14.45" hidden="1" customHeight="1" outlineLevel="1" x14ac:dyDescent="0.25">
      <c r="A7" s="115"/>
      <c r="B7" s="872" t="s">
        <v>1061</v>
      </c>
      <c r="C7" s="872"/>
      <c r="D7" s="872"/>
      <c r="E7" s="872"/>
      <c r="F7" s="872"/>
      <c r="G7" s="872"/>
      <c r="H7" s="872"/>
      <c r="I7" s="872"/>
      <c r="J7" s="872"/>
      <c r="S7" s="652"/>
    </row>
    <row r="8" spans="1:75" collapsed="1" x14ac:dyDescent="0.25">
      <c r="N8" s="30"/>
      <c r="S8" s="657" t="s">
        <v>1151</v>
      </c>
    </row>
    <row r="9" spans="1:75" x14ac:dyDescent="0.25">
      <c r="B9" s="656"/>
      <c r="C9" s="17"/>
      <c r="D9" s="47"/>
      <c r="E9" s="47"/>
      <c r="F9" s="17"/>
      <c r="G9" s="17"/>
      <c r="H9" s="17"/>
      <c r="I9" s="17"/>
      <c r="J9" s="17"/>
      <c r="K9" s="17"/>
      <c r="L9" s="17"/>
      <c r="M9" s="17"/>
      <c r="N9" s="34"/>
      <c r="O9" s="17"/>
      <c r="P9" s="17"/>
      <c r="Q9" s="17"/>
      <c r="R9" s="17"/>
      <c r="T9" s="17"/>
      <c r="U9" s="17"/>
    </row>
    <row r="10" spans="1:75" x14ac:dyDescent="0.25">
      <c r="A10" s="116"/>
      <c r="B10" s="47"/>
      <c r="C10" s="47"/>
      <c r="D10" s="47"/>
      <c r="E10" s="47"/>
      <c r="F10" s="47"/>
      <c r="G10" s="47"/>
      <c r="H10" s="47"/>
      <c r="I10" s="47"/>
      <c r="J10" s="47"/>
      <c r="K10" s="19"/>
      <c r="L10" s="19"/>
      <c r="M10" s="19"/>
      <c r="N10" s="19"/>
      <c r="O10" s="45"/>
      <c r="P10" s="45"/>
      <c r="Q10" s="48"/>
      <c r="R10" s="48"/>
      <c r="T10" s="47"/>
      <c r="U10" s="47"/>
    </row>
    <row r="11" spans="1:75" x14ac:dyDescent="0.25">
      <c r="A11" s="116"/>
      <c r="B11" s="17"/>
      <c r="C11" s="17"/>
      <c r="D11" s="47"/>
      <c r="E11" s="47"/>
      <c r="F11" s="921" t="s">
        <v>169</v>
      </c>
      <c r="G11" s="921"/>
      <c r="H11" s="921"/>
      <c r="I11" s="921"/>
      <c r="J11" s="921"/>
      <c r="K11" s="921"/>
      <c r="L11" s="921"/>
      <c r="M11" s="17"/>
      <c r="N11" s="34"/>
      <c r="O11" s="17"/>
      <c r="P11" s="17"/>
      <c r="Q11" s="17"/>
      <c r="R11" s="17"/>
      <c r="T11" s="17"/>
      <c r="U11" s="17"/>
      <c r="X11" s="17"/>
      <c r="Y11" s="17"/>
      <c r="Z11" s="17"/>
      <c r="AA11" s="17"/>
    </row>
    <row r="12" spans="1:75" ht="30" x14ac:dyDescent="0.25">
      <c r="A12" s="116"/>
      <c r="B12" s="83" t="s">
        <v>108</v>
      </c>
      <c r="C12" s="903" t="s">
        <v>110</v>
      </c>
      <c r="D12" s="904"/>
      <c r="E12" s="76" t="s">
        <v>113</v>
      </c>
      <c r="F12" s="903" t="s">
        <v>115</v>
      </c>
      <c r="G12" s="904"/>
      <c r="H12" s="903" t="s">
        <v>116</v>
      </c>
      <c r="I12" s="904"/>
      <c r="J12" s="903" t="s">
        <v>120</v>
      </c>
      <c r="K12" s="904"/>
      <c r="L12" s="76" t="s">
        <v>142</v>
      </c>
      <c r="M12" s="903" t="s">
        <v>72</v>
      </c>
      <c r="N12" s="904"/>
      <c r="O12" s="76" t="s">
        <v>74</v>
      </c>
      <c r="P12" s="903" t="s">
        <v>166</v>
      </c>
      <c r="Q12" s="920"/>
      <c r="R12" s="45"/>
      <c r="S12" s="658"/>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row>
    <row r="13" spans="1:75" x14ac:dyDescent="0.25">
      <c r="A13" s="116"/>
      <c r="B13" s="54" t="s">
        <v>109</v>
      </c>
      <c r="C13" s="58" t="s">
        <v>70</v>
      </c>
      <c r="D13" s="56" t="s">
        <v>111</v>
      </c>
      <c r="E13" s="57" t="s">
        <v>59</v>
      </c>
      <c r="F13" s="58" t="s">
        <v>118</v>
      </c>
      <c r="G13" s="56" t="s">
        <v>114</v>
      </c>
      <c r="H13" s="58" t="s">
        <v>117</v>
      </c>
      <c r="I13" s="56" t="s">
        <v>119</v>
      </c>
      <c r="J13" s="58" t="s">
        <v>121</v>
      </c>
      <c r="K13" s="56" t="s">
        <v>122</v>
      </c>
      <c r="L13" s="57" t="s">
        <v>143</v>
      </c>
      <c r="M13" s="58" t="s">
        <v>125</v>
      </c>
      <c r="N13" s="56" t="s">
        <v>126</v>
      </c>
      <c r="O13" s="58" t="s">
        <v>75</v>
      </c>
      <c r="P13" s="58" t="s">
        <v>167</v>
      </c>
      <c r="Q13" s="59" t="s">
        <v>143</v>
      </c>
      <c r="R13" s="45"/>
      <c r="S13" s="658"/>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row>
    <row r="14" spans="1:75" x14ac:dyDescent="0.25">
      <c r="A14" s="116"/>
      <c r="B14" s="876" t="s">
        <v>112</v>
      </c>
      <c r="C14" s="63"/>
      <c r="D14" s="64">
        <v>0.84499999999999997</v>
      </c>
      <c r="E14" s="63">
        <v>43.308</v>
      </c>
      <c r="F14" s="63">
        <v>74100</v>
      </c>
      <c r="G14" s="67">
        <f>F14*E14/1000000</f>
        <v>3.2091227999999998</v>
      </c>
      <c r="H14" s="63">
        <v>3.9</v>
      </c>
      <c r="I14" s="68">
        <f>H14*E14/1000000</f>
        <v>1.6890119999999999E-4</v>
      </c>
      <c r="J14" s="63">
        <v>3.9</v>
      </c>
      <c r="K14" s="68">
        <f>J14*E14/1000000</f>
        <v>1.6890119999999999E-4</v>
      </c>
      <c r="L14" s="69">
        <f>(Diesel_CO2EmissionFactor*GWP_CO2)+(Diesel_CH4EmissionFactor*GWP_CH4)+(Diesel_N2OEmissionFactor*GWP_N2O)</f>
        <v>3.2586108515999999</v>
      </c>
      <c r="M14" s="63"/>
      <c r="N14" s="70"/>
      <c r="O14" s="63"/>
      <c r="P14" s="63"/>
      <c r="Q14" s="64"/>
      <c r="R14" s="48"/>
      <c r="S14" s="652" t="s">
        <v>1187</v>
      </c>
      <c r="T14" s="17"/>
      <c r="U14" s="17"/>
      <c r="X14" s="17"/>
      <c r="Y14" s="17"/>
      <c r="Z14" s="17"/>
      <c r="AA14" s="17"/>
    </row>
    <row r="15" spans="1:75" x14ac:dyDescent="0.25">
      <c r="A15" s="116"/>
      <c r="B15" s="877"/>
      <c r="C15" s="66"/>
      <c r="D15" s="79" t="s">
        <v>67</v>
      </c>
      <c r="E15" s="66" t="s">
        <v>67</v>
      </c>
      <c r="F15" s="66" t="s">
        <v>1181</v>
      </c>
      <c r="G15" s="79"/>
      <c r="H15" s="650" t="s">
        <v>1181</v>
      </c>
      <c r="I15" s="79"/>
      <c r="J15" s="650" t="s">
        <v>1181</v>
      </c>
      <c r="K15" s="64"/>
      <c r="L15" s="71"/>
      <c r="M15" s="66"/>
      <c r="N15" s="79"/>
      <c r="O15" s="66"/>
      <c r="P15" s="66"/>
      <c r="Q15" s="79"/>
      <c r="R15" s="48"/>
      <c r="S15" s="652" t="s">
        <v>1188</v>
      </c>
      <c r="T15" s="17"/>
      <c r="U15" s="17"/>
      <c r="X15" s="17"/>
      <c r="Y15" s="17"/>
      <c r="Z15" s="17"/>
      <c r="AA15" s="17"/>
    </row>
    <row r="16" spans="1:75" x14ac:dyDescent="0.25">
      <c r="A16" s="116"/>
      <c r="B16" s="907" t="s">
        <v>124</v>
      </c>
      <c r="C16" s="22"/>
      <c r="D16" s="48">
        <v>0.94159999999999999</v>
      </c>
      <c r="E16" s="22">
        <v>41.235999999999997</v>
      </c>
      <c r="F16" s="22">
        <v>77400</v>
      </c>
      <c r="G16" s="51">
        <f>F16*E16/1000000</f>
        <v>3.1916663999999999</v>
      </c>
      <c r="H16" s="22">
        <v>7</v>
      </c>
      <c r="I16" s="26">
        <f>H16*E16/1000000</f>
        <v>2.8865199999999997E-4</v>
      </c>
      <c r="J16" s="22">
        <v>2</v>
      </c>
      <c r="K16" s="27">
        <f>J16*E16/1000000</f>
        <v>8.2471999999999992E-5</v>
      </c>
      <c r="L16" s="52">
        <f>(MarineFuel_CO2EmissionFactor*GWP_CO2)+(MarineFuel_CH4EmissionFactor*GWP_CH4)+(MarineFuel_N2OEmissionFactor*GWP_N2O)</f>
        <v>3.2216037359999996</v>
      </c>
      <c r="M16" s="22"/>
      <c r="N16" s="47"/>
      <c r="O16" s="22"/>
      <c r="P16" s="22"/>
      <c r="Q16" s="48"/>
      <c r="R16" s="48"/>
      <c r="T16" s="17"/>
      <c r="U16" s="17"/>
      <c r="X16" s="17"/>
      <c r="Y16" s="17"/>
      <c r="Z16" s="17"/>
      <c r="AA16" s="17"/>
    </row>
    <row r="17" spans="1:27" x14ac:dyDescent="0.25">
      <c r="A17" s="116"/>
      <c r="B17" s="908"/>
      <c r="C17" s="49"/>
      <c r="D17" s="20" t="s">
        <v>67</v>
      </c>
      <c r="E17" s="49" t="s">
        <v>67</v>
      </c>
      <c r="F17" s="49" t="s">
        <v>1181</v>
      </c>
      <c r="G17" s="20"/>
      <c r="H17" s="49" t="s">
        <v>1181</v>
      </c>
      <c r="I17" s="20"/>
      <c r="J17" s="49" t="s">
        <v>1181</v>
      </c>
      <c r="K17" s="20"/>
      <c r="L17" s="53"/>
      <c r="M17" s="49"/>
      <c r="N17" s="20"/>
      <c r="O17" s="49"/>
      <c r="P17" s="49"/>
      <c r="Q17" s="20"/>
      <c r="R17" s="48"/>
      <c r="T17" s="17"/>
      <c r="U17" s="17"/>
      <c r="X17" s="17"/>
      <c r="Y17" s="17"/>
      <c r="Z17" s="17"/>
      <c r="AA17" s="17"/>
    </row>
    <row r="18" spans="1:27" x14ac:dyDescent="0.25">
      <c r="A18" s="116"/>
      <c r="B18" s="876" t="s">
        <v>123</v>
      </c>
      <c r="C18" s="63">
        <v>873</v>
      </c>
      <c r="D18" s="64">
        <v>0.873</v>
      </c>
      <c r="E18" s="63"/>
      <c r="F18" s="63"/>
      <c r="G18" s="64"/>
      <c r="H18" s="63"/>
      <c r="I18" s="64"/>
      <c r="J18" s="63"/>
      <c r="K18" s="64"/>
      <c r="L18" s="69"/>
      <c r="M18" s="63">
        <v>41</v>
      </c>
      <c r="N18" s="72">
        <f>M18/1000000</f>
        <v>4.1E-5</v>
      </c>
      <c r="O18" s="802">
        <f>UCO_KinVis*UCO_Density</f>
        <v>3.5793000000000001E-5</v>
      </c>
      <c r="P18" s="63"/>
      <c r="Q18" s="64"/>
      <c r="R18" s="48"/>
      <c r="S18" s="652" t="s">
        <v>1200</v>
      </c>
      <c r="T18" s="17"/>
      <c r="U18" s="17"/>
      <c r="X18" s="17"/>
      <c r="Y18" s="17"/>
      <c r="Z18" s="17"/>
      <c r="AA18" s="17"/>
    </row>
    <row r="19" spans="1:27" x14ac:dyDescent="0.25">
      <c r="A19" s="116"/>
      <c r="B19" s="877"/>
      <c r="C19" s="66" t="s">
        <v>1154</v>
      </c>
      <c r="D19" s="79"/>
      <c r="E19" s="66"/>
      <c r="F19" s="66"/>
      <c r="G19" s="79"/>
      <c r="H19" s="66"/>
      <c r="I19" s="79"/>
      <c r="J19" s="66"/>
      <c r="K19" s="64"/>
      <c r="L19" s="71"/>
      <c r="M19" s="66" t="s">
        <v>96</v>
      </c>
      <c r="N19" s="79"/>
      <c r="O19" s="66"/>
      <c r="P19" s="66"/>
      <c r="Q19" s="79"/>
      <c r="R19" s="48"/>
      <c r="T19" s="17"/>
      <c r="U19" s="17"/>
      <c r="X19" s="17"/>
      <c r="Y19" s="17"/>
      <c r="Z19" s="17"/>
      <c r="AA19" s="17"/>
    </row>
    <row r="20" spans="1:27" x14ac:dyDescent="0.25">
      <c r="A20" s="116"/>
      <c r="B20" s="907" t="s">
        <v>1505</v>
      </c>
      <c r="C20" s="22">
        <v>790.2</v>
      </c>
      <c r="D20" s="48">
        <f>C20/1000</f>
        <v>0.79020000000000001</v>
      </c>
      <c r="E20" s="795">
        <v>43.307000000000002</v>
      </c>
      <c r="F20" s="22">
        <v>71500</v>
      </c>
      <c r="G20" s="51">
        <f>F20*E20/1000000</f>
        <v>3.0964505</v>
      </c>
      <c r="H20" s="22">
        <v>0.5</v>
      </c>
      <c r="I20" s="26">
        <f>H20*E20/1000000</f>
        <v>2.1653500000000002E-5</v>
      </c>
      <c r="J20" s="22">
        <v>2</v>
      </c>
      <c r="K20" s="27">
        <f>J20*E20/1000000</f>
        <v>8.6614000000000008E-5</v>
      </c>
      <c r="L20" s="52">
        <f>(Jet_CO2EmissionFactor*GWP_CO2)+(Jet_CH4EmissionFactor*GWP_CH4)+(Jet_N2OEmissionFactor*GWP_N2O)</f>
        <v>3.1200095080000003</v>
      </c>
      <c r="M20" s="799">
        <v>0.9</v>
      </c>
      <c r="N20" s="87">
        <f>M20/1000000</f>
        <v>9.0000000000000007E-7</v>
      </c>
      <c r="O20" s="22">
        <f>Jet_KinVis/Jet_Density</f>
        <v>1.1389521640091117E-6</v>
      </c>
      <c r="P20" s="22">
        <v>89</v>
      </c>
      <c r="Q20" s="48">
        <f>P20*Jet_EnergyDensity/1000</f>
        <v>3.8543230000000004</v>
      </c>
      <c r="R20" s="48"/>
      <c r="T20" s="17"/>
      <c r="U20" s="17"/>
      <c r="X20" s="17"/>
      <c r="Y20" s="17"/>
      <c r="Z20" s="17"/>
      <c r="AA20" s="17"/>
    </row>
    <row r="21" spans="1:27" x14ac:dyDescent="0.25">
      <c r="A21" s="116"/>
      <c r="B21" s="908"/>
      <c r="C21" s="794" t="s">
        <v>1482</v>
      </c>
      <c r="D21" s="20"/>
      <c r="E21" s="796" t="s">
        <v>1482</v>
      </c>
      <c r="F21" s="49" t="s">
        <v>1199</v>
      </c>
      <c r="G21" s="20"/>
      <c r="H21" s="49" t="s">
        <v>1199</v>
      </c>
      <c r="I21" s="20"/>
      <c r="J21" s="49" t="s">
        <v>1199</v>
      </c>
      <c r="K21" s="20"/>
      <c r="L21" s="49"/>
      <c r="M21" s="86" t="s">
        <v>163</v>
      </c>
      <c r="N21" s="20"/>
      <c r="O21" s="49"/>
      <c r="P21" s="49" t="s">
        <v>164</v>
      </c>
      <c r="Q21" s="20"/>
      <c r="R21" s="48"/>
      <c r="T21" s="17"/>
      <c r="U21" s="17"/>
      <c r="X21" s="17"/>
      <c r="Y21" s="17"/>
      <c r="Z21" s="17"/>
      <c r="AA21" s="17"/>
    </row>
    <row r="22" spans="1:27" x14ac:dyDescent="0.25">
      <c r="A22" s="116"/>
      <c r="B22" s="905" t="s">
        <v>1504</v>
      </c>
      <c r="C22" s="90">
        <v>771.1</v>
      </c>
      <c r="D22" s="91">
        <f>C22/1000</f>
        <v>0.77110000000000001</v>
      </c>
      <c r="E22" s="90">
        <v>43.744</v>
      </c>
      <c r="F22" s="90"/>
      <c r="G22" s="92"/>
      <c r="H22" s="90"/>
      <c r="I22" s="93"/>
      <c r="J22" s="90"/>
      <c r="K22" s="94"/>
      <c r="L22" s="95"/>
      <c r="M22" s="90">
        <v>0.9</v>
      </c>
      <c r="N22" s="800">
        <v>9.0000000000000007E-7</v>
      </c>
      <c r="O22" s="801">
        <f>neatHEFASAF_KinVis/neatHEFASAF_Density</f>
        <v>1.1671637919854755E-6</v>
      </c>
      <c r="P22" s="90"/>
      <c r="Q22" s="91"/>
      <c r="R22" s="48"/>
      <c r="T22" s="47"/>
      <c r="U22" s="47"/>
      <c r="X22" s="47"/>
      <c r="Y22" s="47"/>
      <c r="Z22" s="47"/>
      <c r="AA22" s="47"/>
    </row>
    <row r="23" spans="1:27" x14ac:dyDescent="0.25">
      <c r="A23" s="116"/>
      <c r="B23" s="906"/>
      <c r="C23" s="97" t="s">
        <v>1482</v>
      </c>
      <c r="D23" s="98"/>
      <c r="E23" s="99" t="s">
        <v>1482</v>
      </c>
      <c r="F23" s="97"/>
      <c r="G23" s="98"/>
      <c r="H23" s="97"/>
      <c r="I23" s="98"/>
      <c r="J23" s="97"/>
      <c r="K23" s="98"/>
      <c r="L23" s="97"/>
      <c r="M23" s="803" t="s">
        <v>1507</v>
      </c>
      <c r="N23" s="804" t="s">
        <v>1507</v>
      </c>
      <c r="O23" s="803" t="s">
        <v>1507</v>
      </c>
      <c r="P23" s="97"/>
      <c r="Q23" s="98"/>
      <c r="R23" s="21"/>
      <c r="T23" s="17"/>
      <c r="U23" s="17"/>
    </row>
    <row r="24" spans="1:27" x14ac:dyDescent="0.25">
      <c r="A24" s="116"/>
      <c r="B24" s="905" t="s">
        <v>1506</v>
      </c>
      <c r="C24" s="90"/>
      <c r="D24" s="96">
        <f>(Jet_Density*60%)+(neatHEFASAF_Density*40%)</f>
        <v>0.78256000000000003</v>
      </c>
      <c r="E24" s="90">
        <f>(Jet_EnergyDensity*60%)+(neatHEFASAF_EnergyDensity*40%)</f>
        <v>43.481800000000007</v>
      </c>
      <c r="F24" s="90"/>
      <c r="G24" s="797"/>
      <c r="H24" s="90"/>
      <c r="I24" s="798"/>
      <c r="J24" s="90"/>
      <c r="K24" s="94"/>
      <c r="L24" s="95"/>
      <c r="M24" s="90"/>
      <c r="N24" s="96"/>
      <c r="O24" s="90"/>
      <c r="P24" s="90"/>
      <c r="Q24" s="96"/>
      <c r="R24" s="497"/>
      <c r="S24" s="793"/>
      <c r="T24" s="497"/>
      <c r="U24" s="497"/>
      <c r="X24" s="497"/>
      <c r="Y24" s="497"/>
      <c r="Z24" s="497"/>
      <c r="AA24" s="497"/>
    </row>
    <row r="25" spans="1:27" x14ac:dyDescent="0.25">
      <c r="A25" s="116"/>
      <c r="B25" s="906"/>
      <c r="C25" s="97"/>
      <c r="D25" s="98" t="s">
        <v>1508</v>
      </c>
      <c r="E25" s="99" t="s">
        <v>1509</v>
      </c>
      <c r="F25" s="97"/>
      <c r="G25" s="98"/>
      <c r="H25" s="97"/>
      <c r="I25" s="98"/>
      <c r="J25" s="97"/>
      <c r="K25" s="98"/>
      <c r="L25" s="97"/>
      <c r="M25" s="97"/>
      <c r="N25" s="98"/>
      <c r="O25" s="97"/>
      <c r="P25" s="97"/>
      <c r="Q25" s="98"/>
      <c r="R25" s="497"/>
      <c r="S25" s="793"/>
      <c r="T25" s="497"/>
      <c r="U25" s="497"/>
    </row>
    <row r="26" spans="1:27" x14ac:dyDescent="0.25">
      <c r="A26" s="116"/>
      <c r="B26" s="907" t="s">
        <v>1095</v>
      </c>
      <c r="C26" s="22"/>
      <c r="D26" s="48"/>
      <c r="E26" s="22">
        <v>42.8</v>
      </c>
      <c r="F26" s="22"/>
      <c r="G26" s="51"/>
      <c r="H26" s="22"/>
      <c r="I26" s="26"/>
      <c r="J26" s="22"/>
      <c r="K26" s="27"/>
      <c r="L26" s="52"/>
      <c r="M26" s="22"/>
      <c r="N26" s="47"/>
      <c r="O26" s="22"/>
      <c r="P26" s="100"/>
      <c r="Q26" s="42"/>
      <c r="R26" s="48"/>
      <c r="T26" s="47"/>
      <c r="U26" s="47"/>
      <c r="X26" s="47"/>
      <c r="Y26" s="47"/>
      <c r="Z26" s="47"/>
      <c r="AA26" s="47"/>
    </row>
    <row r="27" spans="1:27" x14ac:dyDescent="0.25">
      <c r="A27" s="116"/>
      <c r="B27" s="908"/>
      <c r="C27" s="49"/>
      <c r="D27" s="20"/>
      <c r="E27" s="85" t="s">
        <v>1096</v>
      </c>
      <c r="F27" s="49"/>
      <c r="G27" s="20"/>
      <c r="H27" s="49"/>
      <c r="I27" s="20"/>
      <c r="J27" s="49"/>
      <c r="K27" s="20"/>
      <c r="L27" s="49"/>
      <c r="M27" s="49"/>
      <c r="N27" s="20"/>
      <c r="O27" s="49"/>
      <c r="P27" s="89"/>
      <c r="Q27" s="41"/>
      <c r="R27" s="48"/>
      <c r="T27" s="47"/>
      <c r="U27" s="47"/>
    </row>
    <row r="28" spans="1:27" x14ac:dyDescent="0.25">
      <c r="A28" s="116"/>
      <c r="B28" s="17"/>
      <c r="C28" s="17"/>
      <c r="D28" s="47"/>
      <c r="E28" s="47"/>
      <c r="F28" s="17"/>
      <c r="G28" s="17"/>
      <c r="H28" s="17"/>
      <c r="I28" s="17"/>
      <c r="J28" s="17"/>
      <c r="K28" s="19"/>
      <c r="L28" s="19"/>
      <c r="M28" s="19"/>
      <c r="N28" s="19"/>
      <c r="O28" s="19"/>
      <c r="P28" s="19"/>
      <c r="Q28" s="17"/>
      <c r="R28" s="17"/>
      <c r="T28" s="17"/>
      <c r="U28" s="17"/>
    </row>
    <row r="29" spans="1:27" x14ac:dyDescent="0.25">
      <c r="A29" s="116"/>
      <c r="B29" s="83" t="s">
        <v>65</v>
      </c>
      <c r="C29" s="62" t="s">
        <v>66</v>
      </c>
      <c r="D29" s="62" t="s">
        <v>68</v>
      </c>
      <c r="E29" s="75" t="s">
        <v>69</v>
      </c>
      <c r="H29" s="48"/>
      <c r="I29" s="17"/>
      <c r="J29" s="17"/>
      <c r="K29" s="19"/>
      <c r="L29" s="19"/>
      <c r="M29" s="19"/>
      <c r="N29" s="19"/>
      <c r="O29" s="19"/>
      <c r="P29" s="19"/>
      <c r="Q29" s="17"/>
      <c r="R29" s="17"/>
      <c r="T29" s="17"/>
      <c r="U29" s="17"/>
    </row>
    <row r="30" spans="1:27" x14ac:dyDescent="0.25">
      <c r="A30" s="116"/>
      <c r="B30" s="876" t="s">
        <v>65</v>
      </c>
      <c r="C30" s="73">
        <v>1</v>
      </c>
      <c r="D30" s="73">
        <v>28</v>
      </c>
      <c r="E30" s="63">
        <v>265</v>
      </c>
      <c r="H30" s="48"/>
      <c r="I30" s="17"/>
      <c r="J30" s="17"/>
      <c r="K30" s="19"/>
      <c r="L30" s="19"/>
      <c r="M30" s="19"/>
      <c r="N30" s="19"/>
      <c r="O30" s="19"/>
      <c r="P30" s="19"/>
      <c r="Q30" s="17"/>
      <c r="R30" s="17"/>
      <c r="T30" s="17"/>
      <c r="U30" s="17"/>
    </row>
    <row r="31" spans="1:27" x14ac:dyDescent="0.25">
      <c r="A31" s="116"/>
      <c r="B31" s="877"/>
      <c r="C31" s="74" t="s">
        <v>77</v>
      </c>
      <c r="D31" s="74" t="s">
        <v>77</v>
      </c>
      <c r="E31" s="66" t="s">
        <v>77</v>
      </c>
      <c r="H31" s="48"/>
      <c r="I31" s="17"/>
      <c r="J31" s="17"/>
      <c r="K31" s="19"/>
      <c r="L31" s="19"/>
      <c r="M31" s="19"/>
      <c r="N31" s="19"/>
      <c r="O31" s="19"/>
      <c r="P31" s="19"/>
      <c r="Q31" s="17"/>
      <c r="R31" s="17"/>
      <c r="T31" s="17"/>
      <c r="U31" s="17"/>
    </row>
    <row r="32" spans="1:27" x14ac:dyDescent="0.25">
      <c r="A32" s="116"/>
      <c r="B32" s="17"/>
      <c r="C32" s="17"/>
      <c r="D32" s="47"/>
      <c r="E32" s="47"/>
      <c r="F32" s="17"/>
      <c r="G32" s="21"/>
      <c r="H32" s="17"/>
      <c r="I32" s="17"/>
      <c r="J32" s="17"/>
      <c r="K32" s="19"/>
      <c r="L32" s="19"/>
      <c r="M32" s="19"/>
      <c r="N32" s="19"/>
      <c r="O32" s="19"/>
      <c r="P32" s="19"/>
      <c r="Q32" s="17"/>
      <c r="R32" s="17"/>
      <c r="T32" s="17"/>
      <c r="U32" s="17"/>
    </row>
    <row r="33" spans="1:75" x14ac:dyDescent="0.25">
      <c r="A33" s="116"/>
      <c r="B33" s="108" t="s">
        <v>175</v>
      </c>
      <c r="C33" s="62" t="s">
        <v>127</v>
      </c>
      <c r="D33" s="62" t="s">
        <v>128</v>
      </c>
      <c r="E33" s="75" t="s">
        <v>154</v>
      </c>
      <c r="F33" s="62" t="s">
        <v>155</v>
      </c>
      <c r="G33" s="62" t="s">
        <v>156</v>
      </c>
      <c r="H33" s="75" t="s">
        <v>157</v>
      </c>
      <c r="I33" s="75" t="s">
        <v>162</v>
      </c>
      <c r="J33" s="47"/>
      <c r="K33" s="19"/>
      <c r="L33" s="19"/>
      <c r="M33" s="19"/>
      <c r="N33" s="19"/>
      <c r="O33" s="19"/>
      <c r="P33" s="19"/>
      <c r="Q33" s="47"/>
      <c r="R33" s="47"/>
      <c r="T33" s="47"/>
      <c r="U33" s="47"/>
    </row>
    <row r="34" spans="1:75" x14ac:dyDescent="0.25">
      <c r="A34" s="116"/>
      <c r="B34" s="54"/>
      <c r="C34" s="918" t="s">
        <v>79</v>
      </c>
      <c r="D34" s="919"/>
      <c r="E34" s="919"/>
      <c r="F34" s="919"/>
      <c r="G34" s="919"/>
      <c r="H34" s="919"/>
      <c r="I34" s="919"/>
      <c r="J34" s="47"/>
      <c r="K34" s="19"/>
      <c r="L34" s="19"/>
      <c r="M34" s="19"/>
      <c r="N34" s="19"/>
      <c r="O34" s="19"/>
      <c r="P34" s="19"/>
      <c r="Q34" s="47"/>
      <c r="R34" s="47"/>
      <c r="T34" s="47"/>
      <c r="U34" s="47"/>
    </row>
    <row r="35" spans="1:75" x14ac:dyDescent="0.25">
      <c r="B35" s="899" t="s">
        <v>174</v>
      </c>
      <c r="C35" s="63">
        <v>844</v>
      </c>
      <c r="D35" s="63">
        <v>76</v>
      </c>
      <c r="E35" s="63">
        <v>824</v>
      </c>
      <c r="F35" s="63">
        <v>818</v>
      </c>
      <c r="G35" s="63">
        <v>545</v>
      </c>
      <c r="H35" s="63">
        <v>538</v>
      </c>
      <c r="I35" s="63">
        <v>702</v>
      </c>
      <c r="J35" s="47"/>
      <c r="K35" s="19"/>
      <c r="L35" s="19"/>
      <c r="M35" s="19"/>
      <c r="N35" s="19"/>
      <c r="O35" s="19"/>
      <c r="P35" s="19"/>
      <c r="Q35" s="47"/>
      <c r="R35" s="47"/>
      <c r="S35" s="652" t="s">
        <v>1498</v>
      </c>
      <c r="T35" s="47"/>
      <c r="U35" s="47"/>
    </row>
    <row r="36" spans="1:75" x14ac:dyDescent="0.25">
      <c r="A36" s="116"/>
      <c r="B36" s="900"/>
      <c r="C36" s="65" t="s">
        <v>71</v>
      </c>
      <c r="D36" s="65" t="s">
        <v>71</v>
      </c>
      <c r="E36" s="65" t="s">
        <v>71</v>
      </c>
      <c r="F36" s="65" t="s">
        <v>71</v>
      </c>
      <c r="G36" s="65" t="s">
        <v>71</v>
      </c>
      <c r="H36" s="65" t="s">
        <v>71</v>
      </c>
      <c r="I36" s="65" t="s">
        <v>71</v>
      </c>
      <c r="J36" s="47"/>
      <c r="K36" s="19"/>
      <c r="L36" s="19"/>
      <c r="M36" s="19"/>
      <c r="N36" s="19"/>
      <c r="O36" s="19"/>
      <c r="P36" s="19"/>
      <c r="Q36" s="47"/>
      <c r="R36" s="47"/>
      <c r="T36" s="47"/>
      <c r="U36" s="47"/>
    </row>
    <row r="37" spans="1:75" s="19" customFormat="1" x14ac:dyDescent="0.25">
      <c r="A37" s="117"/>
      <c r="B37" s="47"/>
      <c r="C37" s="47"/>
      <c r="D37" s="47"/>
      <c r="E37" s="47"/>
      <c r="F37" s="47"/>
      <c r="G37" s="48"/>
      <c r="H37" s="47"/>
      <c r="I37" s="47"/>
      <c r="J37" s="47"/>
      <c r="Q37" s="47"/>
      <c r="R37" s="47"/>
      <c r="S37" s="652"/>
      <c r="T37" s="47"/>
      <c r="U37" s="47"/>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row>
    <row r="38" spans="1:75" s="19" customFormat="1" x14ac:dyDescent="0.25">
      <c r="A38" s="117"/>
      <c r="B38" s="18"/>
      <c r="C38" s="17"/>
      <c r="D38" s="46"/>
      <c r="E38" s="46"/>
      <c r="F38" s="17"/>
      <c r="G38" s="17"/>
      <c r="H38" s="17"/>
      <c r="I38" s="17"/>
      <c r="J38" s="17"/>
      <c r="K38" s="17"/>
      <c r="L38" s="17"/>
      <c r="M38" s="17"/>
      <c r="N38" s="34"/>
      <c r="O38" s="17"/>
      <c r="P38" s="17"/>
      <c r="Q38" s="17"/>
      <c r="R38" s="17"/>
      <c r="S38" s="652"/>
      <c r="T38" s="17"/>
      <c r="U38" s="17"/>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row>
    <row r="39" spans="1:75" ht="60" x14ac:dyDescent="0.25">
      <c r="A39" s="116"/>
      <c r="B39" s="83" t="s">
        <v>129</v>
      </c>
      <c r="C39" s="598" t="s">
        <v>815</v>
      </c>
      <c r="D39" s="81"/>
      <c r="E39" s="81"/>
      <c r="F39" s="48"/>
      <c r="G39" s="17"/>
      <c r="H39" s="17"/>
      <c r="I39" s="17"/>
      <c r="J39" s="17"/>
      <c r="K39" s="17"/>
      <c r="L39" s="17"/>
      <c r="M39" s="17"/>
      <c r="N39" s="34"/>
      <c r="O39" s="17"/>
      <c r="P39" s="17"/>
      <c r="Q39" s="17"/>
      <c r="R39" s="17"/>
      <c r="T39" s="17"/>
      <c r="U39" s="17"/>
    </row>
    <row r="40" spans="1:75" x14ac:dyDescent="0.25">
      <c r="A40" s="116"/>
      <c r="B40" s="19"/>
      <c r="C40" s="77" t="s">
        <v>105</v>
      </c>
      <c r="D40" s="46"/>
      <c r="E40" s="46"/>
      <c r="F40" s="48"/>
      <c r="G40" s="17"/>
      <c r="H40" s="17"/>
      <c r="I40" s="17"/>
      <c r="J40" s="17"/>
      <c r="K40" s="17"/>
      <c r="L40" s="17"/>
      <c r="M40" s="17"/>
      <c r="N40" s="34"/>
      <c r="O40" s="17"/>
      <c r="P40" s="17"/>
      <c r="Q40" s="17"/>
      <c r="R40" s="17"/>
      <c r="T40" s="17"/>
      <c r="U40" s="17"/>
    </row>
    <row r="41" spans="1:75" x14ac:dyDescent="0.25">
      <c r="A41" s="116"/>
      <c r="B41" s="876" t="s">
        <v>130</v>
      </c>
      <c r="C41" s="78">
        <v>0.56710000000000005</v>
      </c>
      <c r="D41" s="84"/>
      <c r="E41" s="84"/>
      <c r="F41" s="48"/>
      <c r="G41" s="48"/>
      <c r="H41" s="48"/>
      <c r="I41" s="48"/>
      <c r="J41" s="17"/>
      <c r="K41" s="17"/>
      <c r="L41" s="17"/>
      <c r="M41" s="17"/>
      <c r="N41" s="34"/>
      <c r="O41" s="17"/>
      <c r="P41" s="17"/>
      <c r="Q41" s="17"/>
      <c r="R41" s="17"/>
      <c r="S41" s="652" t="s">
        <v>1216</v>
      </c>
      <c r="T41" s="17"/>
      <c r="U41" s="17"/>
    </row>
    <row r="42" spans="1:75" x14ac:dyDescent="0.25">
      <c r="A42" s="116"/>
      <c r="B42" s="877"/>
      <c r="C42" s="599" t="s">
        <v>81</v>
      </c>
      <c r="D42" s="46"/>
      <c r="E42" s="46"/>
      <c r="F42" s="48"/>
      <c r="G42" s="48"/>
      <c r="H42" s="48"/>
      <c r="I42" s="48"/>
      <c r="J42" s="17"/>
      <c r="K42" s="17"/>
      <c r="L42" s="17"/>
      <c r="M42" s="17"/>
      <c r="N42" s="34"/>
      <c r="O42" s="17"/>
      <c r="P42" s="17"/>
      <c r="Q42" s="17"/>
      <c r="R42" s="17"/>
      <c r="T42" s="17"/>
      <c r="U42" s="17"/>
    </row>
    <row r="43" spans="1:75" x14ac:dyDescent="0.25">
      <c r="A43" s="116"/>
      <c r="B43" s="17"/>
      <c r="C43" s="17"/>
      <c r="D43" s="47"/>
      <c r="E43" s="47"/>
      <c r="F43" s="17"/>
      <c r="G43" s="17"/>
      <c r="H43" s="17"/>
      <c r="I43" s="17"/>
      <c r="J43" s="17"/>
      <c r="K43" s="17"/>
      <c r="L43" s="17"/>
      <c r="M43" s="17"/>
      <c r="N43" s="34"/>
      <c r="O43" s="17"/>
      <c r="P43" s="17"/>
      <c r="Q43" s="17"/>
      <c r="R43" s="17"/>
      <c r="T43" s="17"/>
      <c r="U43" s="17"/>
    </row>
    <row r="44" spans="1:75" ht="45" x14ac:dyDescent="0.25">
      <c r="A44" s="116"/>
      <c r="B44" s="121" t="s">
        <v>1011</v>
      </c>
      <c r="C44" s="121" t="s">
        <v>1012</v>
      </c>
      <c r="D44" s="121" t="s">
        <v>1018</v>
      </c>
      <c r="E44" s="121" t="s">
        <v>1019</v>
      </c>
      <c r="F44" s="121" t="s">
        <v>1020</v>
      </c>
      <c r="G44" s="121"/>
      <c r="H44" s="121"/>
      <c r="I44" s="397"/>
      <c r="J44" s="397"/>
      <c r="K44" s="397"/>
      <c r="L44" s="397"/>
      <c r="M44" s="397"/>
      <c r="N44" s="397"/>
      <c r="O44" s="397"/>
      <c r="P44" s="397"/>
      <c r="Q44" s="397"/>
      <c r="R44" s="397"/>
      <c r="S44" s="652" t="s">
        <v>1217</v>
      </c>
      <c r="T44" s="397"/>
      <c r="U44" s="397"/>
    </row>
    <row r="45" spans="1:75" x14ac:dyDescent="0.25">
      <c r="A45" s="116"/>
      <c r="B45" s="123"/>
      <c r="C45" s="527" t="s">
        <v>134</v>
      </c>
      <c r="D45" s="527" t="s">
        <v>133</v>
      </c>
      <c r="E45" s="527" t="s">
        <v>131</v>
      </c>
      <c r="F45" s="527" t="s">
        <v>132</v>
      </c>
      <c r="G45" s="526"/>
      <c r="H45" s="77"/>
      <c r="I45" s="397"/>
      <c r="J45" s="397"/>
      <c r="K45" s="397"/>
      <c r="L45" s="397"/>
      <c r="M45" s="397"/>
      <c r="N45" s="397"/>
      <c r="O45" s="397"/>
      <c r="P45" s="397"/>
      <c r="Q45" s="397"/>
      <c r="R45" s="397"/>
      <c r="T45" s="397"/>
      <c r="U45" s="397"/>
    </row>
    <row r="46" spans="1:75" x14ac:dyDescent="0.25">
      <c r="A46" s="116"/>
      <c r="B46" s="899" t="s">
        <v>1013</v>
      </c>
      <c r="C46" s="528">
        <v>101325</v>
      </c>
      <c r="D46" s="528">
        <v>0</v>
      </c>
      <c r="E46" s="528">
        <v>1</v>
      </c>
      <c r="F46" s="528">
        <v>2</v>
      </c>
      <c r="G46" s="119"/>
      <c r="H46" s="119"/>
      <c r="I46" s="397"/>
      <c r="J46" s="397"/>
      <c r="K46" s="397"/>
      <c r="L46" s="397"/>
      <c r="M46" s="397"/>
      <c r="N46" s="397"/>
      <c r="O46" s="397"/>
      <c r="P46" s="397"/>
      <c r="Q46" s="397"/>
      <c r="R46" s="397"/>
      <c r="T46" s="397"/>
      <c r="U46" s="397"/>
    </row>
    <row r="47" spans="1:75" x14ac:dyDescent="0.25">
      <c r="A47" s="116"/>
      <c r="B47" s="900"/>
      <c r="C47" s="529" t="s">
        <v>215</v>
      </c>
      <c r="D47" s="529" t="s">
        <v>217</v>
      </c>
      <c r="E47" s="529" t="s">
        <v>219</v>
      </c>
      <c r="F47" s="529" t="s">
        <v>221</v>
      </c>
      <c r="G47" s="118"/>
      <c r="H47" s="118"/>
      <c r="I47" s="397"/>
      <c r="J47" s="397"/>
      <c r="K47" s="397"/>
      <c r="L47" s="397"/>
      <c r="M47" s="397"/>
      <c r="N47" s="397"/>
      <c r="O47" s="397"/>
      <c r="P47" s="397"/>
      <c r="Q47" s="397"/>
      <c r="R47" s="397"/>
      <c r="T47" s="397"/>
      <c r="U47" s="397"/>
    </row>
    <row r="48" spans="1:75" x14ac:dyDescent="0.25">
      <c r="A48" s="116"/>
      <c r="B48" s="901" t="s">
        <v>1021</v>
      </c>
      <c r="C48" s="530">
        <v>101325</v>
      </c>
      <c r="D48" s="530">
        <v>0</v>
      </c>
      <c r="E48" s="530">
        <v>1</v>
      </c>
      <c r="F48" s="530">
        <v>3</v>
      </c>
      <c r="G48" s="397"/>
      <c r="H48" s="397"/>
      <c r="I48" s="397"/>
      <c r="J48" s="397"/>
      <c r="K48" s="397"/>
      <c r="L48" s="397"/>
      <c r="M48" s="397"/>
      <c r="N48" s="397"/>
      <c r="O48" s="397"/>
      <c r="P48" s="397"/>
      <c r="Q48" s="397"/>
      <c r="R48" s="397"/>
      <c r="T48" s="397"/>
      <c r="U48" s="397"/>
    </row>
    <row r="49" spans="1:21" x14ac:dyDescent="0.25">
      <c r="A49" s="116"/>
      <c r="B49" s="902"/>
      <c r="C49" s="183" t="s">
        <v>216</v>
      </c>
      <c r="D49" s="183" t="s">
        <v>218</v>
      </c>
      <c r="E49" s="183" t="s">
        <v>220</v>
      </c>
      <c r="F49" s="183" t="s">
        <v>222</v>
      </c>
      <c r="G49" s="397"/>
      <c r="H49" s="397"/>
      <c r="I49" s="397"/>
      <c r="J49" s="397"/>
      <c r="K49" s="397"/>
      <c r="L49" s="397"/>
      <c r="M49" s="397"/>
      <c r="N49" s="397"/>
      <c r="O49" s="397"/>
      <c r="P49" s="397"/>
      <c r="Q49" s="397"/>
      <c r="R49" s="397"/>
      <c r="T49" s="397"/>
      <c r="U49" s="397"/>
    </row>
    <row r="50" spans="1:21" x14ac:dyDescent="0.25">
      <c r="A50" s="116"/>
      <c r="B50" s="899" t="s">
        <v>1014</v>
      </c>
      <c r="C50" s="528">
        <v>101325</v>
      </c>
      <c r="D50" s="528">
        <v>0</v>
      </c>
      <c r="E50" s="528">
        <v>1</v>
      </c>
      <c r="F50" s="528">
        <v>8.5</v>
      </c>
      <c r="G50" s="119"/>
      <c r="H50" s="119"/>
      <c r="I50" s="397"/>
      <c r="J50" s="397"/>
      <c r="K50" s="397"/>
      <c r="L50" s="397"/>
      <c r="M50" s="397"/>
      <c r="N50" s="397"/>
      <c r="O50" s="397"/>
      <c r="P50" s="397"/>
      <c r="Q50" s="397"/>
      <c r="R50" s="397"/>
      <c r="T50" s="397"/>
      <c r="U50" s="397"/>
    </row>
    <row r="51" spans="1:21" x14ac:dyDescent="0.25">
      <c r="A51" s="116"/>
      <c r="B51" s="900"/>
      <c r="C51" s="529" t="s">
        <v>223</v>
      </c>
      <c r="D51" s="529" t="s">
        <v>224</v>
      </c>
      <c r="E51" s="529" t="s">
        <v>225</v>
      </c>
      <c r="F51" s="529" t="s">
        <v>226</v>
      </c>
      <c r="G51" s="118"/>
      <c r="H51" s="118"/>
      <c r="I51" s="397"/>
      <c r="J51" s="397"/>
      <c r="K51" s="397"/>
      <c r="L51" s="397"/>
      <c r="M51" s="397"/>
      <c r="N51" s="397"/>
      <c r="O51" s="397"/>
      <c r="P51" s="397"/>
      <c r="Q51" s="397"/>
      <c r="R51" s="397"/>
      <c r="T51" s="397"/>
      <c r="U51" s="397"/>
    </row>
    <row r="52" spans="1:21" x14ac:dyDescent="0.25">
      <c r="A52" s="116"/>
      <c r="B52" s="901" t="s">
        <v>1015</v>
      </c>
      <c r="C52" s="530">
        <v>101325</v>
      </c>
      <c r="D52" s="530">
        <v>0</v>
      </c>
      <c r="E52" s="530">
        <v>1</v>
      </c>
      <c r="F52" s="530">
        <v>10</v>
      </c>
      <c r="G52" s="397"/>
      <c r="H52" s="397"/>
      <c r="I52" s="397"/>
      <c r="J52" s="397"/>
      <c r="K52" s="397"/>
      <c r="L52" s="397"/>
      <c r="M52" s="397"/>
      <c r="N52" s="397"/>
      <c r="O52" s="397"/>
      <c r="P52" s="397"/>
      <c r="Q52" s="397"/>
      <c r="R52" s="397"/>
      <c r="T52" s="397"/>
      <c r="U52" s="397"/>
    </row>
    <row r="53" spans="1:21" x14ac:dyDescent="0.25">
      <c r="B53" s="902"/>
      <c r="C53" s="531" t="s">
        <v>227</v>
      </c>
      <c r="D53" s="531" t="s">
        <v>228</v>
      </c>
      <c r="E53" s="531" t="s">
        <v>229</v>
      </c>
      <c r="F53" s="531" t="s">
        <v>230</v>
      </c>
      <c r="G53" s="397"/>
      <c r="H53" s="397"/>
      <c r="I53" s="397"/>
      <c r="J53" s="397"/>
      <c r="K53" s="397"/>
      <c r="L53" s="397"/>
      <c r="M53" s="397"/>
      <c r="N53" s="397"/>
      <c r="O53" s="397"/>
      <c r="P53" s="397"/>
      <c r="Q53" s="397"/>
      <c r="R53" s="397"/>
      <c r="T53" s="397"/>
      <c r="U53" s="397"/>
    </row>
    <row r="54" spans="1:21" x14ac:dyDescent="0.25">
      <c r="A54" s="669"/>
      <c r="B54" s="899" t="s">
        <v>1016</v>
      </c>
      <c r="C54" s="528">
        <v>101325</v>
      </c>
      <c r="D54" s="528">
        <v>0</v>
      </c>
      <c r="E54" s="528">
        <v>1</v>
      </c>
      <c r="F54" s="528">
        <v>10</v>
      </c>
      <c r="G54" s="119"/>
      <c r="H54" s="119"/>
      <c r="I54" s="397"/>
      <c r="J54" s="397"/>
      <c r="K54" s="397"/>
      <c r="L54" s="397"/>
      <c r="M54" s="397"/>
      <c r="N54" s="397"/>
      <c r="O54" s="397"/>
      <c r="P54" s="397"/>
      <c r="Q54" s="397"/>
      <c r="R54" s="397"/>
      <c r="T54" s="397"/>
      <c r="U54" s="397"/>
    </row>
    <row r="55" spans="1:21" x14ac:dyDescent="0.25">
      <c r="A55" s="669"/>
      <c r="B55" s="900"/>
      <c r="C55" s="529" t="s">
        <v>235</v>
      </c>
      <c r="D55" s="529" t="s">
        <v>236</v>
      </c>
      <c r="E55" s="529" t="s">
        <v>237</v>
      </c>
      <c r="F55" s="529" t="s">
        <v>238</v>
      </c>
      <c r="G55" s="118"/>
      <c r="H55" s="118"/>
      <c r="I55" s="397"/>
      <c r="J55" s="397"/>
      <c r="K55" s="397"/>
      <c r="L55" s="397"/>
      <c r="M55" s="397"/>
      <c r="N55" s="397"/>
      <c r="O55" s="397"/>
      <c r="P55" s="397"/>
      <c r="Q55" s="397"/>
      <c r="R55" s="397"/>
      <c r="T55" s="397"/>
      <c r="U55" s="397"/>
    </row>
    <row r="56" spans="1:21" x14ac:dyDescent="0.25">
      <c r="A56" s="669"/>
      <c r="B56" s="901" t="s">
        <v>1017</v>
      </c>
      <c r="C56" s="532">
        <v>101325</v>
      </c>
      <c r="D56" s="532">
        <v>0</v>
      </c>
      <c r="E56" s="532">
        <v>1</v>
      </c>
      <c r="F56" s="532">
        <v>10</v>
      </c>
      <c r="G56" s="120"/>
      <c r="H56" s="120"/>
      <c r="I56" s="397"/>
      <c r="J56" s="397"/>
      <c r="K56" s="397"/>
      <c r="L56" s="397"/>
      <c r="M56" s="397"/>
      <c r="N56" s="397"/>
      <c r="O56" s="397"/>
      <c r="P56" s="397"/>
      <c r="Q56" s="397"/>
      <c r="R56" s="397"/>
      <c r="T56" s="397"/>
      <c r="U56" s="397"/>
    </row>
    <row r="57" spans="1:21" x14ac:dyDescent="0.25">
      <c r="B57" s="902"/>
      <c r="C57" s="533" t="s">
        <v>231</v>
      </c>
      <c r="D57" s="85" t="s">
        <v>232</v>
      </c>
      <c r="E57" s="533" t="s">
        <v>233</v>
      </c>
      <c r="F57" s="533" t="s">
        <v>234</v>
      </c>
      <c r="G57" s="20"/>
      <c r="H57" s="20"/>
      <c r="I57" s="397"/>
      <c r="J57" s="397"/>
      <c r="K57" s="397"/>
      <c r="L57" s="397"/>
      <c r="M57" s="397"/>
      <c r="N57" s="397"/>
      <c r="O57" s="397"/>
      <c r="P57" s="397"/>
      <c r="Q57" s="397"/>
      <c r="R57" s="397"/>
      <c r="T57" s="397"/>
      <c r="U57" s="397"/>
    </row>
    <row r="58" spans="1:21" x14ac:dyDescent="0.25">
      <c r="A58" s="116"/>
      <c r="B58" s="899" t="s">
        <v>165</v>
      </c>
      <c r="C58" s="528">
        <f>101325</f>
        <v>101325</v>
      </c>
      <c r="D58" s="528">
        <v>0</v>
      </c>
      <c r="E58" s="528">
        <v>1</v>
      </c>
      <c r="F58" s="528">
        <v>5</v>
      </c>
      <c r="G58" s="119"/>
      <c r="H58" s="119"/>
      <c r="I58" s="397"/>
      <c r="J58" s="397"/>
      <c r="K58" s="397"/>
      <c r="L58" s="397"/>
      <c r="M58" s="397"/>
      <c r="N58" s="397"/>
      <c r="O58" s="397"/>
      <c r="P58" s="397"/>
      <c r="Q58" s="397"/>
      <c r="R58" s="397"/>
      <c r="T58" s="397"/>
      <c r="U58" s="397"/>
    </row>
    <row r="59" spans="1:21" x14ac:dyDescent="0.25">
      <c r="A59" s="116"/>
      <c r="B59" s="900"/>
      <c r="C59" s="529" t="s">
        <v>239</v>
      </c>
      <c r="D59" s="529" t="s">
        <v>240</v>
      </c>
      <c r="E59" s="529" t="s">
        <v>241</v>
      </c>
      <c r="F59" s="529" t="s">
        <v>242</v>
      </c>
      <c r="G59" s="118"/>
      <c r="H59" s="118"/>
      <c r="I59" s="397"/>
      <c r="J59" s="397"/>
      <c r="K59" s="397"/>
      <c r="L59" s="397"/>
      <c r="M59" s="397"/>
      <c r="N59" s="397"/>
      <c r="O59" s="397"/>
      <c r="P59" s="397"/>
      <c r="Q59" s="397"/>
      <c r="R59" s="397"/>
      <c r="T59" s="397"/>
      <c r="U59" s="397"/>
    </row>
    <row r="60" spans="1:21" x14ac:dyDescent="0.25">
      <c r="A60" s="116"/>
      <c r="B60" s="397"/>
      <c r="C60" s="397"/>
      <c r="D60" s="397"/>
      <c r="E60" s="397"/>
      <c r="F60" s="397"/>
      <c r="G60" s="397"/>
      <c r="H60" s="397"/>
      <c r="I60" s="397"/>
      <c r="J60" s="397"/>
      <c r="K60" s="397"/>
      <c r="L60" s="397"/>
      <c r="M60" s="397"/>
      <c r="N60" s="397"/>
      <c r="O60" s="397"/>
      <c r="P60" s="397"/>
      <c r="Q60" s="397"/>
      <c r="R60" s="397"/>
      <c r="T60" s="397"/>
      <c r="U60" s="397"/>
    </row>
    <row r="61" spans="1:21" x14ac:dyDescent="0.25">
      <c r="A61" s="116"/>
      <c r="B61" s="487" t="s">
        <v>1039</v>
      </c>
      <c r="C61" s="487" t="s">
        <v>1040</v>
      </c>
      <c r="D61" s="487"/>
      <c r="E61" s="487"/>
      <c r="F61" s="487"/>
      <c r="G61" s="487"/>
      <c r="H61" s="487"/>
      <c r="I61" s="497"/>
      <c r="J61" s="497"/>
      <c r="K61" s="497"/>
      <c r="L61" s="497"/>
      <c r="M61" s="497"/>
      <c r="N61" s="497"/>
      <c r="O61" s="497"/>
      <c r="P61" s="497"/>
      <c r="Q61" s="497"/>
      <c r="R61" s="497"/>
      <c r="S61" s="655" t="s">
        <v>1217</v>
      </c>
      <c r="T61" s="497"/>
      <c r="U61" s="497"/>
    </row>
    <row r="62" spans="1:21" x14ac:dyDescent="0.25">
      <c r="B62" s="491"/>
      <c r="C62" s="527" t="s">
        <v>131</v>
      </c>
      <c r="D62" s="527"/>
      <c r="E62" s="527"/>
      <c r="F62" s="527"/>
      <c r="G62" s="567"/>
      <c r="H62" s="77"/>
      <c r="I62" s="497"/>
      <c r="J62" s="497"/>
      <c r="K62" s="497"/>
      <c r="L62" s="497"/>
      <c r="M62" s="497"/>
      <c r="N62" s="497"/>
      <c r="O62" s="497"/>
      <c r="P62" s="497"/>
      <c r="Q62" s="497"/>
      <c r="R62" s="497"/>
      <c r="T62" s="497"/>
      <c r="U62" s="497"/>
    </row>
    <row r="63" spans="1:21" x14ac:dyDescent="0.25">
      <c r="A63" s="116"/>
      <c r="B63" s="899" t="s">
        <v>1041</v>
      </c>
      <c r="C63" s="528">
        <v>0.5</v>
      </c>
      <c r="D63" s="528"/>
      <c r="E63" s="528"/>
      <c r="F63" s="528"/>
      <c r="G63" s="489"/>
      <c r="H63" s="489"/>
      <c r="I63" s="497"/>
      <c r="J63" s="497"/>
      <c r="K63" s="497"/>
      <c r="L63" s="497"/>
      <c r="M63" s="497"/>
      <c r="N63" s="497"/>
      <c r="O63" s="497"/>
      <c r="P63" s="497"/>
      <c r="Q63" s="497"/>
      <c r="R63" s="497"/>
      <c r="T63" s="497"/>
      <c r="U63" s="497"/>
    </row>
    <row r="64" spans="1:21" x14ac:dyDescent="0.25">
      <c r="A64" s="116"/>
      <c r="B64" s="900"/>
      <c r="C64" s="529" t="s">
        <v>187</v>
      </c>
      <c r="D64" s="529"/>
      <c r="E64" s="529"/>
      <c r="F64" s="529"/>
      <c r="G64" s="488"/>
      <c r="H64" s="488"/>
      <c r="I64" s="497"/>
      <c r="J64" s="497"/>
      <c r="K64" s="497"/>
      <c r="L64" s="497"/>
      <c r="M64" s="497"/>
      <c r="N64" s="497"/>
      <c r="O64" s="497"/>
      <c r="P64" s="497"/>
      <c r="Q64" s="497"/>
      <c r="R64" s="497"/>
      <c r="T64" s="497"/>
      <c r="U64" s="497"/>
    </row>
    <row r="65" spans="1:39" x14ac:dyDescent="0.25">
      <c r="A65" s="116"/>
      <c r="B65" s="933" t="s">
        <v>1042</v>
      </c>
      <c r="C65" s="530">
        <v>10</v>
      </c>
      <c r="D65" s="530"/>
      <c r="E65" s="530"/>
      <c r="F65" s="530"/>
      <c r="G65" s="497"/>
      <c r="H65" s="497"/>
      <c r="I65" s="497"/>
      <c r="J65" s="497"/>
      <c r="K65" s="497"/>
      <c r="L65" s="497"/>
      <c r="M65" s="497"/>
      <c r="N65" s="497"/>
      <c r="O65" s="497"/>
      <c r="P65" s="497"/>
      <c r="Q65" s="497"/>
      <c r="R65" s="497"/>
      <c r="T65" s="497"/>
      <c r="U65" s="497"/>
    </row>
    <row r="66" spans="1:39" x14ac:dyDescent="0.25">
      <c r="A66" s="116"/>
      <c r="B66" s="934"/>
      <c r="C66" s="533" t="s">
        <v>187</v>
      </c>
      <c r="D66" s="183"/>
      <c r="E66" s="183"/>
      <c r="F66" s="183"/>
      <c r="G66" s="497"/>
      <c r="H66" s="497"/>
      <c r="I66" s="497"/>
      <c r="J66" s="497"/>
      <c r="K66" s="497"/>
      <c r="L66" s="497"/>
      <c r="M66" s="497"/>
      <c r="N66" s="497"/>
      <c r="O66" s="497"/>
      <c r="P66" s="497"/>
      <c r="Q66" s="497"/>
      <c r="R66" s="497"/>
      <c r="T66" s="497"/>
      <c r="U66" s="497"/>
    </row>
    <row r="67" spans="1:39" x14ac:dyDescent="0.25">
      <c r="A67" s="116"/>
      <c r="B67" s="899" t="s">
        <v>1043</v>
      </c>
      <c r="C67" s="528">
        <v>0.9</v>
      </c>
      <c r="D67" s="528"/>
      <c r="E67" s="528"/>
      <c r="F67" s="528"/>
      <c r="G67" s="489"/>
      <c r="H67" s="489"/>
      <c r="I67" s="497"/>
      <c r="J67" s="497"/>
      <c r="K67" s="497"/>
      <c r="L67" s="497"/>
      <c r="M67" s="497"/>
      <c r="N67" s="497"/>
      <c r="O67" s="497"/>
      <c r="P67" s="497"/>
      <c r="Q67" s="497"/>
      <c r="R67" s="497"/>
      <c r="T67" s="497"/>
      <c r="U67" s="497"/>
    </row>
    <row r="68" spans="1:39" x14ac:dyDescent="0.25">
      <c r="A68" s="116"/>
      <c r="B68" s="900"/>
      <c r="C68" s="568" t="s">
        <v>187</v>
      </c>
      <c r="D68" s="568"/>
      <c r="E68" s="568"/>
      <c r="F68" s="568"/>
      <c r="G68" s="64"/>
      <c r="H68" s="64"/>
      <c r="I68" s="497"/>
      <c r="J68" s="497"/>
      <c r="K68" s="497"/>
      <c r="L68" s="497"/>
      <c r="M68" s="497"/>
      <c r="N68" s="497"/>
      <c r="O68" s="497"/>
      <c r="P68" s="497"/>
      <c r="Q68" s="497"/>
      <c r="R68" s="497"/>
      <c r="T68" s="497"/>
      <c r="U68" s="497"/>
    </row>
    <row r="69" spans="1:39" x14ac:dyDescent="0.25">
      <c r="A69" s="116"/>
      <c r="B69" s="933" t="s">
        <v>1044</v>
      </c>
      <c r="C69" s="532">
        <v>1.05</v>
      </c>
      <c r="D69" s="532"/>
      <c r="E69" s="532"/>
      <c r="F69" s="532"/>
      <c r="G69" s="490"/>
      <c r="H69" s="490"/>
      <c r="I69" s="497"/>
      <c r="J69" s="497"/>
      <c r="K69" s="497"/>
      <c r="L69" s="497"/>
      <c r="M69" s="497"/>
      <c r="N69" s="497"/>
      <c r="O69" s="497"/>
      <c r="P69" s="497"/>
      <c r="Q69" s="497"/>
      <c r="R69" s="497"/>
      <c r="T69" s="497"/>
      <c r="U69" s="497"/>
    </row>
    <row r="70" spans="1:39" x14ac:dyDescent="0.25">
      <c r="A70" s="116"/>
      <c r="B70" s="934"/>
      <c r="C70" s="533" t="s">
        <v>187</v>
      </c>
      <c r="D70" s="569"/>
      <c r="E70" s="569"/>
      <c r="F70" s="569"/>
      <c r="G70" s="20"/>
      <c r="H70" s="20"/>
      <c r="I70" s="497"/>
      <c r="J70" s="497"/>
      <c r="K70" s="497"/>
      <c r="L70" s="497"/>
      <c r="M70" s="497"/>
      <c r="N70" s="497"/>
      <c r="O70" s="497"/>
      <c r="P70" s="497"/>
      <c r="Q70" s="497"/>
      <c r="R70" s="497"/>
      <c r="T70" s="497"/>
      <c r="U70" s="497"/>
    </row>
    <row r="71" spans="1:39" x14ac:dyDescent="0.25">
      <c r="B71" s="711"/>
      <c r="C71" s="183"/>
      <c r="D71" s="381"/>
      <c r="E71" s="695"/>
      <c r="F71" s="695"/>
      <c r="G71" s="497"/>
      <c r="H71" s="497"/>
      <c r="I71" s="497"/>
      <c r="J71" s="497"/>
      <c r="K71" s="497"/>
      <c r="L71" s="497"/>
      <c r="M71" s="497"/>
      <c r="N71" s="497"/>
      <c r="O71" s="497"/>
      <c r="P71" s="497"/>
      <c r="Q71" s="497"/>
      <c r="R71" s="497"/>
      <c r="S71" s="696"/>
      <c r="T71" s="497"/>
      <c r="U71" s="497"/>
      <c r="V71" s="909" t="s">
        <v>1218</v>
      </c>
      <c r="W71" s="910"/>
      <c r="X71" s="910"/>
      <c r="Y71" s="910"/>
      <c r="Z71" s="910"/>
      <c r="AA71" s="910"/>
      <c r="AB71" s="910"/>
      <c r="AC71" s="911"/>
    </row>
    <row r="72" spans="1:39" x14ac:dyDescent="0.25">
      <c r="A72" s="669"/>
      <c r="B72" s="693"/>
      <c r="C72" s="914" t="s">
        <v>1219</v>
      </c>
      <c r="D72" s="915"/>
      <c r="E72" s="892" t="s">
        <v>1220</v>
      </c>
      <c r="F72" s="892"/>
      <c r="G72" s="892"/>
      <c r="H72" s="892"/>
      <c r="I72" s="892"/>
      <c r="J72" s="892"/>
      <c r="K72" s="892"/>
      <c r="L72" s="892"/>
      <c r="M72" s="892"/>
      <c r="N72" s="893" t="s">
        <v>65</v>
      </c>
      <c r="O72" s="893"/>
      <c r="P72" s="893"/>
      <c r="Q72" s="694"/>
      <c r="R72" s="896" t="s">
        <v>1221</v>
      </c>
      <c r="S72" s="897"/>
      <c r="T72" s="897"/>
      <c r="U72" s="898"/>
      <c r="V72" s="935" t="s">
        <v>1222</v>
      </c>
      <c r="W72" s="936"/>
      <c r="X72" s="936"/>
      <c r="Y72" s="937"/>
      <c r="Z72" s="909" t="s">
        <v>1113</v>
      </c>
      <c r="AA72" s="910"/>
      <c r="AB72" s="910"/>
      <c r="AC72" s="911"/>
      <c r="AK72" s="896" t="s">
        <v>1223</v>
      </c>
      <c r="AL72" s="897"/>
      <c r="AM72" s="898"/>
    </row>
    <row r="73" spans="1:39" x14ac:dyDescent="0.25">
      <c r="A73" s="669"/>
      <c r="B73" s="692"/>
      <c r="C73" s="916"/>
      <c r="D73" s="917"/>
      <c r="E73" s="909" t="s">
        <v>1224</v>
      </c>
      <c r="F73" s="910"/>
      <c r="G73" s="911"/>
      <c r="H73" s="909" t="s">
        <v>302</v>
      </c>
      <c r="I73" s="910"/>
      <c r="J73" s="910"/>
      <c r="K73" s="909" t="s">
        <v>1225</v>
      </c>
      <c r="L73" s="910"/>
      <c r="M73" s="911"/>
      <c r="N73" s="893"/>
      <c r="O73" s="893"/>
      <c r="P73" s="893"/>
      <c r="Q73" s="395"/>
      <c r="R73" s="896" t="s">
        <v>1226</v>
      </c>
      <c r="S73" s="897"/>
      <c r="T73" s="897"/>
      <c r="U73" s="897"/>
      <c r="V73" s="43"/>
      <c r="W73" s="43"/>
      <c r="X73" s="697" t="s">
        <v>1227</v>
      </c>
      <c r="Y73" s="712">
        <f>SUM(V76:Y76)</f>
        <v>100</v>
      </c>
      <c r="Z73" s="102"/>
      <c r="AA73" s="103"/>
      <c r="AB73" s="698" t="s">
        <v>1227</v>
      </c>
      <c r="AC73" s="713">
        <f>SUM(Z76:AC76)</f>
        <v>99.3</v>
      </c>
      <c r="AD73" s="909" t="s">
        <v>1228</v>
      </c>
      <c r="AE73" s="910"/>
      <c r="AF73" s="911"/>
      <c r="AG73" s="909" t="s">
        <v>1229</v>
      </c>
      <c r="AH73" s="911"/>
      <c r="AI73" s="909" t="s">
        <v>1094</v>
      </c>
      <c r="AJ73" s="911"/>
      <c r="AK73" s="909" t="s">
        <v>1230</v>
      </c>
      <c r="AL73" s="911"/>
      <c r="AM73" s="698" t="s">
        <v>106</v>
      </c>
    </row>
    <row r="74" spans="1:39" ht="75" x14ac:dyDescent="0.25">
      <c r="A74" s="669"/>
      <c r="B74" s="714" t="s">
        <v>1231</v>
      </c>
      <c r="C74" s="714" t="s">
        <v>1120</v>
      </c>
      <c r="D74" s="714" t="s">
        <v>550</v>
      </c>
      <c r="E74" s="715" t="s">
        <v>1232</v>
      </c>
      <c r="F74" s="715" t="s">
        <v>1233</v>
      </c>
      <c r="G74" s="715" t="s">
        <v>1234</v>
      </c>
      <c r="H74" s="687" t="s">
        <v>1232</v>
      </c>
      <c r="I74" s="55" t="s">
        <v>1233</v>
      </c>
      <c r="J74" s="55" t="s">
        <v>1234</v>
      </c>
      <c r="K74" s="55" t="s">
        <v>1232</v>
      </c>
      <c r="L74" s="55" t="s">
        <v>1233</v>
      </c>
      <c r="M74" s="55" t="s">
        <v>1234</v>
      </c>
      <c r="N74" s="55" t="s">
        <v>1235</v>
      </c>
      <c r="O74" s="55" t="s">
        <v>1236</v>
      </c>
      <c r="P74" s="55" t="s">
        <v>1237</v>
      </c>
      <c r="Q74" s="716" t="s">
        <v>1238</v>
      </c>
      <c r="R74" s="55" t="s">
        <v>175</v>
      </c>
      <c r="S74" s="55" t="s">
        <v>290</v>
      </c>
      <c r="T74" s="55" t="s">
        <v>302</v>
      </c>
      <c r="U74" s="688" t="s">
        <v>303</v>
      </c>
      <c r="V74" s="55" t="s">
        <v>1239</v>
      </c>
      <c r="W74" s="55" t="s">
        <v>1240</v>
      </c>
      <c r="X74" s="55" t="s">
        <v>1241</v>
      </c>
      <c r="Y74" s="55" t="s">
        <v>1242</v>
      </c>
      <c r="Z74" s="717" t="s">
        <v>1243</v>
      </c>
      <c r="AA74" s="717" t="s">
        <v>1244</v>
      </c>
      <c r="AB74" s="55" t="s">
        <v>1245</v>
      </c>
      <c r="AC74" s="55" t="s">
        <v>1246</v>
      </c>
      <c r="AD74" s="55" t="s">
        <v>1247</v>
      </c>
      <c r="AE74" s="55" t="s">
        <v>1248</v>
      </c>
      <c r="AF74" s="55" t="s">
        <v>534</v>
      </c>
      <c r="AG74" s="687" t="s">
        <v>1249</v>
      </c>
      <c r="AH74" s="55" t="s">
        <v>1250</v>
      </c>
      <c r="AI74" s="929" t="s">
        <v>1251</v>
      </c>
      <c r="AJ74" s="930"/>
      <c r="AK74" s="55" t="s">
        <v>1512</v>
      </c>
      <c r="AL74" s="55" t="s">
        <v>1511</v>
      </c>
      <c r="AM74" s="55" t="s">
        <v>1252</v>
      </c>
    </row>
    <row r="75" spans="1:39" ht="18.75" x14ac:dyDescent="0.35">
      <c r="A75" s="669"/>
      <c r="B75" s="699" t="s">
        <v>54</v>
      </c>
      <c r="C75" s="718" t="s">
        <v>1253</v>
      </c>
      <c r="D75" s="60" t="s">
        <v>59</v>
      </c>
      <c r="E75" s="633" t="s">
        <v>1254</v>
      </c>
      <c r="F75" s="633" t="s">
        <v>1255</v>
      </c>
      <c r="G75" s="633" t="s">
        <v>1256</v>
      </c>
      <c r="H75" s="719" t="s">
        <v>1254</v>
      </c>
      <c r="I75" s="633" t="s">
        <v>1255</v>
      </c>
      <c r="J75" s="633" t="s">
        <v>1256</v>
      </c>
      <c r="K75" s="633" t="s">
        <v>1254</v>
      </c>
      <c r="L75" s="633" t="s">
        <v>1255</v>
      </c>
      <c r="M75" s="633" t="s">
        <v>1256</v>
      </c>
      <c r="N75" s="633" t="s">
        <v>1257</v>
      </c>
      <c r="O75" s="633" t="s">
        <v>1257</v>
      </c>
      <c r="P75" s="633" t="s">
        <v>1257</v>
      </c>
      <c r="Q75" s="61" t="s">
        <v>1258</v>
      </c>
      <c r="R75" s="633" t="s">
        <v>105</v>
      </c>
      <c r="S75" s="633" t="s">
        <v>105</v>
      </c>
      <c r="T75" s="633" t="s">
        <v>105</v>
      </c>
      <c r="U75" s="691" t="s">
        <v>105</v>
      </c>
      <c r="V75" s="633" t="s">
        <v>1053</v>
      </c>
      <c r="W75" s="633" t="s">
        <v>1053</v>
      </c>
      <c r="X75" s="633" t="s">
        <v>1053</v>
      </c>
      <c r="Y75" s="633" t="s">
        <v>1053</v>
      </c>
      <c r="Z75" s="633" t="s">
        <v>1053</v>
      </c>
      <c r="AA75" s="633" t="s">
        <v>1053</v>
      </c>
      <c r="AB75" s="633" t="s">
        <v>1053</v>
      </c>
      <c r="AC75" s="633" t="s">
        <v>1053</v>
      </c>
      <c r="AD75" s="633" t="s">
        <v>59</v>
      </c>
      <c r="AE75" s="633" t="s">
        <v>59</v>
      </c>
      <c r="AF75" s="633" t="s">
        <v>1092</v>
      </c>
      <c r="AG75" s="719" t="s">
        <v>333</v>
      </c>
      <c r="AH75" s="633" t="s">
        <v>1080</v>
      </c>
      <c r="AI75" s="918" t="s">
        <v>1336</v>
      </c>
      <c r="AJ75" s="926"/>
      <c r="AK75" s="633" t="s">
        <v>1259</v>
      </c>
      <c r="AL75" s="633" t="s">
        <v>1259</v>
      </c>
      <c r="AM75" s="633" t="s">
        <v>105</v>
      </c>
    </row>
    <row r="76" spans="1:39" x14ac:dyDescent="0.25">
      <c r="B76" s="720" t="s">
        <v>1180</v>
      </c>
      <c r="C76" s="634">
        <f>'Fuel Production'!G72</f>
        <v>0.47741294483998969</v>
      </c>
      <c r="D76" s="629">
        <v>43.744</v>
      </c>
      <c r="E76" s="627">
        <v>98300</v>
      </c>
      <c r="F76" s="629">
        <v>1</v>
      </c>
      <c r="G76" s="631">
        <v>1.5</v>
      </c>
      <c r="H76" s="721">
        <v>56100</v>
      </c>
      <c r="I76" s="629">
        <v>1</v>
      </c>
      <c r="J76" s="631">
        <v>0.1</v>
      </c>
      <c r="K76" s="627">
        <v>74100</v>
      </c>
      <c r="L76" s="629">
        <v>3</v>
      </c>
      <c r="M76" s="631">
        <v>0.6</v>
      </c>
      <c r="N76" s="631">
        <v>1</v>
      </c>
      <c r="O76" s="631">
        <v>25</v>
      </c>
      <c r="P76" s="631">
        <v>298</v>
      </c>
      <c r="Q76" s="722">
        <v>7.6999999999999999E-2</v>
      </c>
      <c r="R76" s="632">
        <v>10.1516713107873</v>
      </c>
      <c r="S76" s="632">
        <v>17.2725306244735</v>
      </c>
      <c r="T76" s="632">
        <v>71.859727827415796</v>
      </c>
      <c r="U76" s="723">
        <v>0.71607023732338604</v>
      </c>
      <c r="V76" s="632">
        <v>79.099999999999994</v>
      </c>
      <c r="W76" s="632">
        <v>1.8</v>
      </c>
      <c r="X76" s="632">
        <v>2.2000000000000002</v>
      </c>
      <c r="Y76" s="632">
        <v>16.899999999999999</v>
      </c>
      <c r="Z76" s="632">
        <v>6.5</v>
      </c>
      <c r="AA76" s="632">
        <v>5.8</v>
      </c>
      <c r="AB76" s="632">
        <v>27</v>
      </c>
      <c r="AC76" s="632">
        <v>60</v>
      </c>
      <c r="AD76" s="632">
        <v>5.45</v>
      </c>
      <c r="AE76" s="632">
        <v>1.47</v>
      </c>
      <c r="AF76" s="724">
        <v>1E-3</v>
      </c>
      <c r="AG76" s="632">
        <v>400</v>
      </c>
      <c r="AH76" s="632">
        <v>400</v>
      </c>
      <c r="AI76" s="922">
        <v>11.888</v>
      </c>
      <c r="AJ76" s="923"/>
      <c r="AK76" s="631">
        <v>0.10199999999999999</v>
      </c>
      <c r="AL76" s="631">
        <v>0.115</v>
      </c>
      <c r="AM76" s="631">
        <v>76</v>
      </c>
    </row>
    <row r="77" spans="1:39" x14ac:dyDescent="0.25">
      <c r="A77" s="116"/>
      <c r="B77" s="725" t="s">
        <v>135</v>
      </c>
      <c r="C77" s="65" t="s">
        <v>81</v>
      </c>
      <c r="D77" s="65" t="s">
        <v>1503</v>
      </c>
      <c r="E77" s="65" t="s">
        <v>1102</v>
      </c>
      <c r="F77" s="65" t="s">
        <v>1102</v>
      </c>
      <c r="G77" s="690" t="s">
        <v>1102</v>
      </c>
      <c r="H77" s="689" t="s">
        <v>1102</v>
      </c>
      <c r="I77" s="65" t="s">
        <v>1102</v>
      </c>
      <c r="J77" s="65" t="s">
        <v>1102</v>
      </c>
      <c r="K77" s="65" t="s">
        <v>1102</v>
      </c>
      <c r="L77" s="65" t="s">
        <v>1102</v>
      </c>
      <c r="M77" s="690" t="s">
        <v>1102</v>
      </c>
      <c r="N77" s="65" t="s">
        <v>1107</v>
      </c>
      <c r="O77" s="65" t="s">
        <v>1107</v>
      </c>
      <c r="P77" s="690" t="s">
        <v>1107</v>
      </c>
      <c r="Q77" s="690" t="s">
        <v>1098</v>
      </c>
      <c r="R77" s="65" t="s">
        <v>1111</v>
      </c>
      <c r="S77" s="65" t="s">
        <v>1111</v>
      </c>
      <c r="T77" s="65" t="s">
        <v>1111</v>
      </c>
      <c r="U77" s="65" t="s">
        <v>1111</v>
      </c>
      <c r="V77" s="65" t="s">
        <v>1112</v>
      </c>
      <c r="W77" s="65" t="s">
        <v>1112</v>
      </c>
      <c r="X77" s="65" t="s">
        <v>1112</v>
      </c>
      <c r="Y77" s="690" t="s">
        <v>1112</v>
      </c>
      <c r="Z77" s="65" t="s">
        <v>1112</v>
      </c>
      <c r="AA77" s="65" t="s">
        <v>1112</v>
      </c>
      <c r="AB77" s="65" t="s">
        <v>1112</v>
      </c>
      <c r="AC77" s="690" t="s">
        <v>1112</v>
      </c>
      <c r="AD77" s="65" t="s">
        <v>1114</v>
      </c>
      <c r="AE77" s="65" t="s">
        <v>1114</v>
      </c>
      <c r="AF77" s="65" t="s">
        <v>1115</v>
      </c>
      <c r="AG77" s="690" t="s">
        <v>1112</v>
      </c>
      <c r="AH77" s="65" t="s">
        <v>1112</v>
      </c>
      <c r="AI77" s="924" t="s">
        <v>1116</v>
      </c>
      <c r="AJ77" s="925"/>
      <c r="AK77" s="65" t="s">
        <v>1148</v>
      </c>
      <c r="AL77" s="65" t="s">
        <v>1148</v>
      </c>
      <c r="AM77" s="690" t="s">
        <v>1212</v>
      </c>
    </row>
    <row r="78" spans="1:39" ht="60" x14ac:dyDescent="0.25">
      <c r="A78" s="591"/>
      <c r="B78" s="894" t="s">
        <v>1260</v>
      </c>
      <c r="C78" s="726"/>
      <c r="D78" s="726" t="s">
        <v>1483</v>
      </c>
      <c r="E78" s="878" t="s">
        <v>1261</v>
      </c>
      <c r="F78" s="879"/>
      <c r="G78" s="879"/>
      <c r="H78" s="879"/>
      <c r="I78" s="879"/>
      <c r="J78" s="879"/>
      <c r="K78" s="879"/>
      <c r="L78" s="879"/>
      <c r="M78" s="880"/>
      <c r="N78" s="881" t="s">
        <v>1262</v>
      </c>
      <c r="O78" s="882"/>
      <c r="P78" s="883"/>
      <c r="Q78" s="887" t="s">
        <v>1263</v>
      </c>
      <c r="R78" s="878" t="s">
        <v>1264</v>
      </c>
      <c r="S78" s="879"/>
      <c r="T78" s="879"/>
      <c r="U78" s="880"/>
      <c r="V78" s="729" t="s">
        <v>1265</v>
      </c>
      <c r="W78" s="727" t="s">
        <v>1266</v>
      </c>
      <c r="X78" s="729" t="s">
        <v>1267</v>
      </c>
      <c r="Y78" s="728" t="s">
        <v>1268</v>
      </c>
      <c r="Z78" s="878" t="s">
        <v>1269</v>
      </c>
      <c r="AA78" s="879"/>
      <c r="AB78" s="879"/>
      <c r="AC78" s="880"/>
      <c r="AD78" s="887" t="s">
        <v>1270</v>
      </c>
      <c r="AE78" s="887" t="s">
        <v>1271</v>
      </c>
      <c r="AF78" s="931" t="s">
        <v>1272</v>
      </c>
      <c r="AG78" s="729" t="s">
        <v>1273</v>
      </c>
      <c r="AH78" s="729" t="s">
        <v>1274</v>
      </c>
      <c r="AI78" s="878" t="s">
        <v>1275</v>
      </c>
      <c r="AJ78" s="880"/>
      <c r="AK78" s="927" t="s">
        <v>1515</v>
      </c>
      <c r="AL78" s="927" t="s">
        <v>1516</v>
      </c>
      <c r="AM78" s="927" t="s">
        <v>1276</v>
      </c>
    </row>
    <row r="79" spans="1:39" ht="60" x14ac:dyDescent="0.25">
      <c r="A79" s="591"/>
      <c r="B79" s="895"/>
      <c r="C79" s="730" t="s">
        <v>1277</v>
      </c>
      <c r="D79" s="730" t="s">
        <v>1278</v>
      </c>
      <c r="E79" s="89"/>
      <c r="F79" s="41"/>
      <c r="G79" s="41"/>
      <c r="H79" s="41"/>
      <c r="I79" s="41"/>
      <c r="J79" s="41"/>
      <c r="K79" s="41"/>
      <c r="L79" s="41"/>
      <c r="M79" s="25"/>
      <c r="N79" s="884"/>
      <c r="O79" s="885"/>
      <c r="P79" s="886"/>
      <c r="Q79" s="888"/>
      <c r="R79" s="889"/>
      <c r="S79" s="890"/>
      <c r="T79" s="890"/>
      <c r="U79" s="891"/>
      <c r="V79" s="731"/>
      <c r="W79" s="732"/>
      <c r="X79" s="731"/>
      <c r="Y79" s="733"/>
      <c r="Z79" s="884" t="s">
        <v>1279</v>
      </c>
      <c r="AA79" s="885"/>
      <c r="AB79" s="885"/>
      <c r="AC79" s="886"/>
      <c r="AD79" s="888"/>
      <c r="AE79" s="888"/>
      <c r="AF79" s="932"/>
      <c r="AG79" s="734"/>
      <c r="AH79" s="731"/>
      <c r="AI79" s="889" t="s">
        <v>1280</v>
      </c>
      <c r="AJ79" s="891"/>
      <c r="AK79" s="928"/>
      <c r="AL79" s="928"/>
      <c r="AM79" s="928"/>
    </row>
    <row r="80" spans="1:39" x14ac:dyDescent="0.25">
      <c r="A80" s="591"/>
      <c r="B80" s="497"/>
      <c r="C80" s="497"/>
      <c r="D80" s="497"/>
      <c r="E80" s="497"/>
      <c r="F80" s="497"/>
      <c r="G80" s="497"/>
      <c r="H80" s="497"/>
      <c r="I80" s="497"/>
      <c r="J80" s="497"/>
      <c r="K80" s="497"/>
      <c r="L80" s="497"/>
      <c r="M80" s="497"/>
      <c r="N80" s="497"/>
      <c r="O80" s="497"/>
      <c r="P80" s="497"/>
      <c r="Q80" s="497"/>
      <c r="R80" s="497"/>
      <c r="S80" s="696"/>
      <c r="T80" s="497"/>
      <c r="U80" s="497"/>
    </row>
    <row r="81" spans="1:60" x14ac:dyDescent="0.25">
      <c r="B81" s="28" t="s">
        <v>82</v>
      </c>
    </row>
    <row r="82" spans="1:60" x14ac:dyDescent="0.25">
      <c r="A82" s="112" t="s">
        <v>83</v>
      </c>
      <c r="B82" s="30" t="s">
        <v>84</v>
      </c>
      <c r="C82" s="30"/>
      <c r="D82" s="30"/>
      <c r="E82" s="30"/>
      <c r="F82" s="30"/>
      <c r="G82" s="30"/>
      <c r="H82" s="30"/>
      <c r="I82" s="30"/>
      <c r="J82" s="30"/>
      <c r="K82" s="30"/>
      <c r="L82" s="30"/>
      <c r="M82" s="30"/>
      <c r="N82" s="30"/>
      <c r="O82" s="30"/>
      <c r="P82" s="30"/>
      <c r="Q82" s="30"/>
      <c r="R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row>
    <row r="83" spans="1:60" x14ac:dyDescent="0.25">
      <c r="A83" s="112" t="s">
        <v>85</v>
      </c>
      <c r="B83" s="31" t="s">
        <v>86</v>
      </c>
      <c r="C83" s="30"/>
      <c r="D83" s="30"/>
      <c r="E83" s="30"/>
      <c r="F83" s="30"/>
      <c r="G83" s="30"/>
      <c r="H83" s="30"/>
      <c r="I83" s="30"/>
      <c r="J83" s="30"/>
      <c r="K83" s="30"/>
      <c r="L83" s="30"/>
      <c r="M83" s="30"/>
      <c r="N83" s="30"/>
      <c r="O83" s="30"/>
      <c r="P83" s="30"/>
      <c r="Q83" s="30"/>
      <c r="R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row>
    <row r="84" spans="1:60" x14ac:dyDescent="0.25">
      <c r="A84" s="112" t="s">
        <v>139</v>
      </c>
      <c r="B84" s="31" t="s">
        <v>141</v>
      </c>
      <c r="C84" s="30"/>
      <c r="D84" s="30"/>
      <c r="E84" s="30"/>
      <c r="F84" s="30"/>
      <c r="G84" s="30"/>
      <c r="H84" s="30"/>
      <c r="I84" s="30"/>
      <c r="J84" s="30"/>
      <c r="K84" s="30"/>
      <c r="L84" s="30"/>
      <c r="M84" s="30"/>
      <c r="N84" s="30"/>
      <c r="O84" s="30"/>
      <c r="P84" s="30"/>
      <c r="Q84" s="30"/>
      <c r="R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row>
    <row r="85" spans="1:60" x14ac:dyDescent="0.25">
      <c r="A85" s="112" t="s">
        <v>57</v>
      </c>
      <c r="B85" s="30" t="s">
        <v>104</v>
      </c>
      <c r="C85" s="30"/>
      <c r="D85" s="30"/>
      <c r="E85" s="30"/>
      <c r="F85" s="30"/>
      <c r="G85" s="30"/>
      <c r="H85" s="30"/>
      <c r="I85" s="30"/>
      <c r="J85" s="30"/>
      <c r="K85" s="30"/>
      <c r="L85" s="30"/>
      <c r="M85" s="30"/>
      <c r="N85" s="30"/>
      <c r="O85" s="30"/>
      <c r="P85" s="30"/>
      <c r="Q85" s="30"/>
      <c r="R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row>
    <row r="86" spans="1:60" x14ac:dyDescent="0.25">
      <c r="A86" s="112" t="s">
        <v>87</v>
      </c>
      <c r="B86" s="30" t="s">
        <v>103</v>
      </c>
      <c r="C86" s="30"/>
      <c r="D86" s="30"/>
      <c r="E86" s="30"/>
      <c r="F86" s="30"/>
      <c r="G86" s="30"/>
      <c r="H86" s="30"/>
      <c r="I86" s="30"/>
      <c r="J86" s="30"/>
      <c r="K86" s="30"/>
      <c r="L86" s="30"/>
      <c r="M86" s="30"/>
      <c r="N86" s="30"/>
      <c r="O86" s="30"/>
      <c r="P86" s="30"/>
      <c r="Q86" s="30"/>
      <c r="R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row>
    <row r="87" spans="1:60" x14ac:dyDescent="0.25">
      <c r="A87" s="112" t="s">
        <v>80</v>
      </c>
      <c r="B87" s="30" t="s">
        <v>101</v>
      </c>
      <c r="C87" s="30"/>
      <c r="D87" s="30"/>
      <c r="E87" s="30"/>
      <c r="F87" s="30"/>
      <c r="G87" s="30"/>
      <c r="H87" s="30"/>
      <c r="I87" s="30"/>
      <c r="J87" s="30"/>
      <c r="K87" s="30"/>
      <c r="L87" s="30"/>
      <c r="M87" s="30"/>
      <c r="N87" s="30"/>
      <c r="O87" s="30"/>
      <c r="P87" s="30"/>
      <c r="Q87" s="30"/>
      <c r="R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row>
    <row r="88" spans="1:60" x14ac:dyDescent="0.25">
      <c r="A88" s="112" t="s">
        <v>76</v>
      </c>
      <c r="B88" s="30" t="s">
        <v>102</v>
      </c>
      <c r="C88" s="30"/>
      <c r="D88" s="30"/>
      <c r="E88" s="30"/>
      <c r="F88" s="30"/>
      <c r="G88" s="30"/>
      <c r="H88" s="30"/>
      <c r="I88" s="30"/>
      <c r="J88" s="30"/>
      <c r="K88" s="30"/>
      <c r="L88" s="30"/>
      <c r="M88" s="30"/>
      <c r="N88" s="30"/>
      <c r="O88" s="30"/>
      <c r="P88" s="30"/>
      <c r="Q88" s="30"/>
      <c r="R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row>
    <row r="89" spans="1:60" x14ac:dyDescent="0.25">
      <c r="A89" s="112" t="s">
        <v>77</v>
      </c>
      <c r="B89" s="30" t="s">
        <v>94</v>
      </c>
      <c r="C89" s="30"/>
      <c r="D89" s="30"/>
      <c r="E89" s="30"/>
      <c r="F89" s="30"/>
      <c r="G89" s="30"/>
      <c r="H89" s="30"/>
      <c r="I89" s="30"/>
      <c r="J89" s="30"/>
      <c r="K89" s="30"/>
      <c r="L89" s="30"/>
      <c r="M89" s="30"/>
      <c r="N89" s="30"/>
      <c r="O89" s="30"/>
      <c r="P89" s="30"/>
      <c r="Q89" s="30"/>
      <c r="R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row>
    <row r="90" spans="1:60" x14ac:dyDescent="0.25">
      <c r="A90" s="112" t="s">
        <v>91</v>
      </c>
      <c r="B90" s="30" t="s">
        <v>1128</v>
      </c>
      <c r="C90" s="30"/>
      <c r="D90" s="30"/>
      <c r="E90" s="30"/>
      <c r="F90" s="30"/>
      <c r="G90" s="30"/>
      <c r="H90" s="30"/>
      <c r="I90" s="30"/>
      <c r="J90" s="30"/>
      <c r="K90" s="30"/>
      <c r="L90" s="30"/>
      <c r="M90" s="30"/>
      <c r="N90" s="30"/>
      <c r="O90" s="30"/>
      <c r="P90" s="30"/>
      <c r="Q90" s="30"/>
      <c r="R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row>
    <row r="91" spans="1:60" x14ac:dyDescent="0.25">
      <c r="A91" s="764" t="s">
        <v>71</v>
      </c>
      <c r="B91" s="50" t="s">
        <v>1403</v>
      </c>
      <c r="C91" s="30"/>
      <c r="D91" s="30"/>
      <c r="E91" s="30"/>
      <c r="F91" s="30"/>
      <c r="G91" s="30"/>
      <c r="H91" s="30"/>
      <c r="I91" s="30"/>
      <c r="J91" s="30"/>
      <c r="K91" s="30" t="s">
        <v>1404</v>
      </c>
      <c r="L91" s="30"/>
      <c r="M91" s="30"/>
      <c r="N91" s="30"/>
      <c r="O91" s="30"/>
      <c r="P91" s="30"/>
      <c r="Q91" s="30"/>
      <c r="R91" s="30" t="s">
        <v>1405</v>
      </c>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row>
    <row r="92" spans="1:60" x14ac:dyDescent="0.25">
      <c r="A92" s="112" t="s">
        <v>58</v>
      </c>
      <c r="B92" s="30" t="s">
        <v>100</v>
      </c>
      <c r="C92" s="30"/>
      <c r="D92" s="30"/>
      <c r="E92" s="30"/>
      <c r="F92" s="30"/>
      <c r="G92" s="30"/>
      <c r="H92" s="30"/>
      <c r="I92" s="30"/>
      <c r="J92" s="30"/>
      <c r="K92" s="30"/>
      <c r="L92" s="30"/>
      <c r="M92" s="30"/>
      <c r="N92" s="30"/>
      <c r="O92" s="30"/>
      <c r="P92" s="30"/>
      <c r="Q92" s="30"/>
      <c r="R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row>
    <row r="93" spans="1:60" x14ac:dyDescent="0.25">
      <c r="A93" s="112" t="s">
        <v>60</v>
      </c>
      <c r="B93" s="31" t="s">
        <v>90</v>
      </c>
      <c r="C93" s="30"/>
      <c r="D93" s="30"/>
      <c r="E93" s="30"/>
      <c r="F93" s="30"/>
      <c r="G93" s="30"/>
      <c r="H93" s="30"/>
      <c r="I93" s="30"/>
      <c r="J93" s="30"/>
      <c r="K93" s="30"/>
      <c r="L93" s="30"/>
      <c r="M93" s="30"/>
      <c r="N93" s="30"/>
      <c r="O93" s="30"/>
      <c r="P93" s="30"/>
      <c r="Q93" s="30"/>
      <c r="R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row>
    <row r="94" spans="1:60" x14ac:dyDescent="0.25">
      <c r="A94" s="112" t="s">
        <v>67</v>
      </c>
      <c r="B94" s="30" t="s">
        <v>92</v>
      </c>
      <c r="C94" s="30"/>
      <c r="D94" s="30"/>
      <c r="E94" s="30"/>
      <c r="F94" s="30"/>
      <c r="G94" s="30"/>
      <c r="H94" s="30"/>
      <c r="I94" s="30"/>
      <c r="J94" s="30"/>
      <c r="K94" s="30"/>
      <c r="L94" s="30"/>
      <c r="M94" s="30"/>
      <c r="N94" s="30"/>
      <c r="O94" s="30"/>
      <c r="P94" s="30"/>
      <c r="Q94" s="30"/>
      <c r="R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row>
    <row r="95" spans="1:60" x14ac:dyDescent="0.25">
      <c r="A95" s="112" t="s">
        <v>73</v>
      </c>
      <c r="B95" s="30" t="s">
        <v>93</v>
      </c>
      <c r="C95" s="30"/>
      <c r="D95" s="30"/>
      <c r="E95" s="30"/>
      <c r="F95" s="30"/>
      <c r="G95" s="30"/>
      <c r="H95" s="30"/>
      <c r="I95" s="30"/>
      <c r="J95" s="30"/>
      <c r="K95" s="30"/>
      <c r="L95" s="30"/>
      <c r="M95" s="30"/>
      <c r="N95" s="30"/>
      <c r="O95" s="30"/>
      <c r="P95" s="30"/>
      <c r="Q95" s="30"/>
      <c r="R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row>
    <row r="96" spans="1:60" x14ac:dyDescent="0.25">
      <c r="A96" s="112" t="s">
        <v>96</v>
      </c>
      <c r="B96" s="30" t="s">
        <v>95</v>
      </c>
      <c r="C96" s="30"/>
      <c r="D96" s="30"/>
      <c r="E96" s="30"/>
      <c r="F96" s="30"/>
      <c r="G96" s="30"/>
      <c r="H96" s="30"/>
      <c r="I96" s="30"/>
      <c r="J96" s="30"/>
      <c r="K96" s="30"/>
      <c r="L96" s="30"/>
      <c r="M96" s="30"/>
      <c r="N96" s="30"/>
      <c r="O96" s="30"/>
      <c r="P96" s="30"/>
      <c r="Q96" s="30"/>
      <c r="R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row>
    <row r="97" spans="1:60" x14ac:dyDescent="0.25">
      <c r="A97" s="113" t="s">
        <v>98</v>
      </c>
      <c r="B97" s="32" t="s">
        <v>88</v>
      </c>
      <c r="C97" s="30"/>
      <c r="D97" s="30"/>
      <c r="E97" s="30"/>
      <c r="F97" s="30"/>
      <c r="G97" s="30"/>
      <c r="H97" s="30"/>
      <c r="I97" s="30"/>
      <c r="J97" s="30"/>
      <c r="K97" s="30"/>
      <c r="L97" s="30"/>
      <c r="M97" s="30"/>
      <c r="N97" s="30"/>
      <c r="O97" s="30"/>
      <c r="P97" s="30"/>
      <c r="Q97" s="30"/>
      <c r="R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row>
    <row r="98" spans="1:60" x14ac:dyDescent="0.25">
      <c r="A98" s="113" t="s">
        <v>56</v>
      </c>
      <c r="B98" s="31" t="s">
        <v>89</v>
      </c>
      <c r="C98" s="30"/>
      <c r="D98" s="30"/>
      <c r="E98" s="30"/>
      <c r="F98" s="30"/>
      <c r="G98" s="30"/>
      <c r="H98" s="30"/>
      <c r="I98" s="30"/>
      <c r="J98" s="30"/>
      <c r="K98" s="30"/>
      <c r="L98" s="30"/>
      <c r="M98" s="30"/>
      <c r="N98" s="30"/>
      <c r="O98" s="30"/>
      <c r="P98" s="30"/>
      <c r="Q98" s="30"/>
      <c r="R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row>
    <row r="99" spans="1:60" x14ac:dyDescent="0.25">
      <c r="A99" s="112" t="s">
        <v>140</v>
      </c>
      <c r="B99" s="30" t="s">
        <v>171</v>
      </c>
      <c r="C99" s="30"/>
      <c r="D99" s="30"/>
      <c r="E99" s="30"/>
      <c r="F99" s="30"/>
      <c r="G99" s="30"/>
      <c r="H99" s="30"/>
      <c r="I99" s="30"/>
      <c r="J99" s="30"/>
      <c r="K99" s="30"/>
      <c r="L99" s="30"/>
      <c r="M99" s="30"/>
      <c r="N99" s="30"/>
      <c r="O99" s="30"/>
      <c r="P99" s="30"/>
      <c r="Q99" s="30"/>
      <c r="R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row>
    <row r="100" spans="1:60" x14ac:dyDescent="0.25">
      <c r="A100" s="112" t="s">
        <v>61</v>
      </c>
      <c r="B100" s="30" t="s">
        <v>97</v>
      </c>
      <c r="C100" s="30"/>
      <c r="D100" s="30"/>
      <c r="E100" s="30"/>
      <c r="F100" s="30"/>
      <c r="G100" s="30"/>
      <c r="H100" s="30"/>
      <c r="I100" s="30"/>
      <c r="J100" s="30"/>
      <c r="K100" s="30"/>
      <c r="L100" s="30"/>
      <c r="M100" s="30"/>
      <c r="N100" s="30"/>
      <c r="O100" s="30"/>
      <c r="P100" s="30"/>
      <c r="Q100" s="30"/>
      <c r="R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row>
    <row r="101" spans="1:60" x14ac:dyDescent="0.25">
      <c r="A101" s="112" t="s">
        <v>64</v>
      </c>
      <c r="B101" s="31" t="s">
        <v>99</v>
      </c>
      <c r="C101" s="30"/>
      <c r="D101" s="30"/>
      <c r="E101" s="30"/>
      <c r="F101" s="30"/>
      <c r="G101" s="30"/>
      <c r="H101" s="30"/>
      <c r="I101" s="30"/>
      <c r="J101" s="30"/>
      <c r="K101" s="30"/>
      <c r="L101" s="30"/>
      <c r="M101" s="30"/>
      <c r="N101" s="30"/>
      <c r="O101" s="30"/>
      <c r="P101" s="30"/>
      <c r="Q101" s="30"/>
      <c r="R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row>
    <row r="102" spans="1:60" x14ac:dyDescent="0.25">
      <c r="A102" s="112"/>
      <c r="B102" s="80"/>
      <c r="C102" s="30"/>
      <c r="D102" s="30"/>
      <c r="E102" s="30"/>
      <c r="F102" s="30"/>
      <c r="G102" s="30"/>
      <c r="H102" s="30"/>
      <c r="I102" s="30"/>
      <c r="J102" s="30"/>
      <c r="K102" s="30"/>
      <c r="L102" s="30"/>
      <c r="M102" s="30"/>
      <c r="N102" s="30"/>
      <c r="O102" s="30"/>
      <c r="P102" s="30"/>
      <c r="Q102" s="30"/>
      <c r="R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row>
    <row r="103" spans="1:60" x14ac:dyDescent="0.25">
      <c r="A103" s="112" t="s">
        <v>159</v>
      </c>
      <c r="B103" s="30" t="s">
        <v>161</v>
      </c>
      <c r="C103" s="30"/>
      <c r="D103" s="30"/>
      <c r="E103" s="30"/>
      <c r="F103" s="30"/>
      <c r="G103" s="30"/>
      <c r="H103" s="30"/>
      <c r="I103" s="30"/>
      <c r="J103" s="30"/>
      <c r="K103" s="30"/>
      <c r="L103" s="30"/>
      <c r="M103" s="30"/>
      <c r="N103" s="30"/>
      <c r="O103" s="30"/>
      <c r="P103" s="30"/>
      <c r="Q103" s="30"/>
      <c r="R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row>
    <row r="104" spans="1:60" x14ac:dyDescent="0.25">
      <c r="A104" s="112" t="s">
        <v>164</v>
      </c>
      <c r="B104" s="50" t="s">
        <v>168</v>
      </c>
      <c r="C104" s="30"/>
      <c r="D104" s="30"/>
      <c r="E104" s="30"/>
      <c r="F104" s="30"/>
      <c r="G104" s="30"/>
      <c r="H104" s="30"/>
      <c r="I104" s="30"/>
      <c r="J104" s="30"/>
      <c r="K104" s="30"/>
      <c r="L104" s="30"/>
      <c r="M104" s="30"/>
      <c r="N104" s="30"/>
      <c r="O104" s="30"/>
      <c r="P104" s="30"/>
      <c r="Q104" s="30"/>
      <c r="R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row>
    <row r="105" spans="1:60" x14ac:dyDescent="0.25">
      <c r="A105" s="112" t="s">
        <v>183</v>
      </c>
      <c r="B105" s="30" t="s">
        <v>184</v>
      </c>
      <c r="C105" s="30"/>
      <c r="D105" s="30"/>
      <c r="E105" s="30"/>
      <c r="F105" s="30"/>
      <c r="G105" s="30"/>
      <c r="H105" s="30"/>
      <c r="I105" s="30"/>
      <c r="J105" s="30"/>
      <c r="K105" s="30"/>
      <c r="L105" s="30"/>
      <c r="M105" s="30"/>
      <c r="N105" s="30"/>
      <c r="O105" s="30"/>
      <c r="P105" s="30"/>
      <c r="Q105" s="30"/>
      <c r="R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row>
    <row r="106" spans="1:60" x14ac:dyDescent="0.25">
      <c r="A106" s="112" t="s">
        <v>185</v>
      </c>
      <c r="B106" s="30" t="s">
        <v>186</v>
      </c>
      <c r="C106" s="30"/>
      <c r="D106" s="30"/>
      <c r="E106" s="30"/>
      <c r="F106" s="30"/>
      <c r="G106" s="30"/>
      <c r="H106" s="30"/>
      <c r="I106" s="30"/>
      <c r="J106" s="30"/>
      <c r="K106" s="30"/>
      <c r="L106" s="30"/>
      <c r="M106" s="30"/>
      <c r="N106" s="30"/>
      <c r="O106" s="30"/>
      <c r="P106" s="30"/>
      <c r="Q106" s="30"/>
      <c r="R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row>
    <row r="107" spans="1:60" x14ac:dyDescent="0.25">
      <c r="A107" s="112" t="s">
        <v>187</v>
      </c>
      <c r="B107" s="30" t="s">
        <v>188</v>
      </c>
      <c r="C107" s="30"/>
      <c r="D107" s="30"/>
      <c r="E107" s="30"/>
      <c r="F107" s="30"/>
      <c r="G107" s="30"/>
      <c r="H107" s="30"/>
      <c r="I107" s="30"/>
      <c r="J107" s="30"/>
      <c r="K107" s="30"/>
      <c r="L107" s="30"/>
      <c r="M107" s="30"/>
      <c r="N107" s="30"/>
      <c r="O107" s="30"/>
      <c r="P107" s="30"/>
      <c r="Q107" s="30"/>
      <c r="R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row>
    <row r="108" spans="1:60" x14ac:dyDescent="0.25">
      <c r="A108" s="112" t="s">
        <v>190</v>
      </c>
      <c r="B108" s="30" t="s">
        <v>189</v>
      </c>
      <c r="C108" s="30"/>
      <c r="D108" s="30"/>
      <c r="E108" s="30"/>
      <c r="F108" s="30"/>
      <c r="G108" s="30"/>
      <c r="H108" s="30"/>
      <c r="I108" s="30"/>
      <c r="J108" s="30"/>
      <c r="K108" s="30"/>
      <c r="L108" s="30"/>
      <c r="M108" s="30"/>
      <c r="N108" s="30"/>
      <c r="O108" s="30"/>
      <c r="P108" s="30"/>
      <c r="Q108" s="30"/>
      <c r="R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row>
    <row r="109" spans="1:60" x14ac:dyDescent="0.25">
      <c r="A109" s="16" t="s">
        <v>209</v>
      </c>
      <c r="B109" s="31" t="s">
        <v>203</v>
      </c>
      <c r="C109" s="30"/>
      <c r="D109" s="30"/>
      <c r="E109" s="30"/>
      <c r="F109" s="30"/>
      <c r="G109" s="30"/>
      <c r="H109" s="30"/>
      <c r="I109" s="30"/>
      <c r="J109" s="30"/>
      <c r="K109" s="30"/>
      <c r="L109" s="30"/>
      <c r="M109" s="30"/>
      <c r="N109" s="30"/>
      <c r="O109" s="30"/>
      <c r="P109" s="30"/>
      <c r="Q109" s="30"/>
      <c r="R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row>
    <row r="110" spans="1:60" x14ac:dyDescent="0.25">
      <c r="A110" s="16" t="s">
        <v>210</v>
      </c>
      <c r="B110" s="31" t="s">
        <v>204</v>
      </c>
      <c r="C110" s="30"/>
      <c r="D110" s="30"/>
      <c r="E110" s="30"/>
      <c r="F110" s="30"/>
      <c r="G110" s="30"/>
      <c r="H110" s="30"/>
      <c r="I110" s="30"/>
      <c r="J110" s="30"/>
      <c r="K110" s="30"/>
      <c r="L110" s="30"/>
      <c r="M110" s="30"/>
      <c r="N110" s="30"/>
      <c r="O110" s="30"/>
      <c r="P110" s="30"/>
      <c r="Q110" s="30"/>
      <c r="R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row>
    <row r="111" spans="1:60" x14ac:dyDescent="0.25">
      <c r="A111" s="16" t="s">
        <v>211</v>
      </c>
      <c r="B111" s="31" t="s">
        <v>205</v>
      </c>
      <c r="C111" s="30"/>
      <c r="D111" s="30"/>
      <c r="E111" s="30"/>
      <c r="F111" s="30"/>
      <c r="G111" s="30"/>
      <c r="H111" s="30"/>
      <c r="I111" s="30"/>
      <c r="J111" s="30"/>
      <c r="K111" s="30"/>
      <c r="L111" s="30"/>
      <c r="M111" s="30"/>
      <c r="N111" s="30"/>
      <c r="O111" s="30"/>
      <c r="P111" s="30"/>
      <c r="Q111" s="30"/>
      <c r="R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row>
    <row r="112" spans="1:60" x14ac:dyDescent="0.25">
      <c r="A112" s="16" t="s">
        <v>212</v>
      </c>
      <c r="B112" s="31" t="s">
        <v>206</v>
      </c>
      <c r="C112" s="30"/>
      <c r="D112" s="30"/>
      <c r="E112" s="30"/>
      <c r="F112" s="30"/>
      <c r="G112" s="30"/>
      <c r="H112" s="30"/>
      <c r="I112" s="30"/>
      <c r="J112" s="30"/>
      <c r="K112" s="30"/>
      <c r="L112" s="30"/>
      <c r="M112" s="30"/>
      <c r="N112" s="30"/>
      <c r="O112" s="30"/>
      <c r="P112" s="30"/>
      <c r="Q112" s="30"/>
      <c r="R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row>
    <row r="113" spans="1:75" x14ac:dyDescent="0.25">
      <c r="A113" s="112" t="s">
        <v>213</v>
      </c>
      <c r="B113" s="31" t="s">
        <v>207</v>
      </c>
      <c r="C113" s="30"/>
      <c r="D113" s="30"/>
      <c r="E113" s="30"/>
      <c r="F113" s="30"/>
      <c r="G113" s="30"/>
      <c r="H113" s="30"/>
      <c r="I113" s="30"/>
      <c r="J113" s="30"/>
      <c r="K113" s="30"/>
      <c r="L113" s="30"/>
      <c r="M113" s="30"/>
      <c r="N113" s="30"/>
      <c r="O113" s="30"/>
      <c r="P113" s="30"/>
      <c r="Q113" s="30"/>
      <c r="R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row>
    <row r="114" spans="1:75" x14ac:dyDescent="0.25">
      <c r="A114" s="112" t="s">
        <v>214</v>
      </c>
      <c r="B114" s="31" t="s">
        <v>208</v>
      </c>
      <c r="C114" s="30"/>
      <c r="D114" s="30"/>
      <c r="E114" s="30"/>
      <c r="F114" s="30"/>
      <c r="G114" s="30"/>
      <c r="H114" s="30"/>
      <c r="I114" s="30"/>
      <c r="J114" s="30"/>
      <c r="K114" s="30"/>
      <c r="L114" s="30"/>
      <c r="M114" s="30"/>
      <c r="N114" s="30"/>
      <c r="O114" s="30"/>
      <c r="P114" s="30"/>
      <c r="Q114" s="30"/>
      <c r="R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row>
    <row r="115" spans="1:75" x14ac:dyDescent="0.25">
      <c r="A115" s="30"/>
      <c r="B115" s="30"/>
      <c r="C115" s="30"/>
      <c r="D115" s="30"/>
      <c r="E115" s="30"/>
      <c r="F115" s="30"/>
      <c r="G115" s="30"/>
      <c r="H115" s="30"/>
      <c r="I115" s="30"/>
      <c r="J115" s="30"/>
      <c r="K115" s="30"/>
      <c r="L115" s="30"/>
      <c r="M115" s="30"/>
      <c r="N115" s="30"/>
      <c r="O115" s="30"/>
      <c r="P115" s="30"/>
      <c r="Q115" s="30"/>
      <c r="R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row>
    <row r="116" spans="1:75" x14ac:dyDescent="0.25">
      <c r="A116" s="112" t="s">
        <v>1096</v>
      </c>
      <c r="B116" s="30" t="s">
        <v>1097</v>
      </c>
      <c r="C116" s="30" t="s">
        <v>1101</v>
      </c>
      <c r="D116" s="30"/>
      <c r="E116" s="30"/>
      <c r="F116" s="30"/>
      <c r="G116" s="30"/>
      <c r="H116" s="30"/>
      <c r="I116" s="30"/>
      <c r="J116" s="30"/>
      <c r="K116" s="30"/>
      <c r="L116" s="30"/>
      <c r="M116" s="30"/>
      <c r="N116" s="30"/>
      <c r="O116" s="30"/>
      <c r="P116" s="30"/>
      <c r="Q116" s="30"/>
      <c r="R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row>
    <row r="117" spans="1:75" x14ac:dyDescent="0.25">
      <c r="A117" s="112" t="s">
        <v>1098</v>
      </c>
      <c r="B117" s="630" t="s">
        <v>1105</v>
      </c>
      <c r="D117" s="30"/>
    </row>
    <row r="118" spans="1:75" x14ac:dyDescent="0.25">
      <c r="A118" s="24" t="s">
        <v>1102</v>
      </c>
      <c r="B118" t="s">
        <v>1106</v>
      </c>
      <c r="D118" s="30" t="s">
        <v>606</v>
      </c>
    </row>
    <row r="119" spans="1:75" x14ac:dyDescent="0.25">
      <c r="A119" s="24" t="s">
        <v>1107</v>
      </c>
      <c r="B119" t="s">
        <v>1110</v>
      </c>
      <c r="D119" s="31" t="s">
        <v>619</v>
      </c>
    </row>
    <row r="120" spans="1:75" x14ac:dyDescent="0.25">
      <c r="A120" s="24" t="s">
        <v>1111</v>
      </c>
      <c r="B120" s="30" t="s">
        <v>1108</v>
      </c>
    </row>
    <row r="121" spans="1:75" x14ac:dyDescent="0.25">
      <c r="A121" s="24" t="s">
        <v>1112</v>
      </c>
      <c r="B121" s="30" t="s">
        <v>356</v>
      </c>
    </row>
    <row r="122" spans="1:75" x14ac:dyDescent="0.25">
      <c r="A122" s="24" t="s">
        <v>1114</v>
      </c>
      <c r="B122" s="30" t="s">
        <v>365</v>
      </c>
    </row>
    <row r="123" spans="1:75" x14ac:dyDescent="0.25">
      <c r="A123" s="24" t="s">
        <v>1115</v>
      </c>
      <c r="B123" s="30" t="s">
        <v>368</v>
      </c>
    </row>
    <row r="124" spans="1:75" x14ac:dyDescent="0.25">
      <c r="A124" s="112" t="s">
        <v>1116</v>
      </c>
      <c r="B124" s="30" t="s">
        <v>1451</v>
      </c>
      <c r="C124" s="30"/>
      <c r="D124" s="30"/>
      <c r="E124" s="30"/>
      <c r="F124" s="30"/>
      <c r="G124" s="30"/>
      <c r="H124" s="30"/>
      <c r="I124" s="30"/>
      <c r="J124" s="30"/>
      <c r="K124" s="30"/>
      <c r="L124" s="30"/>
      <c r="M124" s="30"/>
      <c r="N124" s="30"/>
      <c r="O124" s="30"/>
      <c r="P124" s="30"/>
      <c r="Q124" s="30"/>
      <c r="R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row>
    <row r="125" spans="1:75" x14ac:dyDescent="0.25">
      <c r="BI125" s="30"/>
      <c r="BJ125" s="30"/>
      <c r="BK125" s="30"/>
      <c r="BL125" s="30"/>
      <c r="BM125" s="30"/>
      <c r="BN125" s="30"/>
      <c r="BO125" s="30"/>
      <c r="BP125" s="30"/>
      <c r="BQ125" s="30"/>
      <c r="BR125" s="30"/>
      <c r="BS125" s="30"/>
      <c r="BT125" s="30"/>
      <c r="BU125" s="30"/>
      <c r="BV125" s="30"/>
      <c r="BW125" s="30"/>
    </row>
    <row r="126" spans="1:75" x14ac:dyDescent="0.25">
      <c r="A126" s="24" t="s">
        <v>1142</v>
      </c>
      <c r="B126" s="30" t="s">
        <v>1143</v>
      </c>
      <c r="BI126" s="30"/>
      <c r="BJ126" s="30"/>
      <c r="BK126" s="30"/>
      <c r="BL126" s="30"/>
      <c r="BM126" s="30"/>
      <c r="BN126" s="30"/>
      <c r="BO126" s="30"/>
      <c r="BP126" s="30"/>
      <c r="BQ126" s="30"/>
      <c r="BR126" s="30"/>
      <c r="BS126" s="30"/>
      <c r="BT126" s="30"/>
      <c r="BU126" s="30"/>
      <c r="BV126" s="30"/>
      <c r="BW126" s="30"/>
    </row>
    <row r="127" spans="1:75" x14ac:dyDescent="0.25">
      <c r="BI127" s="30"/>
      <c r="BJ127" s="30"/>
      <c r="BK127" s="30"/>
      <c r="BL127" s="30"/>
      <c r="BM127" s="30"/>
      <c r="BN127" s="30"/>
      <c r="BO127" s="30"/>
      <c r="BP127" s="30"/>
      <c r="BQ127" s="30"/>
      <c r="BR127" s="30"/>
      <c r="BS127" s="30"/>
      <c r="BT127" s="30"/>
      <c r="BU127" s="30"/>
      <c r="BV127" s="30"/>
      <c r="BW127" s="30"/>
    </row>
    <row r="128" spans="1:75" x14ac:dyDescent="0.25">
      <c r="A128" s="24" t="s">
        <v>1148</v>
      </c>
      <c r="B128" s="30" t="s">
        <v>1510</v>
      </c>
      <c r="BI128" s="30"/>
      <c r="BJ128" s="30"/>
      <c r="BK128" s="30"/>
      <c r="BL128" s="30"/>
      <c r="BM128" s="30"/>
      <c r="BN128" s="30"/>
      <c r="BO128" s="30"/>
      <c r="BP128" s="30"/>
      <c r="BQ128" s="30"/>
      <c r="BR128" s="30"/>
      <c r="BS128" s="30"/>
      <c r="BT128" s="30"/>
      <c r="BU128" s="30"/>
      <c r="BV128" s="30"/>
      <c r="BW128" s="30"/>
    </row>
    <row r="129" spans="1:75" x14ac:dyDescent="0.25">
      <c r="B129" s="30"/>
      <c r="BI129" s="30"/>
      <c r="BJ129" s="30"/>
      <c r="BK129" s="30"/>
      <c r="BL129" s="30"/>
      <c r="BM129" s="30"/>
      <c r="BN129" s="30"/>
      <c r="BO129" s="30"/>
      <c r="BP129" s="30"/>
      <c r="BQ129" s="30"/>
      <c r="BR129" s="30"/>
      <c r="BS129" s="30"/>
      <c r="BT129" s="30"/>
      <c r="BU129" s="30"/>
      <c r="BV129" s="30"/>
      <c r="BW129" s="30"/>
    </row>
    <row r="130" spans="1:75" x14ac:dyDescent="0.25">
      <c r="B130" s="30"/>
      <c r="BI130" s="30"/>
      <c r="BJ130" s="30"/>
      <c r="BK130" s="30"/>
      <c r="BL130" s="30"/>
      <c r="BM130" s="30"/>
      <c r="BN130" s="30"/>
      <c r="BO130" s="30"/>
      <c r="BP130" s="30"/>
      <c r="BQ130" s="30"/>
      <c r="BR130" s="30"/>
      <c r="BS130" s="30"/>
      <c r="BT130" s="30"/>
      <c r="BU130" s="30"/>
      <c r="BV130" s="30"/>
      <c r="BW130" s="30"/>
    </row>
    <row r="131" spans="1:75" x14ac:dyDescent="0.25">
      <c r="A131" s="24" t="s">
        <v>1149</v>
      </c>
      <c r="B131" s="30" t="s">
        <v>1150</v>
      </c>
      <c r="I131" s="48"/>
      <c r="J131" s="23"/>
      <c r="K131" s="48"/>
      <c r="BI131" s="30"/>
      <c r="BJ131" s="30"/>
      <c r="BK131" s="30"/>
      <c r="BL131" s="30"/>
      <c r="BM131" s="30"/>
      <c r="BN131" s="30"/>
      <c r="BO131" s="30"/>
      <c r="BP131" s="30"/>
      <c r="BQ131" s="30"/>
      <c r="BR131" s="30"/>
      <c r="BS131" s="30"/>
      <c r="BT131" s="30"/>
      <c r="BU131" s="30"/>
      <c r="BV131" s="30"/>
      <c r="BW131" s="30"/>
    </row>
    <row r="132" spans="1:75" x14ac:dyDescent="0.25">
      <c r="A132" s="24" t="s">
        <v>1153</v>
      </c>
      <c r="B132" s="30" t="s">
        <v>1152</v>
      </c>
      <c r="I132" s="48"/>
      <c r="J132" s="23"/>
      <c r="K132" s="48"/>
      <c r="BI132" s="30"/>
      <c r="BJ132" s="30"/>
      <c r="BK132" s="30"/>
      <c r="BL132" s="30"/>
      <c r="BM132" s="30"/>
      <c r="BN132" s="30"/>
      <c r="BO132" s="30"/>
      <c r="BP132" s="30"/>
      <c r="BQ132" s="30"/>
      <c r="BR132" s="30"/>
      <c r="BS132" s="30"/>
      <c r="BT132" s="30"/>
      <c r="BU132" s="30"/>
      <c r="BV132" s="30"/>
      <c r="BW132" s="30"/>
    </row>
    <row r="133" spans="1:75" x14ac:dyDescent="0.25">
      <c r="A133" s="24" t="s">
        <v>1166</v>
      </c>
      <c r="B133" s="31" t="s">
        <v>1167</v>
      </c>
      <c r="I133" s="48"/>
      <c r="J133" s="23"/>
      <c r="K133" s="48"/>
      <c r="BI133" s="30"/>
      <c r="BJ133" s="30"/>
      <c r="BK133" s="30"/>
      <c r="BL133" s="30"/>
      <c r="BM133" s="30"/>
      <c r="BN133" s="30"/>
      <c r="BO133" s="30"/>
      <c r="BP133" s="30"/>
      <c r="BQ133" s="30"/>
      <c r="BR133" s="30"/>
      <c r="BS133" s="30"/>
      <c r="BT133" s="30"/>
      <c r="BU133" s="30"/>
      <c r="BV133" s="30"/>
      <c r="BW133" s="30"/>
    </row>
    <row r="134" spans="1:75" x14ac:dyDescent="0.25">
      <c r="A134" s="24" t="s">
        <v>1168</v>
      </c>
      <c r="B134" s="31" t="s">
        <v>1169</v>
      </c>
      <c r="I134" s="48"/>
      <c r="J134" s="23"/>
      <c r="K134" s="48"/>
      <c r="BI134" s="30"/>
      <c r="BJ134" s="30"/>
      <c r="BK134" s="30"/>
      <c r="BL134" s="30"/>
      <c r="BM134" s="30"/>
      <c r="BN134" s="30"/>
      <c r="BO134" s="30"/>
      <c r="BP134" s="30"/>
      <c r="BQ134" s="30"/>
      <c r="BR134" s="30"/>
      <c r="BS134" s="30"/>
      <c r="BT134" s="30"/>
      <c r="BU134" s="30"/>
      <c r="BV134" s="30"/>
      <c r="BW134" s="30"/>
    </row>
    <row r="135" spans="1:75" x14ac:dyDescent="0.25">
      <c r="A135" s="24" t="s">
        <v>1170</v>
      </c>
      <c r="B135" s="31" t="s">
        <v>1171</v>
      </c>
      <c r="I135" s="48"/>
      <c r="J135" s="23"/>
      <c r="K135" s="48"/>
      <c r="BI135" s="30"/>
      <c r="BJ135" s="30"/>
      <c r="BK135" s="30"/>
      <c r="BL135" s="30"/>
      <c r="BM135" s="30"/>
      <c r="BN135" s="30"/>
      <c r="BO135" s="30"/>
      <c r="BP135" s="30"/>
      <c r="BQ135" s="30"/>
      <c r="BR135" s="30"/>
      <c r="BS135" s="30"/>
      <c r="BT135" s="30"/>
      <c r="BU135" s="30"/>
      <c r="BV135" s="30"/>
      <c r="BW135" s="30"/>
    </row>
    <row r="136" spans="1:75" x14ac:dyDescent="0.25">
      <c r="A136" s="24" t="s">
        <v>1173</v>
      </c>
      <c r="B136" s="31" t="s">
        <v>1172</v>
      </c>
      <c r="I136" s="17"/>
      <c r="J136" s="17"/>
      <c r="K136" s="17"/>
      <c r="BI136" s="30"/>
      <c r="BJ136" s="30"/>
      <c r="BK136" s="30"/>
      <c r="BL136" s="30"/>
      <c r="BM136" s="30"/>
      <c r="BN136" s="30"/>
      <c r="BO136" s="30"/>
      <c r="BP136" s="30"/>
      <c r="BQ136" s="30"/>
      <c r="BR136" s="30"/>
      <c r="BS136" s="30"/>
      <c r="BT136" s="30"/>
      <c r="BU136" s="30"/>
      <c r="BV136" s="30"/>
      <c r="BW136" s="30"/>
    </row>
    <row r="137" spans="1:75" x14ac:dyDescent="0.25">
      <c r="A137" s="24" t="s">
        <v>1175</v>
      </c>
      <c r="B137" s="31" t="s">
        <v>1174</v>
      </c>
      <c r="I137" s="17"/>
      <c r="J137" s="17"/>
      <c r="K137" s="17"/>
      <c r="BI137" s="30"/>
      <c r="BJ137" s="30"/>
      <c r="BK137" s="30"/>
      <c r="BL137" s="30"/>
      <c r="BM137" s="30"/>
      <c r="BN137" s="30"/>
      <c r="BO137" s="30"/>
      <c r="BP137" s="30"/>
      <c r="BQ137" s="30"/>
      <c r="BR137" s="30"/>
      <c r="BS137" s="30"/>
      <c r="BT137" s="30"/>
      <c r="BU137" s="30"/>
      <c r="BV137" s="30"/>
      <c r="BW137" s="30"/>
    </row>
    <row r="138" spans="1:75" ht="15" customHeight="1" x14ac:dyDescent="0.25">
      <c r="A138" s="24" t="s">
        <v>1176</v>
      </c>
      <c r="B138" s="31" t="s">
        <v>1177</v>
      </c>
      <c r="BI138" s="30"/>
      <c r="BJ138" s="30"/>
      <c r="BK138" s="30"/>
      <c r="BL138" s="30"/>
      <c r="BM138" s="30"/>
      <c r="BN138" s="30"/>
      <c r="BO138" s="30"/>
      <c r="BP138" s="30"/>
      <c r="BQ138" s="30"/>
      <c r="BR138" s="30"/>
      <c r="BS138" s="30"/>
      <c r="BT138" s="30"/>
      <c r="BU138" s="30"/>
      <c r="BV138" s="30"/>
      <c r="BW138" s="30"/>
    </row>
    <row r="139" spans="1:75" ht="14.45" customHeight="1" x14ac:dyDescent="0.25">
      <c r="A139" s="24" t="s">
        <v>1179</v>
      </c>
      <c r="B139" s="31" t="s">
        <v>1178</v>
      </c>
      <c r="BI139" s="30"/>
      <c r="BJ139" s="30"/>
      <c r="BK139" s="30"/>
      <c r="BL139" s="30"/>
      <c r="BM139" s="30"/>
      <c r="BN139" s="30"/>
      <c r="BO139" s="30"/>
      <c r="BP139" s="30"/>
      <c r="BQ139" s="30"/>
      <c r="BR139" s="30"/>
      <c r="BS139" s="30"/>
      <c r="BT139" s="30"/>
      <c r="BU139" s="30"/>
      <c r="BV139" s="30"/>
      <c r="BW139" s="30"/>
    </row>
    <row r="140" spans="1:75" ht="14.45" customHeight="1" x14ac:dyDescent="0.25">
      <c r="A140" s="24" t="s">
        <v>1181</v>
      </c>
      <c r="B140" s="30" t="s">
        <v>1182</v>
      </c>
      <c r="BI140" s="30"/>
      <c r="BJ140" s="30"/>
      <c r="BK140" s="30"/>
      <c r="BL140" s="30"/>
      <c r="BM140" s="30"/>
      <c r="BN140" s="30"/>
      <c r="BO140" s="30"/>
      <c r="BP140" s="30"/>
      <c r="BQ140" s="30"/>
      <c r="BR140" s="30"/>
      <c r="BS140" s="30"/>
      <c r="BT140" s="30"/>
      <c r="BU140" s="30"/>
      <c r="BV140" s="30"/>
      <c r="BW140" s="30"/>
    </row>
    <row r="141" spans="1:75" ht="80.25" customHeight="1" x14ac:dyDescent="0.25">
      <c r="BI141" s="30"/>
      <c r="BJ141" s="30"/>
      <c r="BK141" s="30"/>
      <c r="BL141" s="30"/>
      <c r="BM141" s="30"/>
      <c r="BN141" s="30"/>
      <c r="BO141" s="30"/>
      <c r="BP141" s="30"/>
      <c r="BQ141" s="30"/>
      <c r="BR141" s="30"/>
      <c r="BS141" s="30"/>
      <c r="BT141" s="30"/>
      <c r="BU141" s="30"/>
      <c r="BV141" s="30"/>
      <c r="BW141" s="30"/>
    </row>
    <row r="142" spans="1:75" x14ac:dyDescent="0.25">
      <c r="A142" s="24" t="s">
        <v>1212</v>
      </c>
      <c r="B142" s="30" t="s">
        <v>1213</v>
      </c>
      <c r="BI142" s="30"/>
      <c r="BJ142" s="30"/>
      <c r="BK142" s="30"/>
      <c r="BL142" s="30"/>
      <c r="BM142" s="30"/>
      <c r="BN142" s="30"/>
      <c r="BO142" s="30"/>
      <c r="BP142" s="30"/>
      <c r="BQ142" s="30"/>
      <c r="BR142" s="30"/>
      <c r="BS142" s="30"/>
      <c r="BT142" s="30"/>
      <c r="BU142" s="30"/>
      <c r="BV142" s="30"/>
      <c r="BW142" s="30"/>
    </row>
    <row r="143" spans="1:75" ht="24" customHeight="1" x14ac:dyDescent="0.25">
      <c r="A143" s="24" t="s">
        <v>1214</v>
      </c>
      <c r="B143" s="30" t="s">
        <v>1215</v>
      </c>
      <c r="BI143" s="30"/>
      <c r="BJ143" s="30"/>
      <c r="BK143" s="30"/>
      <c r="BL143" s="30"/>
      <c r="BM143" s="30"/>
      <c r="BN143" s="30"/>
      <c r="BO143" s="30"/>
      <c r="BP143" s="30"/>
      <c r="BQ143" s="30"/>
      <c r="BR143" s="30"/>
      <c r="BS143" s="30"/>
      <c r="BT143" s="30"/>
      <c r="BU143" s="30"/>
      <c r="BV143" s="30"/>
      <c r="BW143" s="30"/>
    </row>
    <row r="144" spans="1:75" x14ac:dyDescent="0.25">
      <c r="A144" s="24" t="s">
        <v>1454</v>
      </c>
      <c r="B144" s="30" t="s">
        <v>1453</v>
      </c>
      <c r="BI144" s="30"/>
      <c r="BJ144" s="30"/>
      <c r="BK144" s="30"/>
      <c r="BL144" s="30"/>
      <c r="BM144" s="30"/>
      <c r="BN144" s="30"/>
      <c r="BO144" s="30"/>
      <c r="BP144" s="30"/>
      <c r="BQ144" s="30"/>
      <c r="BR144" s="30"/>
      <c r="BS144" s="30"/>
      <c r="BT144" s="30"/>
      <c r="BU144" s="30"/>
      <c r="BV144" s="30"/>
      <c r="BW144" s="30"/>
    </row>
    <row r="145" spans="1:75" ht="57.75" customHeight="1" x14ac:dyDescent="0.25">
      <c r="A145" s="24" t="s">
        <v>1482</v>
      </c>
      <c r="B145" s="30" t="s">
        <v>1481</v>
      </c>
      <c r="BI145" s="30"/>
      <c r="BJ145" s="30"/>
      <c r="BK145" s="30"/>
      <c r="BL145" s="30"/>
      <c r="BM145" s="30"/>
      <c r="BN145" s="30"/>
      <c r="BO145" s="30"/>
      <c r="BP145" s="30"/>
      <c r="BQ145" s="30"/>
      <c r="BR145" s="30"/>
      <c r="BS145" s="30"/>
      <c r="BT145" s="30"/>
      <c r="BU145" s="30"/>
      <c r="BV145" s="30"/>
      <c r="BW145" s="30"/>
    </row>
    <row r="146" spans="1:75" ht="72" customHeight="1" x14ac:dyDescent="0.25">
      <c r="A146" s="571"/>
      <c r="BI146" s="30"/>
      <c r="BJ146" s="30"/>
      <c r="BK146" s="30"/>
      <c r="BL146" s="30"/>
      <c r="BM146" s="30"/>
      <c r="BN146" s="30"/>
      <c r="BO146" s="30"/>
      <c r="BP146" s="30"/>
      <c r="BQ146" s="30"/>
      <c r="BR146" s="30"/>
      <c r="BS146" s="30"/>
      <c r="BT146" s="30"/>
      <c r="BU146" s="30"/>
      <c r="BV146" s="30"/>
      <c r="BW146" s="30"/>
    </row>
    <row r="147" spans="1:75" x14ac:dyDescent="0.25">
      <c r="BI147" s="30"/>
      <c r="BJ147" s="30"/>
      <c r="BK147" s="30"/>
      <c r="BL147" s="30"/>
      <c r="BM147" s="30"/>
      <c r="BN147" s="30"/>
      <c r="BO147" s="30"/>
      <c r="BP147" s="30"/>
      <c r="BQ147" s="30"/>
      <c r="BR147" s="30"/>
      <c r="BS147" s="30"/>
      <c r="BT147" s="30"/>
      <c r="BU147" s="30"/>
      <c r="BV147" s="30"/>
      <c r="BW147" s="30"/>
    </row>
    <row r="148" spans="1:75" x14ac:dyDescent="0.25">
      <c r="BI148" s="30"/>
      <c r="BJ148" s="30"/>
      <c r="BK148" s="30"/>
      <c r="BL148" s="30"/>
      <c r="BM148" s="30"/>
      <c r="BN148" s="30"/>
      <c r="BO148" s="30"/>
      <c r="BP148" s="30"/>
      <c r="BQ148" s="30"/>
      <c r="BR148" s="30"/>
      <c r="BS148" s="30"/>
      <c r="BT148" s="30"/>
      <c r="BU148" s="30"/>
      <c r="BV148" s="30"/>
      <c r="BW148" s="30"/>
    </row>
    <row r="149" spans="1:75" s="30" customFormat="1" x14ac:dyDescent="0.25">
      <c r="B149" s="18"/>
      <c r="C149" s="18"/>
      <c r="D149" s="18"/>
      <c r="E149" s="18"/>
      <c r="F149" s="18"/>
      <c r="G149" s="18"/>
      <c r="H149" s="18"/>
      <c r="I149" s="18"/>
      <c r="J149" s="18"/>
      <c r="K149" s="18"/>
      <c r="L149" s="18"/>
      <c r="M149" s="18"/>
      <c r="N149" s="18"/>
      <c r="O149" s="18"/>
      <c r="P149" s="18"/>
      <c r="Q149" s="18"/>
      <c r="R149" s="18"/>
      <c r="S149" s="652"/>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row>
    <row r="150" spans="1:75" s="30" customFormat="1" x14ac:dyDescent="0.25">
      <c r="B150" s="18"/>
      <c r="C150" s="18"/>
      <c r="D150" s="18"/>
      <c r="E150" s="18"/>
      <c r="F150" s="18"/>
      <c r="G150" s="18"/>
      <c r="H150" s="18"/>
      <c r="I150" s="18"/>
      <c r="J150" s="18"/>
      <c r="K150" s="18"/>
      <c r="L150" s="18"/>
      <c r="M150" s="18"/>
      <c r="N150" s="18"/>
      <c r="O150" s="18"/>
      <c r="P150" s="18"/>
      <c r="Q150" s="18"/>
      <c r="R150" s="18"/>
      <c r="S150" s="652"/>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row>
    <row r="151" spans="1:75" s="30" customFormat="1" x14ac:dyDescent="0.25">
      <c r="B151" s="18"/>
      <c r="C151" s="18"/>
      <c r="D151" s="18"/>
      <c r="E151" s="18"/>
      <c r="F151" s="18"/>
      <c r="G151" s="18"/>
      <c r="H151" s="18"/>
      <c r="I151" s="18"/>
      <c r="J151" s="18"/>
      <c r="K151" s="18"/>
      <c r="L151" s="18"/>
      <c r="M151" s="18"/>
      <c r="N151" s="18"/>
      <c r="O151" s="18"/>
      <c r="P151" s="18"/>
      <c r="Q151" s="18"/>
      <c r="R151" s="18"/>
      <c r="S151" s="652"/>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row>
    <row r="152" spans="1:75" s="30" customFormat="1" x14ac:dyDescent="0.25">
      <c r="B152" s="18"/>
      <c r="C152" s="18"/>
      <c r="D152" s="18"/>
      <c r="E152" s="18"/>
      <c r="F152" s="18"/>
      <c r="G152" s="18"/>
      <c r="H152" s="18"/>
      <c r="I152" s="18"/>
      <c r="J152" s="18"/>
      <c r="K152" s="18"/>
      <c r="L152" s="18"/>
      <c r="M152" s="18"/>
      <c r="N152" s="18"/>
      <c r="O152" s="18"/>
      <c r="P152" s="18"/>
      <c r="Q152" s="18"/>
      <c r="R152" s="18"/>
      <c r="S152" s="652"/>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row>
    <row r="153" spans="1:75" s="30" customFormat="1" x14ac:dyDescent="0.25">
      <c r="B153" s="18"/>
      <c r="C153" s="18"/>
      <c r="D153" s="18"/>
      <c r="E153" s="18"/>
      <c r="F153" s="18"/>
      <c r="G153" s="18"/>
      <c r="H153" s="18"/>
      <c r="I153" s="18"/>
      <c r="J153" s="18"/>
      <c r="K153" s="18"/>
      <c r="L153" s="18"/>
      <c r="M153" s="18"/>
      <c r="N153" s="18"/>
      <c r="O153" s="18"/>
      <c r="P153" s="18"/>
      <c r="Q153" s="18"/>
      <c r="R153" s="18"/>
      <c r="S153" s="652"/>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row>
    <row r="154" spans="1:75" s="30" customFormat="1" x14ac:dyDescent="0.25">
      <c r="B154" s="18"/>
      <c r="C154" s="18"/>
      <c r="D154" s="18"/>
      <c r="E154" s="18"/>
      <c r="F154" s="18"/>
      <c r="G154" s="18"/>
      <c r="H154" s="18"/>
      <c r="I154" s="18"/>
      <c r="J154" s="18"/>
      <c r="K154" s="18"/>
      <c r="L154" s="18"/>
      <c r="M154" s="18"/>
      <c r="N154" s="18"/>
      <c r="O154" s="18"/>
      <c r="P154" s="18"/>
      <c r="Q154" s="18"/>
      <c r="R154" s="18"/>
      <c r="S154" s="652"/>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row>
    <row r="155" spans="1:75" s="30" customFormat="1" x14ac:dyDescent="0.25">
      <c r="B155" s="18"/>
      <c r="C155" s="18"/>
      <c r="D155" s="18"/>
      <c r="E155" s="18"/>
      <c r="F155" s="18"/>
      <c r="G155" s="18"/>
      <c r="H155" s="18"/>
      <c r="I155" s="18"/>
      <c r="J155" s="18"/>
      <c r="K155" s="18"/>
      <c r="L155" s="18"/>
      <c r="M155" s="18"/>
      <c r="N155" s="18"/>
      <c r="O155" s="18"/>
      <c r="P155" s="18"/>
      <c r="Q155" s="18"/>
      <c r="R155" s="18"/>
      <c r="S155" s="652"/>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row>
    <row r="156" spans="1:75" s="30" customFormat="1" x14ac:dyDescent="0.25">
      <c r="B156" s="18"/>
      <c r="C156" s="18"/>
      <c r="D156" s="18"/>
      <c r="E156" s="18"/>
      <c r="F156" s="18"/>
      <c r="G156" s="18"/>
      <c r="H156" s="18"/>
      <c r="I156" s="18"/>
      <c r="J156" s="18"/>
      <c r="K156" s="18"/>
      <c r="L156" s="18"/>
      <c r="M156" s="18"/>
      <c r="N156" s="18"/>
      <c r="O156" s="18"/>
      <c r="P156" s="18"/>
      <c r="Q156" s="18"/>
      <c r="R156" s="18"/>
      <c r="S156" s="652"/>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row>
    <row r="157" spans="1:75" s="30" customFormat="1" x14ac:dyDescent="0.25">
      <c r="B157" s="18"/>
      <c r="C157" s="18"/>
      <c r="D157" s="18"/>
      <c r="E157" s="18"/>
      <c r="F157" s="18"/>
      <c r="G157" s="18"/>
      <c r="H157" s="18"/>
      <c r="I157" s="18"/>
      <c r="J157" s="18"/>
      <c r="K157" s="18"/>
      <c r="L157" s="18"/>
      <c r="M157" s="18"/>
      <c r="N157" s="18"/>
      <c r="O157" s="18"/>
      <c r="P157" s="18"/>
      <c r="Q157" s="18"/>
      <c r="R157" s="18"/>
      <c r="S157" s="652"/>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row>
    <row r="158" spans="1:75" s="30" customFormat="1" x14ac:dyDescent="0.25">
      <c r="B158" s="18"/>
      <c r="C158" s="18"/>
      <c r="D158" s="18"/>
      <c r="E158" s="18"/>
      <c r="F158" s="18"/>
      <c r="G158" s="18"/>
      <c r="H158" s="18"/>
      <c r="I158" s="18"/>
      <c r="J158" s="18"/>
      <c r="K158" s="18"/>
      <c r="L158" s="18"/>
      <c r="M158" s="18"/>
      <c r="N158" s="18"/>
      <c r="O158" s="18"/>
      <c r="P158" s="18"/>
      <c r="Q158" s="18"/>
      <c r="R158" s="18"/>
      <c r="S158" s="652"/>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row>
    <row r="159" spans="1:75" s="30" customFormat="1" x14ac:dyDescent="0.25">
      <c r="B159" s="18"/>
      <c r="C159" s="18"/>
      <c r="D159" s="18"/>
      <c r="E159" s="18"/>
      <c r="F159" s="18"/>
      <c r="G159" s="18"/>
      <c r="H159" s="18"/>
      <c r="I159" s="18"/>
      <c r="J159" s="18"/>
      <c r="K159" s="18"/>
      <c r="L159" s="18"/>
      <c r="M159" s="18"/>
      <c r="N159" s="18"/>
      <c r="O159" s="18"/>
      <c r="P159" s="18"/>
      <c r="Q159" s="18"/>
      <c r="R159" s="18"/>
      <c r="S159" s="652"/>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row>
    <row r="160" spans="1:75" s="30" customFormat="1" x14ac:dyDescent="0.25">
      <c r="B160" s="18"/>
      <c r="C160" s="18"/>
      <c r="D160" s="18"/>
      <c r="E160" s="18"/>
      <c r="F160" s="18"/>
      <c r="G160" s="18"/>
      <c r="H160" s="18"/>
      <c r="I160" s="18"/>
      <c r="J160" s="18"/>
      <c r="K160" s="18"/>
      <c r="L160" s="18"/>
      <c r="M160" s="18"/>
      <c r="N160" s="18"/>
      <c r="O160" s="18"/>
      <c r="P160" s="18"/>
      <c r="Q160" s="18"/>
      <c r="R160" s="18"/>
      <c r="S160" s="652"/>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row>
    <row r="161" spans="2:75" s="30" customFormat="1" x14ac:dyDescent="0.25">
      <c r="B161" s="18"/>
      <c r="C161" s="18"/>
      <c r="D161" s="18"/>
      <c r="E161" s="18"/>
      <c r="F161" s="18"/>
      <c r="G161" s="18"/>
      <c r="H161" s="18"/>
      <c r="I161" s="18"/>
      <c r="J161" s="18"/>
      <c r="K161" s="18"/>
      <c r="L161" s="18"/>
      <c r="M161" s="18"/>
      <c r="N161" s="18"/>
      <c r="O161" s="18"/>
      <c r="P161" s="18"/>
      <c r="Q161" s="18"/>
      <c r="R161" s="18"/>
      <c r="S161" s="652"/>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row>
    <row r="162" spans="2:75" s="30" customFormat="1" x14ac:dyDescent="0.25">
      <c r="B162" s="18"/>
      <c r="C162" s="18"/>
      <c r="D162" s="18"/>
      <c r="E162" s="18"/>
      <c r="F162" s="18"/>
      <c r="G162" s="18"/>
      <c r="H162" s="18"/>
      <c r="I162" s="18"/>
      <c r="J162" s="18"/>
      <c r="K162" s="18"/>
      <c r="L162" s="18"/>
      <c r="M162" s="18"/>
      <c r="N162" s="18"/>
      <c r="O162" s="18"/>
      <c r="P162" s="18"/>
      <c r="Q162" s="18"/>
      <c r="R162" s="18"/>
      <c r="S162" s="652"/>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row>
    <row r="163" spans="2:75" s="30" customFormat="1" x14ac:dyDescent="0.25">
      <c r="B163" s="18"/>
      <c r="C163" s="18"/>
      <c r="D163" s="18"/>
      <c r="E163" s="18"/>
      <c r="F163" s="18"/>
      <c r="G163" s="18"/>
      <c r="H163" s="18"/>
      <c r="I163" s="18"/>
      <c r="J163" s="18"/>
      <c r="K163" s="18"/>
      <c r="L163" s="18"/>
      <c r="M163" s="18"/>
      <c r="N163" s="18"/>
      <c r="O163" s="18"/>
      <c r="P163" s="18"/>
      <c r="Q163" s="18"/>
      <c r="R163" s="18"/>
      <c r="S163" s="652"/>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row>
    <row r="164" spans="2:75" s="30" customFormat="1" x14ac:dyDescent="0.25">
      <c r="B164" s="18"/>
      <c r="C164" s="18"/>
      <c r="D164" s="18"/>
      <c r="E164" s="18"/>
      <c r="F164" s="18"/>
      <c r="G164" s="18"/>
      <c r="H164" s="18"/>
      <c r="I164" s="18"/>
      <c r="J164" s="18"/>
      <c r="K164" s="18"/>
      <c r="L164" s="18"/>
      <c r="M164" s="18"/>
      <c r="N164" s="18"/>
      <c r="O164" s="18"/>
      <c r="P164" s="18"/>
      <c r="Q164" s="18"/>
      <c r="R164" s="18"/>
      <c r="S164" s="652"/>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row>
    <row r="165" spans="2:75" s="30" customFormat="1" x14ac:dyDescent="0.25">
      <c r="B165" s="18"/>
      <c r="C165" s="18"/>
      <c r="D165" s="18"/>
      <c r="E165" s="18"/>
      <c r="F165" s="18"/>
      <c r="G165" s="18"/>
      <c r="H165" s="18"/>
      <c r="I165" s="18"/>
      <c r="J165" s="18"/>
      <c r="K165" s="18"/>
      <c r="L165" s="18"/>
      <c r="M165" s="18"/>
      <c r="N165" s="18"/>
      <c r="O165" s="18"/>
      <c r="P165" s="18"/>
      <c r="Q165" s="18"/>
      <c r="R165" s="18"/>
      <c r="S165" s="652"/>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row>
    <row r="166" spans="2:75" s="30" customFormat="1" x14ac:dyDescent="0.25">
      <c r="B166" s="18"/>
      <c r="C166" s="18"/>
      <c r="D166" s="18"/>
      <c r="E166" s="18"/>
      <c r="F166" s="18"/>
      <c r="G166" s="18"/>
      <c r="H166" s="18"/>
      <c r="I166" s="18"/>
      <c r="J166" s="18"/>
      <c r="K166" s="18"/>
      <c r="L166" s="18"/>
      <c r="M166" s="18"/>
      <c r="N166" s="18"/>
      <c r="O166" s="18"/>
      <c r="P166" s="18"/>
      <c r="Q166" s="18"/>
      <c r="R166" s="18"/>
      <c r="S166" s="652"/>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row>
    <row r="167" spans="2:75" s="30" customFormat="1" x14ac:dyDescent="0.25">
      <c r="B167" s="18"/>
      <c r="C167" s="18"/>
      <c r="D167" s="18"/>
      <c r="E167" s="18"/>
      <c r="F167" s="18"/>
      <c r="G167" s="18"/>
      <c r="H167" s="18"/>
      <c r="I167" s="18"/>
      <c r="J167" s="18"/>
      <c r="K167" s="18"/>
      <c r="L167" s="18"/>
      <c r="M167" s="18"/>
      <c r="N167" s="18"/>
      <c r="O167" s="18"/>
      <c r="P167" s="18"/>
      <c r="Q167" s="18"/>
      <c r="R167" s="18"/>
      <c r="S167" s="652"/>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row>
    <row r="168" spans="2:75" s="30" customFormat="1" x14ac:dyDescent="0.25">
      <c r="B168" s="18"/>
      <c r="C168" s="18"/>
      <c r="D168" s="18"/>
      <c r="E168" s="18"/>
      <c r="F168" s="18"/>
      <c r="G168" s="18"/>
      <c r="H168" s="18"/>
      <c r="I168" s="18"/>
      <c r="J168" s="18"/>
      <c r="K168" s="18"/>
      <c r="L168" s="18"/>
      <c r="M168" s="18"/>
      <c r="N168" s="18"/>
      <c r="O168" s="18"/>
      <c r="P168" s="18"/>
      <c r="Q168" s="18"/>
      <c r="R168" s="18"/>
      <c r="S168" s="652"/>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row>
    <row r="169" spans="2:75" s="30" customFormat="1" x14ac:dyDescent="0.25">
      <c r="B169" s="18"/>
      <c r="C169" s="18"/>
      <c r="D169" s="18"/>
      <c r="E169" s="18"/>
      <c r="F169" s="18"/>
      <c r="G169" s="18"/>
      <c r="H169" s="18"/>
      <c r="I169" s="18"/>
      <c r="J169" s="18"/>
      <c r="K169" s="18"/>
      <c r="L169" s="18"/>
      <c r="M169" s="18"/>
      <c r="N169" s="18"/>
      <c r="O169" s="18"/>
      <c r="P169" s="18"/>
      <c r="Q169" s="18"/>
      <c r="R169" s="18"/>
      <c r="S169" s="652"/>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row>
    <row r="170" spans="2:75" s="30" customFormat="1" x14ac:dyDescent="0.25">
      <c r="B170" s="18"/>
      <c r="C170" s="18"/>
      <c r="D170" s="18"/>
      <c r="E170" s="18"/>
      <c r="F170" s="18"/>
      <c r="G170" s="18"/>
      <c r="H170" s="18"/>
      <c r="I170" s="18"/>
      <c r="J170" s="18"/>
      <c r="K170" s="18"/>
      <c r="L170" s="18"/>
      <c r="M170" s="18"/>
      <c r="N170" s="18"/>
      <c r="O170" s="18"/>
      <c r="P170" s="18"/>
      <c r="Q170" s="18"/>
      <c r="R170" s="18"/>
      <c r="S170" s="652"/>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row>
    <row r="171" spans="2:75" s="30" customFormat="1" x14ac:dyDescent="0.25">
      <c r="B171" s="18"/>
      <c r="C171" s="18"/>
      <c r="D171" s="18"/>
      <c r="E171" s="18"/>
      <c r="F171" s="18"/>
      <c r="G171" s="18"/>
      <c r="H171" s="18"/>
      <c r="I171" s="18"/>
      <c r="J171" s="18"/>
      <c r="K171" s="18"/>
      <c r="L171" s="18"/>
      <c r="M171" s="18"/>
      <c r="N171" s="18"/>
      <c r="O171" s="18"/>
      <c r="P171" s="18"/>
      <c r="Q171" s="18"/>
      <c r="R171" s="18"/>
      <c r="S171" s="652"/>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row>
    <row r="172" spans="2:75" s="30" customFormat="1" x14ac:dyDescent="0.25">
      <c r="B172" s="18"/>
      <c r="C172" s="18"/>
      <c r="D172" s="18"/>
      <c r="E172" s="18"/>
      <c r="F172" s="18"/>
      <c r="G172" s="18"/>
      <c r="H172" s="18"/>
      <c r="I172" s="18"/>
      <c r="J172" s="18"/>
      <c r="K172" s="18"/>
      <c r="L172" s="18"/>
      <c r="M172" s="18"/>
      <c r="N172" s="18"/>
      <c r="O172" s="18"/>
      <c r="P172" s="18"/>
      <c r="Q172" s="18"/>
      <c r="R172" s="18"/>
      <c r="S172" s="652"/>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row>
    <row r="173" spans="2:75" s="30" customFormat="1" x14ac:dyDescent="0.25">
      <c r="B173" s="18"/>
      <c r="C173" s="18"/>
      <c r="D173" s="18"/>
      <c r="E173" s="18"/>
      <c r="F173" s="18"/>
      <c r="G173" s="18"/>
      <c r="H173" s="18"/>
      <c r="I173" s="18"/>
      <c r="J173" s="18"/>
      <c r="K173" s="18"/>
      <c r="L173" s="18"/>
      <c r="M173" s="18"/>
      <c r="N173" s="18"/>
      <c r="O173" s="18"/>
      <c r="P173" s="18"/>
      <c r="Q173" s="18"/>
      <c r="R173" s="18"/>
      <c r="S173" s="652"/>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row>
    <row r="174" spans="2:75" s="30" customFormat="1" x14ac:dyDescent="0.25">
      <c r="B174" s="18"/>
      <c r="C174" s="18"/>
      <c r="D174" s="18"/>
      <c r="E174" s="18"/>
      <c r="F174" s="18"/>
      <c r="G174" s="18"/>
      <c r="H174" s="18"/>
      <c r="I174" s="18"/>
      <c r="J174" s="18"/>
      <c r="K174" s="18"/>
      <c r="L174" s="18"/>
      <c r="M174" s="18"/>
      <c r="N174" s="18"/>
      <c r="O174" s="18"/>
      <c r="P174" s="18"/>
      <c r="Q174" s="18"/>
      <c r="R174" s="18"/>
      <c r="S174" s="652"/>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row>
    <row r="175" spans="2:75" s="30" customFormat="1" x14ac:dyDescent="0.25">
      <c r="B175" s="18"/>
      <c r="C175" s="18"/>
      <c r="D175" s="18"/>
      <c r="E175" s="18"/>
      <c r="F175" s="18"/>
      <c r="G175" s="18"/>
      <c r="H175" s="18"/>
      <c r="I175" s="18"/>
      <c r="J175" s="18"/>
      <c r="K175" s="18"/>
      <c r="L175" s="18"/>
      <c r="M175" s="18"/>
      <c r="N175" s="18"/>
      <c r="O175" s="18"/>
      <c r="P175" s="18"/>
      <c r="Q175" s="18"/>
      <c r="R175" s="18"/>
      <c r="S175" s="652"/>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row>
    <row r="176" spans="2:75" s="30" customFormat="1" x14ac:dyDescent="0.25">
      <c r="B176" s="18"/>
      <c r="C176" s="18"/>
      <c r="D176" s="18"/>
      <c r="E176" s="18"/>
      <c r="F176" s="18"/>
      <c r="G176" s="18"/>
      <c r="H176" s="18"/>
      <c r="I176" s="18"/>
      <c r="J176" s="18"/>
      <c r="K176" s="18"/>
      <c r="L176" s="18"/>
      <c r="M176" s="18"/>
      <c r="N176" s="18"/>
      <c r="O176" s="18"/>
      <c r="P176" s="18"/>
      <c r="Q176" s="18"/>
      <c r="R176" s="18"/>
      <c r="S176" s="652"/>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row>
    <row r="177" spans="2:75" s="30" customFormat="1" x14ac:dyDescent="0.25">
      <c r="B177" s="18"/>
      <c r="C177" s="18"/>
      <c r="D177" s="18"/>
      <c r="E177" s="18"/>
      <c r="F177" s="18"/>
      <c r="G177" s="18"/>
      <c r="H177" s="18"/>
      <c r="I177" s="18"/>
      <c r="J177" s="18"/>
      <c r="K177" s="18"/>
      <c r="L177" s="18"/>
      <c r="M177" s="18"/>
      <c r="N177" s="18"/>
      <c r="O177" s="18"/>
      <c r="P177" s="18"/>
      <c r="Q177" s="18"/>
      <c r="R177" s="18"/>
      <c r="S177" s="652"/>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row>
    <row r="178" spans="2:75" s="30" customFormat="1" x14ac:dyDescent="0.25">
      <c r="B178" s="18"/>
      <c r="C178" s="18"/>
      <c r="D178" s="18"/>
      <c r="E178" s="18"/>
      <c r="F178" s="18"/>
      <c r="G178" s="18"/>
      <c r="H178" s="18"/>
      <c r="I178" s="18"/>
      <c r="J178" s="18"/>
      <c r="K178" s="18"/>
      <c r="L178" s="18"/>
      <c r="M178" s="18"/>
      <c r="N178" s="18"/>
      <c r="O178" s="18"/>
      <c r="P178" s="18"/>
      <c r="Q178" s="18"/>
      <c r="R178" s="18"/>
      <c r="S178" s="652"/>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row>
    <row r="179" spans="2:75" s="30" customFormat="1" x14ac:dyDescent="0.25">
      <c r="B179" s="18"/>
      <c r="C179" s="18"/>
      <c r="D179" s="18"/>
      <c r="E179" s="18"/>
      <c r="F179" s="18"/>
      <c r="G179" s="18"/>
      <c r="H179" s="18"/>
      <c r="I179" s="18"/>
      <c r="J179" s="18"/>
      <c r="K179" s="18"/>
      <c r="L179" s="18"/>
      <c r="M179" s="18"/>
      <c r="N179" s="18"/>
      <c r="O179" s="18"/>
      <c r="P179" s="18"/>
      <c r="Q179" s="18"/>
      <c r="R179" s="18"/>
      <c r="S179" s="652"/>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row>
    <row r="180" spans="2:75" s="30" customFormat="1" x14ac:dyDescent="0.25">
      <c r="B180" s="18"/>
      <c r="C180" s="18"/>
      <c r="D180" s="18"/>
      <c r="E180" s="18"/>
      <c r="F180" s="18"/>
      <c r="G180" s="18"/>
      <c r="H180" s="18"/>
      <c r="I180" s="18"/>
      <c r="J180" s="18"/>
      <c r="K180" s="18"/>
      <c r="L180" s="18"/>
      <c r="M180" s="18"/>
      <c r="N180" s="18"/>
      <c r="O180" s="18"/>
      <c r="P180" s="18"/>
      <c r="Q180" s="18"/>
      <c r="R180" s="18"/>
      <c r="S180" s="652"/>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row>
    <row r="181" spans="2:75" s="30" customFormat="1" x14ac:dyDescent="0.25">
      <c r="B181" s="18"/>
      <c r="C181" s="18"/>
      <c r="D181" s="18"/>
      <c r="E181" s="18"/>
      <c r="F181" s="18"/>
      <c r="G181" s="18"/>
      <c r="H181" s="18"/>
      <c r="I181" s="18"/>
      <c r="J181" s="18"/>
      <c r="K181" s="18"/>
      <c r="L181" s="18"/>
      <c r="M181" s="18"/>
      <c r="N181" s="18"/>
      <c r="O181" s="18"/>
      <c r="P181" s="18"/>
      <c r="Q181" s="18"/>
      <c r="R181" s="18"/>
      <c r="S181" s="652"/>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row>
    <row r="182" spans="2:75" s="30" customFormat="1" x14ac:dyDescent="0.25">
      <c r="B182" s="18"/>
      <c r="C182" s="18"/>
      <c r="D182" s="18"/>
      <c r="E182" s="18"/>
      <c r="F182" s="18"/>
      <c r="G182" s="18"/>
      <c r="H182" s="18"/>
      <c r="I182" s="18"/>
      <c r="J182" s="18"/>
      <c r="K182" s="18"/>
      <c r="L182" s="18"/>
      <c r="M182" s="18"/>
      <c r="N182" s="18"/>
      <c r="O182" s="18"/>
      <c r="P182" s="18"/>
      <c r="Q182" s="18"/>
      <c r="R182" s="18"/>
      <c r="S182" s="652"/>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row>
    <row r="183" spans="2:75" s="30" customFormat="1" x14ac:dyDescent="0.25">
      <c r="B183" s="18"/>
      <c r="C183" s="18"/>
      <c r="D183" s="18"/>
      <c r="E183" s="18"/>
      <c r="F183" s="18"/>
      <c r="G183" s="18"/>
      <c r="H183" s="18"/>
      <c r="I183" s="18"/>
      <c r="J183" s="18"/>
      <c r="K183" s="18"/>
      <c r="L183" s="18"/>
      <c r="M183" s="18"/>
      <c r="N183" s="18"/>
      <c r="O183" s="18"/>
      <c r="P183" s="18"/>
      <c r="Q183" s="18"/>
      <c r="R183" s="18"/>
      <c r="S183" s="652"/>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row>
    <row r="191" spans="2:75" s="30" customFormat="1" x14ac:dyDescent="0.25">
      <c r="B191" s="18"/>
      <c r="C191" s="18"/>
      <c r="D191" s="18"/>
      <c r="E191" s="18"/>
      <c r="F191" s="18"/>
      <c r="G191" s="18"/>
      <c r="H191" s="18"/>
      <c r="I191" s="18"/>
      <c r="J191" s="18"/>
      <c r="K191" s="18"/>
      <c r="L191" s="18"/>
      <c r="M191" s="18"/>
      <c r="N191" s="18"/>
      <c r="O191" s="18"/>
      <c r="P191" s="18"/>
      <c r="Q191" s="18"/>
      <c r="R191" s="18"/>
      <c r="S191" s="652"/>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row>
  </sheetData>
  <mergeCells count="68">
    <mergeCell ref="B69:B70"/>
    <mergeCell ref="B67:B68"/>
    <mergeCell ref="B65:B66"/>
    <mergeCell ref="B63:B64"/>
    <mergeCell ref="V72:Y72"/>
    <mergeCell ref="V71:AC71"/>
    <mergeCell ref="AM78:AM79"/>
    <mergeCell ref="Z79:AC79"/>
    <mergeCell ref="AI79:AJ79"/>
    <mergeCell ref="AD73:AF73"/>
    <mergeCell ref="AG73:AH73"/>
    <mergeCell ref="AI73:AJ73"/>
    <mergeCell ref="AK73:AL73"/>
    <mergeCell ref="AI74:AJ74"/>
    <mergeCell ref="AK78:AK79"/>
    <mergeCell ref="AL78:AL79"/>
    <mergeCell ref="Z78:AC78"/>
    <mergeCell ref="AF78:AF79"/>
    <mergeCell ref="AI78:AJ78"/>
    <mergeCell ref="AD78:AD79"/>
    <mergeCell ref="AE78:AE79"/>
    <mergeCell ref="AK72:AM72"/>
    <mergeCell ref="AI76:AJ76"/>
    <mergeCell ref="AI77:AJ77"/>
    <mergeCell ref="AI75:AJ75"/>
    <mergeCell ref="Z72:AC72"/>
    <mergeCell ref="E73:G73"/>
    <mergeCell ref="H73:J73"/>
    <mergeCell ref="K73:M73"/>
    <mergeCell ref="R73:U73"/>
    <mergeCell ref="B2:M2"/>
    <mergeCell ref="B5:J5"/>
    <mergeCell ref="B6:J6"/>
    <mergeCell ref="B7:J7"/>
    <mergeCell ref="B30:B31"/>
    <mergeCell ref="C72:D73"/>
    <mergeCell ref="B26:B27"/>
    <mergeCell ref="B35:B36"/>
    <mergeCell ref="C34:I34"/>
    <mergeCell ref="B24:B25"/>
    <mergeCell ref="P12:Q12"/>
    <mergeCell ref="F11:L11"/>
    <mergeCell ref="B22:B23"/>
    <mergeCell ref="B20:B21"/>
    <mergeCell ref="B18:B19"/>
    <mergeCell ref="B16:B17"/>
    <mergeCell ref="B14:B15"/>
    <mergeCell ref="C12:D12"/>
    <mergeCell ref="J12:K12"/>
    <mergeCell ref="H12:I12"/>
    <mergeCell ref="F12:G12"/>
    <mergeCell ref="M12:N12"/>
    <mergeCell ref="B41:B42"/>
    <mergeCell ref="E78:M78"/>
    <mergeCell ref="N78:P79"/>
    <mergeCell ref="Q78:Q79"/>
    <mergeCell ref="R78:U79"/>
    <mergeCell ref="E72:M72"/>
    <mergeCell ref="N72:P73"/>
    <mergeCell ref="B78:B79"/>
    <mergeCell ref="R72:U72"/>
    <mergeCell ref="B46:B47"/>
    <mergeCell ref="B58:B59"/>
    <mergeCell ref="B56:B57"/>
    <mergeCell ref="B54:B55"/>
    <mergeCell ref="B52:B53"/>
    <mergeCell ref="B50:B51"/>
    <mergeCell ref="B48:B49"/>
  </mergeCells>
  <hyperlinks>
    <hyperlink ref="B98" r:id="rId1" location=":~:text=Jet%20A%2D1%20fuel%20has,be%20achieved%20by%20liquid%20fuels" xr:uid="{826C00F7-5E93-4E4A-8EE9-624027156827}"/>
    <hyperlink ref="B93" r:id="rId2" xr:uid="{F0295017-D484-49AB-B3C4-867A0B7FFA46}"/>
    <hyperlink ref="B109" r:id="rId3" location="/?a=2924&amp;b=0&amp;c=Port%20of%20Rostock,%20Germany&amp;d=Porvoo%20Refinery" xr:uid="{CF5A4DBA-083E-4B7B-9F75-EE8E16EDC17D}"/>
    <hyperlink ref="B110" r:id="rId4" location="/?a=15721&amp;b=2894&amp;c=Anyer%20Terminal,%20Indonesia&amp;d=Porvoo%20Refinery,%20Finland" xr:uid="{42681C8E-5632-4A2A-B8F9-88CD8B39D967}"/>
    <hyperlink ref="B111" r:id="rId5" location="/?a=0&amp;b=0&amp;c=Port%20of%20New%20York&amp;d=Porvoo%20Refinery" xr:uid="{ABA85650-5135-4443-9BA8-D161378E8F32}"/>
    <hyperlink ref="B112" r:id="rId6" location="/?a=4595&amp;b=0&amp;c=Port%20of%20Shanghai,%20China&amp;d=Porvoo%20Refinery" xr:uid="{8FE73F2E-83ED-40D4-BABF-588FB55890EB}"/>
    <hyperlink ref="B113" r:id="rId7" location="/?a=2894&amp;b=3044&amp;c=Porvoo%20Refinery,%20Finland&amp;d=Port%20of%20Ghent,%20Belgium" xr:uid="{8E685249-81BC-4EB1-A0F1-321F87722DB0}"/>
    <hyperlink ref="B114" r:id="rId8" location="/?a=0&amp;b=3030&amp;c=Port%20of%20Ghent&amp;d=Port%20of%20Amsterdam,%20Netherlands" xr:uid="{0A0C6306-CFAF-401A-9A52-B60F455F6BE2}"/>
    <hyperlink ref="B101" r:id="rId9" xr:uid="{B85D6CFD-8E2F-4D99-80ED-9A43648A06B5}"/>
    <hyperlink ref="B117" r:id="rId10" display="http://data.europa.eu/89h/919df040-0252-4e4e-ad82-c054896e1641" xr:uid="{716E5F14-737B-4B62-A1A3-B114060EBDB3}"/>
    <hyperlink ref="B133" r:id="rId11" location="/?a=3011&amp;b=0&amp;c=Port%20of%20Hamburg,%20Germany&amp;d=Porvoo%20Refinery" xr:uid="{EA4A47C0-CC83-491A-8D97-53BB6A1F391B}"/>
    <hyperlink ref="B134" r:id="rId12" location="/?a=646&amp;b=0&amp;c=Port%20of%20South%20Louisiana,%20United%20States&amp;d=Porvoo%20Refinery" xr:uid="{4C0FC480-C461-4E9D-9C33-9CCCBA8AAD34}"/>
    <hyperlink ref="B135" r:id="rId13" location=":~:text=1)%20Hamburg%20Port&amp;text=It%20is%20the%20largest%20port,stretching%20up%20to%207%2C250%20Hectares." xr:uid="{058D5B7E-216C-452A-9483-E2A6DADE2695}"/>
    <hyperlink ref="B136" r:id="rId14" location=":~:text=Port%20of%20Jakarta&amp;text=Its%20port%20is%20the%20principal,Panjang%20port%20on%20Sumatra%20island." xr:uid="{D9AC768B-F04F-4C0D-83C4-08D1F76D0EB6}"/>
    <hyperlink ref="B137" r:id="rId15" xr:uid="{57F0F0D7-2BDA-4A4C-A477-2D13CE175471}"/>
    <hyperlink ref="B138" r:id="rId16" xr:uid="{7137D505-2C4D-4EA5-A5FA-DA53E2A947E8}"/>
    <hyperlink ref="B139" r:id="rId17" xr:uid="{1981802E-9D3F-49F9-AEF8-4B99ECD9C795}"/>
    <hyperlink ref="D119" r:id="rId18" xr:uid="{858280DA-F1D5-4CFA-B6FF-BB6955156D34}"/>
    <hyperlink ref="B84" r:id="rId19" xr:uid="{82BC8861-AFB7-431D-96C0-165A50641B00}"/>
    <hyperlink ref="B83" r:id="rId20" xr:uid="{3D799A3D-3E54-4B3A-930A-1874F35097C5}"/>
  </hyperlinks>
  <pageMargins left="0.7" right="0.7" top="0.75" bottom="0.75" header="0.3" footer="0.3"/>
  <pageSetup paperSize="9"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A7EB7-44E0-4F82-8E9C-EF3A1D5CBBD3}">
  <sheetPr codeName="Sheet5"/>
  <dimension ref="A1:U131"/>
  <sheetViews>
    <sheetView showGridLines="0" zoomScale="85" zoomScaleNormal="85" workbookViewId="0">
      <pane ySplit="16" topLeftCell="A17" activePane="bottomLeft" state="frozen"/>
      <selection pane="bottomLeft" activeCell="D37" sqref="D37"/>
    </sheetView>
  </sheetViews>
  <sheetFormatPr defaultRowHeight="15" outlineLevelRow="1" x14ac:dyDescent="0.25"/>
  <cols>
    <col min="1" max="1" width="8.7109375" style="16"/>
    <col min="2" max="2" width="9.140625" style="29"/>
    <col min="4" max="4" width="170.5703125" customWidth="1"/>
  </cols>
  <sheetData>
    <row r="1" spans="1:21" x14ac:dyDescent="0.25">
      <c r="A1" s="16" t="s">
        <v>244</v>
      </c>
    </row>
    <row r="2" spans="1:21" ht="14.45" customHeight="1" x14ac:dyDescent="0.25">
      <c r="C2" s="938" t="s">
        <v>107</v>
      </c>
      <c r="D2" s="939"/>
      <c r="E2" s="589"/>
      <c r="F2" s="589"/>
      <c r="G2" s="589"/>
      <c r="H2" s="589"/>
      <c r="I2" s="589"/>
      <c r="J2" s="589"/>
      <c r="K2" s="589"/>
      <c r="L2" s="589"/>
      <c r="M2" s="589"/>
      <c r="N2" s="5"/>
      <c r="O2" s="5"/>
      <c r="P2" s="5"/>
      <c r="Q2" s="5"/>
      <c r="R2" s="5"/>
      <c r="S2" s="5"/>
      <c r="T2" s="5"/>
      <c r="U2" s="5"/>
    </row>
    <row r="3" spans="1:21" s="5" customFormat="1" ht="14.45" customHeight="1" x14ac:dyDescent="0.25">
      <c r="A3" s="109"/>
      <c r="B3" s="29"/>
      <c r="C3" s="590"/>
      <c r="D3" s="590"/>
      <c r="E3" s="589"/>
      <c r="F3" s="589"/>
      <c r="G3" s="589"/>
      <c r="H3" s="589"/>
      <c r="I3" s="589"/>
      <c r="J3" s="589"/>
      <c r="K3" s="589"/>
      <c r="L3" s="589"/>
      <c r="M3" s="589"/>
    </row>
    <row r="4" spans="1:21" s="30" customFormat="1" ht="14.45" hidden="1" customHeight="1" outlineLevel="1" x14ac:dyDescent="0.25">
      <c r="A4" s="115"/>
      <c r="B4" s="101"/>
      <c r="C4" s="107" t="s">
        <v>191</v>
      </c>
    </row>
    <row r="5" spans="1:21" s="30" customFormat="1" ht="14.45" hidden="1" customHeight="1" outlineLevel="1" x14ac:dyDescent="0.25">
      <c r="A5" s="115"/>
      <c r="B5" s="101"/>
      <c r="C5" s="872" t="s">
        <v>1063</v>
      </c>
      <c r="D5" s="872"/>
      <c r="E5" s="872"/>
      <c r="F5" s="872"/>
      <c r="G5" s="872"/>
      <c r="H5" s="872"/>
      <c r="I5" s="872"/>
      <c r="J5" s="872"/>
    </row>
    <row r="6" spans="1:21" s="30" customFormat="1" ht="14.45" hidden="1" customHeight="1" outlineLevel="1" x14ac:dyDescent="0.25">
      <c r="A6" s="115"/>
      <c r="B6" s="101"/>
      <c r="C6" s="872" t="s">
        <v>1064</v>
      </c>
      <c r="D6" s="872"/>
      <c r="E6" s="872"/>
      <c r="F6" s="872"/>
      <c r="G6" s="872"/>
      <c r="H6" s="872"/>
      <c r="I6" s="872"/>
      <c r="J6" s="872"/>
    </row>
    <row r="7" spans="1:21" collapsed="1" x14ac:dyDescent="0.25">
      <c r="E7" s="5"/>
      <c r="F7" s="5"/>
      <c r="G7" s="5"/>
      <c r="H7" s="5"/>
      <c r="I7" s="5"/>
      <c r="J7" s="5"/>
      <c r="K7" s="5"/>
      <c r="L7" s="5"/>
      <c r="M7" s="5"/>
      <c r="N7" s="5"/>
      <c r="O7" s="5"/>
      <c r="P7" s="5"/>
      <c r="Q7" s="5"/>
      <c r="R7" s="5"/>
      <c r="S7" s="5"/>
      <c r="T7" s="5"/>
      <c r="U7" s="5"/>
    </row>
    <row r="8" spans="1:21" x14ac:dyDescent="0.25">
      <c r="C8" s="653" t="s">
        <v>1201</v>
      </c>
      <c r="D8" t="s">
        <v>1202</v>
      </c>
      <c r="E8" s="5"/>
      <c r="F8" s="5"/>
      <c r="G8" s="5"/>
      <c r="H8" s="5"/>
      <c r="I8" s="5"/>
      <c r="J8" s="5"/>
      <c r="K8" s="5"/>
      <c r="L8" s="5"/>
      <c r="M8" s="5"/>
      <c r="N8" s="5"/>
      <c r="O8" s="5"/>
      <c r="P8" s="5"/>
      <c r="Q8" s="5"/>
      <c r="R8" s="5"/>
      <c r="S8" s="5"/>
      <c r="T8" s="5"/>
      <c r="U8" s="5"/>
    </row>
    <row r="9" spans="1:21" x14ac:dyDescent="0.25">
      <c r="E9" s="5"/>
      <c r="F9" s="5"/>
      <c r="G9" s="5"/>
      <c r="H9" s="5"/>
      <c r="I9" s="5"/>
      <c r="J9" s="5"/>
      <c r="K9" s="5"/>
      <c r="L9" s="5"/>
      <c r="M9" s="5"/>
      <c r="N9" s="5"/>
      <c r="O9" s="5"/>
      <c r="P9" s="5"/>
      <c r="Q9" s="5"/>
      <c r="R9" s="5"/>
      <c r="S9" s="5"/>
      <c r="T9" s="5"/>
      <c r="U9" s="5"/>
    </row>
    <row r="10" spans="1:21" x14ac:dyDescent="0.25">
      <c r="B10" s="2" t="s">
        <v>1362</v>
      </c>
      <c r="C10" s="2"/>
      <c r="D10" s="2" t="s">
        <v>1363</v>
      </c>
      <c r="E10" s="653" t="s">
        <v>1151</v>
      </c>
      <c r="F10" s="5"/>
      <c r="G10" s="5"/>
      <c r="H10" s="5"/>
      <c r="I10" s="5"/>
      <c r="J10" s="5"/>
      <c r="K10" s="5"/>
      <c r="L10" s="5"/>
      <c r="M10" s="5"/>
      <c r="N10" s="5"/>
      <c r="O10" s="5"/>
      <c r="P10" s="5"/>
      <c r="Q10" s="5"/>
      <c r="R10" s="5"/>
      <c r="S10" s="5"/>
      <c r="T10" s="5"/>
      <c r="U10" s="5"/>
    </row>
    <row r="11" spans="1:21" x14ac:dyDescent="0.25">
      <c r="B11" s="757"/>
      <c r="C11" s="2"/>
      <c r="D11" s="6" t="s">
        <v>1480</v>
      </c>
      <c r="E11" s="653"/>
      <c r="F11" s="5"/>
      <c r="G11" s="5"/>
      <c r="H11" s="5"/>
      <c r="I11" s="5"/>
      <c r="J11" s="5"/>
      <c r="K11" s="5"/>
      <c r="L11" s="5"/>
      <c r="M11" s="5"/>
      <c r="N11" s="5"/>
      <c r="O11" s="5"/>
      <c r="P11" s="5"/>
      <c r="Q11" s="5"/>
      <c r="R11" s="5"/>
      <c r="S11" s="5"/>
      <c r="T11" s="5"/>
      <c r="U11" s="5"/>
    </row>
    <row r="12" spans="1:21" x14ac:dyDescent="0.25">
      <c r="B12" s="755"/>
      <c r="C12" s="2"/>
      <c r="D12" s="6" t="s">
        <v>1364</v>
      </c>
      <c r="E12" s="653"/>
      <c r="F12" s="5"/>
      <c r="G12" s="5"/>
      <c r="H12" s="5"/>
      <c r="I12" s="5"/>
      <c r="J12" s="5"/>
      <c r="K12" s="5"/>
      <c r="L12" s="5"/>
      <c r="M12" s="5"/>
      <c r="N12" s="5"/>
      <c r="O12" s="5"/>
      <c r="P12" s="5"/>
      <c r="Q12" s="5"/>
      <c r="R12" s="5"/>
      <c r="S12" s="5"/>
      <c r="T12" s="5"/>
      <c r="U12" s="5"/>
    </row>
    <row r="13" spans="1:21" x14ac:dyDescent="0.25">
      <c r="B13" s="4"/>
      <c r="C13" s="2"/>
      <c r="D13" s="6" t="s">
        <v>1365</v>
      </c>
      <c r="E13" s="653"/>
      <c r="F13" s="5"/>
      <c r="G13" s="5"/>
      <c r="H13" s="5"/>
      <c r="I13" s="5"/>
      <c r="J13" s="5"/>
      <c r="K13" s="5"/>
      <c r="L13" s="5"/>
      <c r="M13" s="5"/>
      <c r="N13" s="5"/>
      <c r="O13" s="5"/>
      <c r="P13" s="5"/>
      <c r="Q13" s="5"/>
      <c r="R13" s="5"/>
      <c r="S13" s="5"/>
      <c r="T13" s="5"/>
      <c r="U13" s="5"/>
    </row>
    <row r="14" spans="1:21" x14ac:dyDescent="0.25">
      <c r="B14" s="758"/>
      <c r="C14" s="2"/>
      <c r="D14" s="6" t="s">
        <v>1366</v>
      </c>
      <c r="E14" s="653"/>
      <c r="F14" s="5"/>
      <c r="G14" s="5"/>
      <c r="H14" s="5"/>
      <c r="I14" s="5"/>
      <c r="J14" s="5"/>
      <c r="K14" s="5"/>
      <c r="L14" s="5"/>
      <c r="M14" s="5"/>
      <c r="N14" s="5"/>
      <c r="O14" s="5"/>
      <c r="P14" s="5"/>
      <c r="Q14" s="5"/>
      <c r="R14" s="5"/>
      <c r="S14" s="5"/>
      <c r="T14" s="5"/>
      <c r="U14" s="5"/>
    </row>
    <row r="15" spans="1:21" x14ac:dyDescent="0.25">
      <c r="B15" s="2"/>
      <c r="C15" s="2"/>
      <c r="D15" s="2"/>
      <c r="E15" s="653"/>
      <c r="F15" s="5"/>
      <c r="G15" s="5"/>
      <c r="H15" s="5"/>
      <c r="I15" s="5"/>
      <c r="J15" s="5"/>
      <c r="K15" s="5"/>
      <c r="L15" s="5"/>
      <c r="M15" s="5"/>
      <c r="N15" s="5"/>
      <c r="O15" s="5"/>
      <c r="P15" s="5"/>
      <c r="Q15" s="5"/>
      <c r="R15" s="5"/>
      <c r="S15" s="5"/>
      <c r="T15" s="5"/>
      <c r="U15" s="5"/>
    </row>
    <row r="16" spans="1:21" x14ac:dyDescent="0.25">
      <c r="B16" s="2" t="s">
        <v>1121</v>
      </c>
      <c r="C16" s="2" t="s">
        <v>813</v>
      </c>
      <c r="D16" s="2" t="s">
        <v>814</v>
      </c>
      <c r="E16" s="2" t="s">
        <v>1151</v>
      </c>
    </row>
    <row r="17" spans="1:10" s="30" customFormat="1" x14ac:dyDescent="0.25">
      <c r="A17" s="115"/>
      <c r="B17" s="708"/>
      <c r="C17" s="708"/>
      <c r="D17" s="706"/>
      <c r="E17"/>
      <c r="F17"/>
      <c r="G17"/>
      <c r="H17"/>
      <c r="I17"/>
      <c r="J17"/>
    </row>
    <row r="18" spans="1:10" s="30" customFormat="1" x14ac:dyDescent="0.25">
      <c r="A18" s="115"/>
      <c r="B18" s="29"/>
      <c r="C18"/>
      <c r="D18" s="1" t="s">
        <v>1335</v>
      </c>
      <c r="E18"/>
      <c r="F18"/>
      <c r="G18"/>
      <c r="H18"/>
      <c r="I18"/>
      <c r="J18"/>
    </row>
    <row r="19" spans="1:10" s="30" customFormat="1" x14ac:dyDescent="0.25">
      <c r="A19" s="115"/>
      <c r="B19" s="755"/>
      <c r="C19" t="s">
        <v>1099</v>
      </c>
      <c r="D19" t="s">
        <v>1348</v>
      </c>
      <c r="E19"/>
      <c r="F19"/>
      <c r="G19"/>
      <c r="H19"/>
      <c r="I19"/>
      <c r="J19"/>
    </row>
    <row r="20" spans="1:10" s="30" customFormat="1" x14ac:dyDescent="0.25">
      <c r="A20" s="115"/>
      <c r="B20" s="4"/>
      <c r="C20" t="s">
        <v>1100</v>
      </c>
      <c r="D20" t="s">
        <v>1358</v>
      </c>
      <c r="E20" s="706"/>
      <c r="F20"/>
      <c r="G20"/>
      <c r="H20"/>
      <c r="I20"/>
      <c r="J20"/>
    </row>
    <row r="21" spans="1:10" s="30" customFormat="1" x14ac:dyDescent="0.25">
      <c r="A21" s="115"/>
      <c r="B21" s="755"/>
      <c r="C21" t="s">
        <v>1281</v>
      </c>
      <c r="D21" t="s">
        <v>1350</v>
      </c>
      <c r="E21"/>
      <c r="F21"/>
      <c r="G21"/>
      <c r="H21"/>
      <c r="I21"/>
      <c r="J21"/>
    </row>
    <row r="22" spans="1:10" s="30" customFormat="1" x14ac:dyDescent="0.25">
      <c r="A22" s="115"/>
      <c r="B22" s="4"/>
      <c r="C22" t="s">
        <v>1282</v>
      </c>
      <c r="D22" t="s">
        <v>1359</v>
      </c>
      <c r="E22" s="706"/>
      <c r="F22" s="706"/>
      <c r="G22" s="706"/>
      <c r="H22" s="706"/>
      <c r="I22" s="706"/>
      <c r="J22"/>
    </row>
    <row r="23" spans="1:10" s="30" customFormat="1" x14ac:dyDescent="0.25">
      <c r="A23" s="115"/>
      <c r="B23" s="755"/>
      <c r="C23" t="s">
        <v>1283</v>
      </c>
      <c r="D23" t="s">
        <v>1360</v>
      </c>
      <c r="E23"/>
      <c r="F23"/>
      <c r="G23"/>
      <c r="H23"/>
      <c r="I23"/>
      <c r="J23"/>
    </row>
    <row r="24" spans="1:10" s="30" customFormat="1" x14ac:dyDescent="0.25">
      <c r="A24" s="115"/>
      <c r="B24" s="755"/>
      <c r="C24" t="s">
        <v>1287</v>
      </c>
      <c r="D24" t="s">
        <v>1372</v>
      </c>
      <c r="E24"/>
      <c r="F24"/>
      <c r="G24"/>
      <c r="H24"/>
      <c r="I24"/>
      <c r="J24"/>
    </row>
    <row r="25" spans="1:10" x14ac:dyDescent="0.25">
      <c r="A25" s="111"/>
      <c r="B25" s="4"/>
      <c r="C25" t="s">
        <v>1289</v>
      </c>
      <c r="D25" s="706" t="s">
        <v>1413</v>
      </c>
      <c r="E25" s="706"/>
    </row>
    <row r="26" spans="1:10" x14ac:dyDescent="0.25">
      <c r="A26" s="111"/>
      <c r="B26" s="4"/>
      <c r="C26" t="s">
        <v>1290</v>
      </c>
      <c r="D26" t="s">
        <v>1361</v>
      </c>
      <c r="E26" s="706"/>
      <c r="F26" s="706"/>
      <c r="G26" s="706"/>
      <c r="H26" s="706"/>
      <c r="I26" s="706"/>
      <c r="J26" s="706"/>
    </row>
    <row r="27" spans="1:10" x14ac:dyDescent="0.25">
      <c r="A27" s="111"/>
      <c r="B27" s="755"/>
      <c r="C27" t="s">
        <v>1291</v>
      </c>
      <c r="D27" t="s">
        <v>1367</v>
      </c>
    </row>
    <row r="28" spans="1:10" x14ac:dyDescent="0.25">
      <c r="A28" s="111"/>
      <c r="B28" s="755"/>
      <c r="C28" t="s">
        <v>1292</v>
      </c>
      <c r="D28" t="s">
        <v>1368</v>
      </c>
      <c r="E28" s="706"/>
    </row>
    <row r="29" spans="1:10" x14ac:dyDescent="0.25">
      <c r="A29" s="111"/>
      <c r="B29" s="758"/>
      <c r="C29" s="706" t="s">
        <v>1295</v>
      </c>
      <c r="D29" s="706" t="s">
        <v>1293</v>
      </c>
    </row>
    <row r="30" spans="1:10" x14ac:dyDescent="0.25">
      <c r="A30" s="111"/>
      <c r="B30" s="758"/>
      <c r="C30" s="706" t="s">
        <v>1296</v>
      </c>
      <c r="D30" s="706" t="s">
        <v>1298</v>
      </c>
    </row>
    <row r="31" spans="1:10" x14ac:dyDescent="0.25">
      <c r="A31" s="111"/>
      <c r="B31" s="755"/>
      <c r="C31" s="706" t="s">
        <v>1297</v>
      </c>
      <c r="D31" s="706" t="s">
        <v>1349</v>
      </c>
    </row>
    <row r="32" spans="1:10" x14ac:dyDescent="0.25">
      <c r="A32" s="111"/>
      <c r="B32" s="758"/>
      <c r="C32" s="759" t="s">
        <v>1300</v>
      </c>
      <c r="D32" s="706" t="s">
        <v>1301</v>
      </c>
    </row>
    <row r="33" spans="1:10" x14ac:dyDescent="0.25">
      <c r="A33" s="111"/>
      <c r="B33" s="758"/>
      <c r="C33" s="706" t="s">
        <v>1302</v>
      </c>
      <c r="D33" s="706" t="s">
        <v>1304</v>
      </c>
    </row>
    <row r="34" spans="1:10" s="30" customFormat="1" ht="18" x14ac:dyDescent="0.35">
      <c r="A34" s="115"/>
      <c r="B34" s="755"/>
      <c r="C34" t="s">
        <v>1306</v>
      </c>
      <c r="D34" t="s">
        <v>1373</v>
      </c>
      <c r="E34" s="706"/>
      <c r="F34"/>
      <c r="G34"/>
      <c r="H34"/>
      <c r="I34"/>
      <c r="J34"/>
    </row>
    <row r="35" spans="1:10" s="30" customFormat="1" x14ac:dyDescent="0.25">
      <c r="A35" s="115"/>
      <c r="B35" s="758"/>
      <c r="C35" s="706" t="s">
        <v>1307</v>
      </c>
      <c r="D35" s="706" t="s">
        <v>1310</v>
      </c>
      <c r="E35"/>
      <c r="F35"/>
      <c r="G35"/>
      <c r="H35"/>
      <c r="I35"/>
      <c r="J35"/>
    </row>
    <row r="36" spans="1:10" s="30" customFormat="1" x14ac:dyDescent="0.25">
      <c r="A36" s="115"/>
      <c r="B36" s="4"/>
      <c r="C36" s="706" t="s">
        <v>1308</v>
      </c>
      <c r="D36" s="706" t="s">
        <v>1351</v>
      </c>
      <c r="E36"/>
      <c r="F36"/>
      <c r="G36"/>
      <c r="H36"/>
      <c r="I36"/>
      <c r="J36"/>
    </row>
    <row r="37" spans="1:10" s="30" customFormat="1" x14ac:dyDescent="0.25">
      <c r="A37" s="115"/>
      <c r="B37" s="758"/>
      <c r="C37" s="706" t="s">
        <v>1309</v>
      </c>
      <c r="D37" s="706" t="s">
        <v>1312</v>
      </c>
      <c r="E37"/>
      <c r="F37"/>
      <c r="G37"/>
      <c r="H37"/>
      <c r="I37"/>
      <c r="J37"/>
    </row>
    <row r="38" spans="1:10" s="30" customFormat="1" x14ac:dyDescent="0.25">
      <c r="A38" s="115"/>
      <c r="B38" s="758"/>
      <c r="C38" s="706" t="s">
        <v>1311</v>
      </c>
      <c r="D38" s="706" t="s">
        <v>1316</v>
      </c>
      <c r="E38"/>
      <c r="F38"/>
      <c r="G38"/>
      <c r="H38"/>
      <c r="I38"/>
      <c r="J38"/>
    </row>
    <row r="39" spans="1:10" s="30" customFormat="1" x14ac:dyDescent="0.25">
      <c r="A39" s="115"/>
      <c r="B39" s="758"/>
      <c r="C39" s="706" t="s">
        <v>1314</v>
      </c>
      <c r="D39" s="706" t="s">
        <v>1318</v>
      </c>
      <c r="E39"/>
      <c r="F39"/>
      <c r="G39"/>
      <c r="H39"/>
      <c r="I39"/>
      <c r="J39"/>
    </row>
    <row r="40" spans="1:10" s="30" customFormat="1" x14ac:dyDescent="0.25">
      <c r="A40" s="115"/>
      <c r="B40" s="758"/>
      <c r="C40" s="706" t="s">
        <v>1315</v>
      </c>
      <c r="D40" s="706" t="s">
        <v>1320</v>
      </c>
      <c r="E40"/>
      <c r="F40"/>
      <c r="G40"/>
      <c r="H40"/>
      <c r="I40"/>
      <c r="J40"/>
    </row>
    <row r="41" spans="1:10" s="30" customFormat="1" x14ac:dyDescent="0.25">
      <c r="A41" s="115"/>
      <c r="B41" s="755"/>
      <c r="C41" s="706" t="s">
        <v>1317</v>
      </c>
      <c r="D41" s="706" t="s">
        <v>1371</v>
      </c>
      <c r="E41" s="706"/>
      <c r="F41" s="706"/>
      <c r="G41" s="706"/>
      <c r="H41" s="706"/>
      <c r="I41" s="706"/>
      <c r="J41" s="706"/>
    </row>
    <row r="42" spans="1:10" x14ac:dyDescent="0.25">
      <c r="A42" s="111"/>
      <c r="B42" s="758"/>
      <c r="C42" s="706" t="s">
        <v>1319</v>
      </c>
      <c r="D42" s="706" t="s">
        <v>1323</v>
      </c>
    </row>
    <row r="43" spans="1:10" ht="18" x14ac:dyDescent="0.35">
      <c r="A43" s="111"/>
      <c r="B43" s="755"/>
      <c r="C43" s="706" t="s">
        <v>1321</v>
      </c>
      <c r="D43" t="s">
        <v>1352</v>
      </c>
      <c r="E43" s="706"/>
      <c r="F43" s="706"/>
      <c r="G43" s="706"/>
      <c r="H43" s="706"/>
      <c r="I43" s="706"/>
    </row>
    <row r="44" spans="1:10" x14ac:dyDescent="0.25">
      <c r="A44" s="111"/>
    </row>
    <row r="45" spans="1:10" x14ac:dyDescent="0.25">
      <c r="A45" s="111"/>
      <c r="B45"/>
      <c r="D45" s="1" t="s">
        <v>1326</v>
      </c>
    </row>
    <row r="46" spans="1:10" x14ac:dyDescent="0.25">
      <c r="A46" s="111"/>
      <c r="B46" s="756"/>
      <c r="C46" t="s">
        <v>1322</v>
      </c>
      <c r="D46" t="s">
        <v>1353</v>
      </c>
    </row>
    <row r="47" spans="1:10" x14ac:dyDescent="0.25">
      <c r="A47" s="111"/>
      <c r="B47" s="4"/>
      <c r="C47" t="s">
        <v>1460</v>
      </c>
      <c r="D47" t="s">
        <v>1414</v>
      </c>
    </row>
    <row r="48" spans="1:10" x14ac:dyDescent="0.25">
      <c r="A48" s="111"/>
    </row>
    <row r="49" spans="1:4" x14ac:dyDescent="0.25">
      <c r="A49" s="111"/>
      <c r="B49"/>
      <c r="D49" s="1" t="s">
        <v>1374</v>
      </c>
    </row>
    <row r="50" spans="1:4" x14ac:dyDescent="0.25">
      <c r="A50" s="111"/>
      <c r="B50" s="755"/>
      <c r="C50" t="s">
        <v>1324</v>
      </c>
      <c r="D50" t="s">
        <v>1415</v>
      </c>
    </row>
    <row r="51" spans="1:4" x14ac:dyDescent="0.25">
      <c r="A51" s="111"/>
      <c r="B51" s="756"/>
      <c r="C51" t="s">
        <v>1327</v>
      </c>
      <c r="D51" t="s">
        <v>1416</v>
      </c>
    </row>
    <row r="52" spans="1:4" x14ac:dyDescent="0.25">
      <c r="A52" s="111"/>
      <c r="B52" s="756"/>
      <c r="C52" t="s">
        <v>1328</v>
      </c>
      <c r="D52" t="s">
        <v>1417</v>
      </c>
    </row>
    <row r="53" spans="1:4" x14ac:dyDescent="0.25">
      <c r="A53" s="111"/>
      <c r="B53" s="756"/>
      <c r="C53" t="s">
        <v>1329</v>
      </c>
      <c r="D53" t="s">
        <v>1354</v>
      </c>
    </row>
    <row r="54" spans="1:4" x14ac:dyDescent="0.25">
      <c r="A54" s="111"/>
      <c r="B54" s="756"/>
      <c r="C54" t="s">
        <v>1330</v>
      </c>
      <c r="D54" t="s">
        <v>1418</v>
      </c>
    </row>
    <row r="55" spans="1:4" x14ac:dyDescent="0.25">
      <c r="A55" s="111"/>
      <c r="B55" s="757"/>
      <c r="C55" t="s">
        <v>1331</v>
      </c>
      <c r="D55" t="s">
        <v>1452</v>
      </c>
    </row>
    <row r="56" spans="1:4" x14ac:dyDescent="0.25">
      <c r="A56" s="111"/>
      <c r="B56" s="756"/>
      <c r="C56" t="s">
        <v>1332</v>
      </c>
      <c r="D56" t="s">
        <v>1419</v>
      </c>
    </row>
    <row r="57" spans="1:4" x14ac:dyDescent="0.25">
      <c r="A57" s="111"/>
      <c r="B57" s="4"/>
      <c r="C57" s="746" t="s">
        <v>1461</v>
      </c>
      <c r="D57" t="s">
        <v>1455</v>
      </c>
    </row>
    <row r="58" spans="1:4" x14ac:dyDescent="0.25">
      <c r="A58" s="111"/>
      <c r="B58" s="706"/>
      <c r="D58" s="18"/>
    </row>
    <row r="59" spans="1:4" x14ac:dyDescent="0.25">
      <c r="A59" s="111"/>
      <c r="B59"/>
      <c r="D59" s="1" t="s">
        <v>1333</v>
      </c>
    </row>
    <row r="60" spans="1:4" x14ac:dyDescent="0.25">
      <c r="A60" s="111"/>
      <c r="B60" s="757"/>
      <c r="C60" t="s">
        <v>1334</v>
      </c>
      <c r="D60" t="s">
        <v>1375</v>
      </c>
    </row>
    <row r="61" spans="1:4" x14ac:dyDescent="0.25">
      <c r="A61" s="111"/>
    </row>
    <row r="62" spans="1:4" x14ac:dyDescent="0.25">
      <c r="A62" s="111"/>
    </row>
    <row r="63" spans="1:4" x14ac:dyDescent="0.25">
      <c r="A63" s="111"/>
    </row>
    <row r="64" spans="1:4" x14ac:dyDescent="0.25">
      <c r="A64" s="111"/>
      <c r="B64"/>
    </row>
    <row r="65" spans="1:2" x14ac:dyDescent="0.25">
      <c r="A65" s="111"/>
    </row>
    <row r="66" spans="1:2" x14ac:dyDescent="0.25">
      <c r="A66" s="111"/>
    </row>
    <row r="67" spans="1:2" x14ac:dyDescent="0.25">
      <c r="A67" s="111"/>
      <c r="B67"/>
    </row>
    <row r="68" spans="1:2" x14ac:dyDescent="0.25">
      <c r="A68" s="111"/>
      <c r="B68"/>
    </row>
    <row r="69" spans="1:2" x14ac:dyDescent="0.25">
      <c r="A69" s="111"/>
      <c r="B69"/>
    </row>
    <row r="70" spans="1:2" x14ac:dyDescent="0.25">
      <c r="A70" s="111"/>
    </row>
    <row r="71" spans="1:2" x14ac:dyDescent="0.25">
      <c r="A71" s="111"/>
    </row>
    <row r="72" spans="1:2" x14ac:dyDescent="0.25">
      <c r="A72" s="111"/>
    </row>
    <row r="73" spans="1:2" x14ac:dyDescent="0.25">
      <c r="A73" s="111"/>
    </row>
    <row r="74" spans="1:2" x14ac:dyDescent="0.25">
      <c r="A74" s="111"/>
    </row>
    <row r="75" spans="1:2" x14ac:dyDescent="0.25">
      <c r="A75" s="111"/>
    </row>
    <row r="76" spans="1:2" x14ac:dyDescent="0.25">
      <c r="A76" s="111"/>
    </row>
    <row r="77" spans="1:2" x14ac:dyDescent="0.25">
      <c r="A77" s="111"/>
    </row>
    <row r="78" spans="1:2" x14ac:dyDescent="0.25">
      <c r="A78" s="111"/>
    </row>
    <row r="79" spans="1:2" x14ac:dyDescent="0.25">
      <c r="A79" s="111"/>
    </row>
    <row r="80" spans="1:2" x14ac:dyDescent="0.25">
      <c r="A80" s="111"/>
    </row>
    <row r="81" spans="1:1" x14ac:dyDescent="0.25">
      <c r="A81" s="111"/>
    </row>
    <row r="82" spans="1:1" x14ac:dyDescent="0.25">
      <c r="A82" s="111"/>
    </row>
    <row r="83" spans="1:1" x14ac:dyDescent="0.25">
      <c r="A83" s="111"/>
    </row>
    <row r="84" spans="1:1" x14ac:dyDescent="0.25">
      <c r="A84" s="111"/>
    </row>
    <row r="85" spans="1:1" x14ac:dyDescent="0.25">
      <c r="A85" s="111"/>
    </row>
    <row r="86" spans="1:1" x14ac:dyDescent="0.25">
      <c r="A86" s="111"/>
    </row>
    <row r="87" spans="1:1" x14ac:dyDescent="0.25">
      <c r="A87" s="111"/>
    </row>
    <row r="88" spans="1:1" x14ac:dyDescent="0.25">
      <c r="A88" s="111"/>
    </row>
    <row r="89" spans="1:1" x14ac:dyDescent="0.25">
      <c r="A89" s="111"/>
    </row>
    <row r="90" spans="1:1" x14ac:dyDescent="0.25">
      <c r="A90" s="111"/>
    </row>
    <row r="91" spans="1:1" x14ac:dyDescent="0.25">
      <c r="A91" s="111"/>
    </row>
    <row r="92" spans="1:1" x14ac:dyDescent="0.25">
      <c r="A92" s="111"/>
    </row>
    <row r="93" spans="1:1" x14ac:dyDescent="0.25">
      <c r="A93" s="111"/>
    </row>
    <row r="94" spans="1:1" x14ac:dyDescent="0.25">
      <c r="A94" s="111"/>
    </row>
    <row r="95" spans="1:1" x14ac:dyDescent="0.25">
      <c r="A95" s="111"/>
    </row>
    <row r="96" spans="1:1" x14ac:dyDescent="0.25">
      <c r="A96" s="111"/>
    </row>
    <row r="97" spans="1:1" x14ac:dyDescent="0.25">
      <c r="A97" s="111"/>
    </row>
    <row r="98" spans="1:1" x14ac:dyDescent="0.25">
      <c r="A98" s="111"/>
    </row>
    <row r="99" spans="1:1" x14ac:dyDescent="0.25">
      <c r="A99" s="111"/>
    </row>
    <row r="100" spans="1:1" x14ac:dyDescent="0.25">
      <c r="A100" s="111"/>
    </row>
    <row r="101" spans="1:1" x14ac:dyDescent="0.25">
      <c r="A101" s="111"/>
    </row>
    <row r="102" spans="1:1" x14ac:dyDescent="0.25">
      <c r="A102" s="111"/>
    </row>
    <row r="103" spans="1:1" x14ac:dyDescent="0.25">
      <c r="A103" s="111"/>
    </row>
    <row r="104" spans="1:1" x14ac:dyDescent="0.25">
      <c r="A104" s="111"/>
    </row>
    <row r="105" spans="1:1" x14ac:dyDescent="0.25">
      <c r="A105" s="111"/>
    </row>
    <row r="106" spans="1:1" x14ac:dyDescent="0.25">
      <c r="A106" s="111"/>
    </row>
    <row r="107" spans="1:1" x14ac:dyDescent="0.25">
      <c r="A107" s="705"/>
    </row>
    <row r="116" spans="11:13" x14ac:dyDescent="0.25">
      <c r="K116" s="706"/>
      <c r="L116" s="706"/>
      <c r="M116" s="706"/>
    </row>
    <row r="131" spans="1:10" s="706" customFormat="1" x14ac:dyDescent="0.25">
      <c r="A131" s="705"/>
      <c r="B131" s="29"/>
      <c r="C131"/>
      <c r="D131"/>
      <c r="E131"/>
      <c r="F131"/>
      <c r="G131"/>
      <c r="H131"/>
      <c r="I131"/>
      <c r="J131"/>
    </row>
  </sheetData>
  <mergeCells count="3">
    <mergeCell ref="C2:D2"/>
    <mergeCell ref="C5:J5"/>
    <mergeCell ref="C6:J6"/>
  </mergeCells>
  <phoneticPr fontId="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75CFB-A02E-4EC6-9CCB-F4242B729E99}">
  <sheetPr>
    <tabColor theme="8"/>
  </sheetPr>
  <dimension ref="A1:EW360"/>
  <sheetViews>
    <sheetView tabSelected="1" zoomScale="70" zoomScaleNormal="70" workbookViewId="0">
      <pane xSplit="13" ySplit="55" topLeftCell="N56" activePane="bottomRight" state="frozen"/>
      <selection pane="topRight" activeCell="N1" sqref="N1"/>
      <selection pane="bottomLeft" activeCell="A46" sqref="A46"/>
      <selection pane="bottomRight" activeCell="E93" sqref="E93"/>
    </sheetView>
  </sheetViews>
  <sheetFormatPr defaultRowHeight="15" outlineLevelRow="1" x14ac:dyDescent="0.25"/>
  <cols>
    <col min="2" max="2" width="40.28515625" customWidth="1"/>
    <col min="3" max="3" width="18" customWidth="1"/>
    <col min="4" max="4" width="13.140625" customWidth="1"/>
    <col min="5" max="5" width="17.140625" customWidth="1"/>
    <col min="6" max="6" width="26.7109375" customWidth="1"/>
    <col min="7" max="7" width="16.85546875" customWidth="1"/>
    <col min="8" max="8" width="15.42578125" customWidth="1"/>
    <col min="9" max="9" width="9.140625" customWidth="1"/>
    <col min="10" max="10" width="25.28515625" customWidth="1"/>
    <col min="11" max="11" width="11.7109375" customWidth="1"/>
    <col min="12" max="12" width="17.5703125" customWidth="1"/>
    <col min="18" max="18" width="11.7109375" customWidth="1"/>
    <col min="22" max="22" width="9.140625" customWidth="1"/>
    <col min="32" max="32" width="9.140625" customWidth="1"/>
  </cols>
  <sheetData>
    <row r="1" spans="1:14" x14ac:dyDescent="0.25">
      <c r="A1" s="16" t="s">
        <v>244</v>
      </c>
      <c r="B1" s="18"/>
      <c r="C1" s="18"/>
      <c r="D1" s="18"/>
      <c r="E1" s="18"/>
      <c r="F1" s="18"/>
      <c r="G1" s="18"/>
      <c r="H1" s="18"/>
      <c r="I1" s="18"/>
      <c r="J1" s="18"/>
      <c r="K1" s="18"/>
      <c r="L1" s="18"/>
      <c r="M1" s="18"/>
    </row>
    <row r="2" spans="1:14" x14ac:dyDescent="0.25">
      <c r="A2" s="112"/>
      <c r="B2" s="956" t="s">
        <v>828</v>
      </c>
      <c r="C2" s="956"/>
      <c r="D2" s="956"/>
      <c r="E2" s="956"/>
      <c r="F2" s="956"/>
      <c r="G2" s="956"/>
      <c r="H2" s="956"/>
      <c r="I2" s="956"/>
      <c r="J2" s="956"/>
      <c r="K2" s="956"/>
      <c r="L2" s="956"/>
      <c r="M2" s="956"/>
      <c r="N2" s="577"/>
    </row>
    <row r="3" spans="1:14" x14ac:dyDescent="0.25">
      <c r="A3" s="112"/>
      <c r="B3" s="574"/>
      <c r="C3" s="574"/>
      <c r="D3" s="574"/>
      <c r="E3" s="574"/>
      <c r="F3" s="574"/>
      <c r="G3" s="574"/>
      <c r="H3" s="574"/>
      <c r="I3" s="574"/>
      <c r="J3" s="574"/>
      <c r="K3" s="574"/>
      <c r="L3" s="574"/>
      <c r="M3" s="574"/>
      <c r="N3" s="179"/>
    </row>
    <row r="4" spans="1:14" hidden="1" outlineLevel="1" x14ac:dyDescent="0.25">
      <c r="A4" s="114"/>
      <c r="B4" s="576" t="s">
        <v>191</v>
      </c>
      <c r="C4" s="574"/>
      <c r="D4" s="574"/>
      <c r="E4" s="574"/>
      <c r="F4" s="574"/>
      <c r="G4" s="574"/>
      <c r="H4" s="574"/>
      <c r="I4" s="574"/>
      <c r="J4" s="574"/>
      <c r="K4" s="574"/>
      <c r="L4" s="574"/>
      <c r="M4" s="574"/>
      <c r="N4" s="179"/>
    </row>
    <row r="5" spans="1:14" hidden="1" outlineLevel="1" x14ac:dyDescent="0.25">
      <c r="A5" s="114"/>
      <c r="B5" s="957" t="s">
        <v>1045</v>
      </c>
      <c r="C5" s="957"/>
      <c r="D5" s="957"/>
      <c r="E5" s="957"/>
      <c r="F5" s="957"/>
      <c r="G5" s="957"/>
      <c r="H5" s="957"/>
      <c r="I5" s="957"/>
      <c r="J5" s="957"/>
      <c r="K5" s="574"/>
      <c r="L5" s="574"/>
      <c r="M5" s="574"/>
      <c r="N5" s="179"/>
    </row>
    <row r="6" spans="1:14" hidden="1" outlineLevel="1" x14ac:dyDescent="0.25">
      <c r="A6" s="114"/>
      <c r="B6" s="957" t="s">
        <v>1046</v>
      </c>
      <c r="C6" s="957"/>
      <c r="D6" s="957"/>
      <c r="E6" s="957"/>
      <c r="F6" s="957"/>
      <c r="G6" s="957"/>
      <c r="H6" s="957"/>
      <c r="I6" s="957"/>
      <c r="J6" s="957"/>
      <c r="K6" s="574"/>
      <c r="L6" s="574"/>
      <c r="M6" s="574"/>
      <c r="N6" s="179"/>
    </row>
    <row r="7" spans="1:14" hidden="1" outlineLevel="1" x14ac:dyDescent="0.25">
      <c r="A7" s="114"/>
      <c r="B7" s="957" t="s">
        <v>193</v>
      </c>
      <c r="C7" s="957"/>
      <c r="D7" s="957"/>
      <c r="E7" s="957"/>
      <c r="F7" s="957"/>
      <c r="G7" s="957"/>
      <c r="H7" s="957"/>
      <c r="I7" s="957"/>
      <c r="J7" s="957"/>
      <c r="K7" s="574"/>
      <c r="L7" s="574"/>
      <c r="M7" s="574"/>
      <c r="N7" s="179"/>
    </row>
    <row r="8" spans="1:14" hidden="1" outlineLevel="1" x14ac:dyDescent="0.25">
      <c r="A8" s="114"/>
      <c r="B8" s="575"/>
      <c r="C8" s="575"/>
      <c r="D8" s="575"/>
      <c r="E8" s="575"/>
      <c r="F8" s="575"/>
      <c r="G8" s="575"/>
      <c r="H8" s="575"/>
      <c r="I8" s="575"/>
      <c r="J8" s="575"/>
      <c r="K8" s="574"/>
      <c r="L8" s="574"/>
      <c r="M8" s="574"/>
      <c r="N8" s="179"/>
    </row>
    <row r="9" spans="1:14" hidden="1" outlineLevel="1" x14ac:dyDescent="0.25">
      <c r="A9" s="114"/>
      <c r="B9" s="958" t="s">
        <v>1047</v>
      </c>
      <c r="C9" s="958"/>
      <c r="D9" s="958"/>
      <c r="E9" s="958"/>
      <c r="F9" s="958"/>
      <c r="G9" s="958"/>
      <c r="H9" s="958"/>
      <c r="I9" s="958"/>
      <c r="J9" s="958"/>
      <c r="K9" s="574"/>
      <c r="L9" s="574"/>
      <c r="M9" s="574"/>
      <c r="N9" s="179"/>
    </row>
    <row r="10" spans="1:14" ht="15" hidden="1" customHeight="1" outlineLevel="1" x14ac:dyDescent="0.25">
      <c r="A10" s="114"/>
      <c r="B10" s="961" t="s">
        <v>1048</v>
      </c>
      <c r="C10" s="961"/>
      <c r="D10" s="961"/>
      <c r="E10" s="961"/>
      <c r="F10" s="961"/>
      <c r="G10" s="961"/>
      <c r="H10" s="961"/>
      <c r="I10" s="961"/>
      <c r="J10" s="961"/>
      <c r="K10" s="574"/>
      <c r="L10" s="574"/>
      <c r="M10" s="574"/>
      <c r="N10" s="179"/>
    </row>
    <row r="11" spans="1:14" hidden="1" outlineLevel="1" x14ac:dyDescent="0.25">
      <c r="A11" s="114"/>
      <c r="B11" s="961"/>
      <c r="C11" s="961"/>
      <c r="D11" s="961"/>
      <c r="E11" s="961"/>
      <c r="F11" s="961"/>
      <c r="G11" s="961"/>
      <c r="H11" s="961"/>
      <c r="I11" s="961"/>
      <c r="J11" s="961"/>
      <c r="K11" s="574"/>
      <c r="L11" s="574"/>
      <c r="M11" s="574"/>
      <c r="N11" s="179"/>
    </row>
    <row r="12" spans="1:14" hidden="1" outlineLevel="1" x14ac:dyDescent="0.25">
      <c r="A12" s="114"/>
      <c r="B12" s="576" t="s">
        <v>199</v>
      </c>
      <c r="C12" s="574"/>
      <c r="D12" s="574"/>
      <c r="E12" s="574"/>
      <c r="F12" s="574"/>
      <c r="G12" s="574"/>
      <c r="H12" s="574"/>
      <c r="I12" s="574"/>
      <c r="J12" s="574"/>
      <c r="K12" s="574"/>
      <c r="L12" s="574"/>
      <c r="M12" s="574"/>
      <c r="N12" s="179"/>
    </row>
    <row r="13" spans="1:14" hidden="1" outlineLevel="1" x14ac:dyDescent="0.25">
      <c r="A13" s="114"/>
      <c r="B13" s="957" t="s">
        <v>200</v>
      </c>
      <c r="C13" s="957"/>
      <c r="D13" s="957"/>
      <c r="E13" s="957"/>
      <c r="F13" s="957"/>
      <c r="G13" s="957"/>
      <c r="H13" s="957"/>
      <c r="I13" s="957"/>
      <c r="J13" s="957"/>
      <c r="K13" s="574"/>
      <c r="L13" s="574"/>
      <c r="M13" s="574"/>
      <c r="N13" s="179"/>
    </row>
    <row r="14" spans="1:14" hidden="1" outlineLevel="1" x14ac:dyDescent="0.25">
      <c r="A14" s="114"/>
      <c r="B14" s="710"/>
      <c r="C14" s="710"/>
      <c r="D14" s="710"/>
      <c r="E14" s="710"/>
      <c r="F14" s="710"/>
      <c r="G14" s="710"/>
      <c r="H14" s="710"/>
      <c r="I14" s="710"/>
      <c r="J14" s="710"/>
      <c r="K14" s="574"/>
      <c r="L14" s="574"/>
      <c r="M14" s="574"/>
      <c r="N14" s="706"/>
    </row>
    <row r="15" spans="1:14" hidden="1" outlineLevel="1" x14ac:dyDescent="0.25">
      <c r="A15" s="739"/>
      <c r="B15" s="2" t="s">
        <v>23</v>
      </c>
    </row>
    <row r="16" spans="1:14" hidden="1" outlineLevel="1" x14ac:dyDescent="0.25">
      <c r="A16" s="739"/>
      <c r="B16" s="864" t="s">
        <v>24</v>
      </c>
      <c r="C16" s="864"/>
      <c r="D16" s="864"/>
      <c r="E16" s="864"/>
    </row>
    <row r="17" spans="1:14" hidden="1" outlineLevel="1" x14ac:dyDescent="0.25">
      <c r="A17" s="739"/>
      <c r="B17" s="863" t="s">
        <v>25</v>
      </c>
      <c r="C17" s="863"/>
      <c r="D17" s="863"/>
      <c r="E17" s="863"/>
    </row>
    <row r="18" spans="1:14" hidden="1" outlineLevel="1" x14ac:dyDescent="0.25">
      <c r="A18" s="739"/>
    </row>
    <row r="19" spans="1:14" hidden="1" outlineLevel="1" x14ac:dyDescent="0.25">
      <c r="A19" s="739"/>
      <c r="B19" s="871" t="s">
        <v>36</v>
      </c>
      <c r="C19" s="871"/>
      <c r="D19" s="871"/>
      <c r="E19" s="871"/>
    </row>
    <row r="20" spans="1:14" hidden="1" outlineLevel="1" x14ac:dyDescent="0.25">
      <c r="A20" s="739"/>
      <c r="B20" s="870" t="s">
        <v>35</v>
      </c>
      <c r="C20" s="870"/>
      <c r="D20" s="870"/>
      <c r="E20" s="870"/>
    </row>
    <row r="21" spans="1:14" hidden="1" outlineLevel="1" x14ac:dyDescent="0.25">
      <c r="A21" s="739"/>
      <c r="B21" s="5"/>
    </row>
    <row r="22" spans="1:14" hidden="1" outlineLevel="1" x14ac:dyDescent="0.25">
      <c r="A22" s="739"/>
      <c r="B22" s="869" t="s">
        <v>52</v>
      </c>
      <c r="C22" s="869"/>
      <c r="D22" s="869"/>
      <c r="E22" s="869"/>
    </row>
    <row r="23" spans="1:14" hidden="1" outlineLevel="1" x14ac:dyDescent="0.25">
      <c r="A23" s="739"/>
      <c r="B23" s="868" t="s">
        <v>243</v>
      </c>
      <c r="C23" s="868"/>
      <c r="D23" s="868"/>
      <c r="E23" s="868"/>
    </row>
    <row r="24" spans="1:14" collapsed="1" x14ac:dyDescent="0.25">
      <c r="A24" s="570"/>
      <c r="B24" s="571"/>
      <c r="C24" s="571"/>
      <c r="D24" s="571"/>
      <c r="E24" s="571"/>
      <c r="F24" s="571"/>
      <c r="G24" s="571"/>
      <c r="H24" s="571"/>
      <c r="I24" s="571"/>
      <c r="J24" s="571"/>
      <c r="K24" s="571"/>
      <c r="L24" s="571"/>
      <c r="M24" s="571"/>
      <c r="N24" s="179"/>
    </row>
    <row r="25" spans="1:14" hidden="1" outlineLevel="1" x14ac:dyDescent="0.25">
      <c r="A25" s="572"/>
      <c r="B25" s="957"/>
      <c r="C25" s="957"/>
      <c r="D25" s="957"/>
      <c r="E25" s="957"/>
      <c r="F25" s="957"/>
      <c r="G25" s="957"/>
      <c r="H25" s="957"/>
      <c r="I25" s="957"/>
      <c r="J25" s="957"/>
      <c r="K25" s="574"/>
      <c r="L25" s="574"/>
      <c r="M25" s="574"/>
      <c r="N25" s="179"/>
    </row>
    <row r="26" spans="1:14" hidden="1" outlineLevel="1" x14ac:dyDescent="0.25">
      <c r="A26" s="572"/>
      <c r="B26" s="573" t="s">
        <v>1049</v>
      </c>
      <c r="C26" s="574"/>
      <c r="D26" s="574"/>
      <c r="E26" s="574"/>
      <c r="F26" s="574"/>
      <c r="G26" s="574"/>
      <c r="H26" s="574"/>
      <c r="I26" s="574"/>
      <c r="J26" s="574"/>
      <c r="K26" s="574"/>
      <c r="L26" s="574"/>
      <c r="M26" s="574"/>
      <c r="N26" s="179"/>
    </row>
    <row r="27" spans="1:14" hidden="1" outlineLevel="1" x14ac:dyDescent="0.25">
      <c r="A27" s="572"/>
      <c r="B27" s="574"/>
      <c r="C27" s="574"/>
      <c r="D27" s="574"/>
      <c r="E27" s="574"/>
      <c r="F27" s="574"/>
      <c r="G27" s="574"/>
      <c r="H27" s="574"/>
      <c r="I27" s="574"/>
      <c r="J27" s="574"/>
      <c r="K27" s="574"/>
      <c r="L27" s="574"/>
      <c r="M27" s="574"/>
      <c r="N27" s="179"/>
    </row>
    <row r="28" spans="1:14" hidden="1" outlineLevel="1" x14ac:dyDescent="0.25">
      <c r="A28" s="572"/>
      <c r="B28" s="574"/>
      <c r="C28" s="574"/>
      <c r="D28" s="574"/>
      <c r="E28" s="574"/>
      <c r="F28" s="574"/>
      <c r="G28" s="574"/>
      <c r="H28" s="574"/>
      <c r="I28" s="574"/>
      <c r="J28" s="574"/>
      <c r="K28" s="574"/>
      <c r="L28" s="574"/>
      <c r="M28" s="574"/>
      <c r="N28" s="179"/>
    </row>
    <row r="29" spans="1:14" hidden="1" outlineLevel="1" x14ac:dyDescent="0.25">
      <c r="A29" s="572"/>
      <c r="B29" s="574"/>
      <c r="C29" s="574"/>
      <c r="D29" s="574"/>
      <c r="E29" s="574"/>
      <c r="F29" s="574"/>
      <c r="G29" s="574"/>
      <c r="H29" s="574"/>
      <c r="I29" s="574"/>
      <c r="J29" s="574"/>
      <c r="K29" s="574"/>
      <c r="L29" s="574"/>
      <c r="M29" s="574"/>
      <c r="N29" s="179"/>
    </row>
    <row r="30" spans="1:14" hidden="1" outlineLevel="1" x14ac:dyDescent="0.25">
      <c r="A30" s="572"/>
      <c r="B30" s="574"/>
      <c r="C30" s="574"/>
      <c r="D30" s="574"/>
      <c r="E30" s="574"/>
      <c r="F30" s="574"/>
      <c r="G30" s="574"/>
      <c r="H30" s="574"/>
      <c r="I30" s="574"/>
      <c r="J30" s="574"/>
      <c r="K30" s="574"/>
      <c r="L30" s="574"/>
      <c r="M30" s="574"/>
      <c r="N30" s="179"/>
    </row>
    <row r="31" spans="1:14" hidden="1" outlineLevel="1" x14ac:dyDescent="0.25">
      <c r="A31" s="572"/>
      <c r="B31" s="574"/>
      <c r="C31" s="574"/>
      <c r="D31" s="574"/>
      <c r="E31" s="574"/>
      <c r="F31" s="574"/>
      <c r="G31" s="574"/>
      <c r="H31" s="574"/>
      <c r="I31" s="574"/>
      <c r="J31" s="574"/>
      <c r="K31" s="574"/>
      <c r="L31" s="574"/>
      <c r="M31" s="574"/>
      <c r="N31" s="179"/>
    </row>
    <row r="32" spans="1:14" hidden="1" outlineLevel="1" x14ac:dyDescent="0.25">
      <c r="A32" s="572"/>
      <c r="B32" s="574"/>
      <c r="C32" s="574"/>
      <c r="D32" s="574"/>
      <c r="E32" s="574"/>
      <c r="F32" s="574"/>
      <c r="G32" s="574"/>
      <c r="H32" s="574"/>
      <c r="I32" s="574"/>
      <c r="J32" s="574"/>
      <c r="K32" s="574"/>
      <c r="L32" s="574"/>
      <c r="M32" s="574"/>
      <c r="N32" s="179"/>
    </row>
    <row r="33" spans="1:14" hidden="1" outlineLevel="1" x14ac:dyDescent="0.25">
      <c r="A33" s="572"/>
      <c r="B33" s="574"/>
      <c r="C33" s="574"/>
      <c r="D33" s="574"/>
      <c r="E33" s="574"/>
      <c r="F33" s="574"/>
      <c r="G33" s="574"/>
      <c r="H33" s="574"/>
      <c r="I33" s="574"/>
      <c r="J33" s="574"/>
      <c r="K33" s="574"/>
      <c r="L33" s="574"/>
      <c r="M33" s="574"/>
      <c r="N33" s="179"/>
    </row>
    <row r="34" spans="1:14" hidden="1" outlineLevel="1" x14ac:dyDescent="0.25">
      <c r="A34" s="572"/>
      <c r="B34" s="574"/>
      <c r="C34" s="574"/>
      <c r="D34" s="574"/>
      <c r="E34" s="574"/>
      <c r="F34" s="574"/>
      <c r="G34" s="574"/>
      <c r="H34" s="574"/>
      <c r="I34" s="574"/>
      <c r="J34" s="574"/>
      <c r="K34" s="574"/>
      <c r="L34" s="574"/>
      <c r="M34" s="574"/>
      <c r="N34" s="179"/>
    </row>
    <row r="35" spans="1:14" hidden="1" outlineLevel="1" x14ac:dyDescent="0.25">
      <c r="A35" s="572"/>
      <c r="B35" s="574"/>
      <c r="C35" s="574"/>
      <c r="D35" s="574"/>
      <c r="E35" s="574"/>
      <c r="F35" s="574"/>
      <c r="G35" s="574"/>
      <c r="H35" s="574"/>
      <c r="I35" s="574"/>
      <c r="J35" s="574"/>
      <c r="K35" s="574"/>
      <c r="L35" s="574"/>
      <c r="M35" s="574"/>
      <c r="N35" s="179"/>
    </row>
    <row r="36" spans="1:14" hidden="1" outlineLevel="1" x14ac:dyDescent="0.25">
      <c r="A36" s="572"/>
      <c r="B36" s="574"/>
      <c r="C36" s="574"/>
      <c r="E36" s="574"/>
      <c r="F36" s="574"/>
      <c r="G36" s="574"/>
      <c r="H36" s="574"/>
      <c r="I36" s="574"/>
      <c r="J36" s="574"/>
      <c r="K36" s="574"/>
      <c r="L36" s="574"/>
      <c r="M36" s="574"/>
      <c r="N36" s="179"/>
    </row>
    <row r="37" spans="1:14" hidden="1" outlineLevel="1" x14ac:dyDescent="0.25">
      <c r="A37" s="572"/>
      <c r="B37" s="574"/>
      <c r="C37" s="574"/>
      <c r="D37" s="574"/>
      <c r="E37" s="574"/>
      <c r="F37" s="574"/>
      <c r="G37" s="574"/>
      <c r="H37" s="574"/>
      <c r="I37" s="574"/>
      <c r="J37" s="574"/>
      <c r="K37" s="574"/>
      <c r="L37" s="574"/>
      <c r="M37" s="574"/>
      <c r="N37" s="179"/>
    </row>
    <row r="38" spans="1:14" hidden="1" outlineLevel="1" x14ac:dyDescent="0.25">
      <c r="A38" s="572"/>
      <c r="B38" s="574"/>
      <c r="C38" s="574"/>
      <c r="D38" s="574"/>
      <c r="E38" s="574"/>
      <c r="F38" s="574"/>
      <c r="G38" s="574"/>
      <c r="H38" s="574"/>
      <c r="I38" s="574"/>
      <c r="J38" s="574"/>
      <c r="K38" s="574"/>
      <c r="L38" s="574"/>
      <c r="M38" s="574"/>
      <c r="N38" s="179"/>
    </row>
    <row r="39" spans="1:14" hidden="1" outlineLevel="1" x14ac:dyDescent="0.25">
      <c r="A39" s="572"/>
      <c r="B39" s="574"/>
      <c r="C39" s="574"/>
      <c r="D39" s="574"/>
      <c r="E39" s="574"/>
      <c r="F39" s="574"/>
      <c r="G39" s="574"/>
      <c r="H39" s="574"/>
      <c r="I39" s="574"/>
      <c r="J39" s="574"/>
      <c r="K39" s="574"/>
      <c r="L39" s="574"/>
      <c r="M39" s="574"/>
      <c r="N39" s="179"/>
    </row>
    <row r="40" spans="1:14" hidden="1" outlineLevel="1" x14ac:dyDescent="0.25">
      <c r="A40" s="572"/>
      <c r="B40" s="574"/>
      <c r="C40" s="574"/>
      <c r="D40" s="574"/>
      <c r="E40" s="574"/>
      <c r="F40" s="574"/>
      <c r="G40" s="574"/>
      <c r="H40" s="574"/>
      <c r="I40" s="574"/>
      <c r="J40" s="574"/>
      <c r="K40" s="574"/>
      <c r="L40" s="574"/>
      <c r="M40" s="574"/>
      <c r="N40" s="179"/>
    </row>
    <row r="41" spans="1:14" hidden="1" outlineLevel="1" x14ac:dyDescent="0.25">
      <c r="A41" s="572"/>
      <c r="B41" s="574"/>
      <c r="C41" s="574"/>
      <c r="D41" s="574"/>
      <c r="E41" s="574"/>
      <c r="F41" s="574"/>
      <c r="G41" s="574"/>
      <c r="H41" s="574"/>
      <c r="I41" s="574"/>
      <c r="J41" s="574"/>
      <c r="K41" s="574"/>
      <c r="L41" s="574"/>
      <c r="M41" s="574"/>
      <c r="N41" s="179"/>
    </row>
    <row r="42" spans="1:14" hidden="1" outlineLevel="1" x14ac:dyDescent="0.25">
      <c r="A42" s="572"/>
      <c r="B42" s="574"/>
      <c r="C42" s="574"/>
      <c r="D42" s="574"/>
      <c r="E42" s="574"/>
      <c r="F42" s="574"/>
      <c r="G42" s="574"/>
      <c r="H42" s="574"/>
      <c r="I42" s="574"/>
      <c r="J42" s="574"/>
      <c r="K42" s="574"/>
      <c r="L42" s="574"/>
      <c r="M42" s="574"/>
      <c r="N42" s="179"/>
    </row>
    <row r="43" spans="1:14" hidden="1" outlineLevel="1" x14ac:dyDescent="0.25">
      <c r="A43" s="572"/>
      <c r="B43" s="574"/>
      <c r="C43" s="574"/>
      <c r="D43" s="574"/>
      <c r="E43" s="574"/>
      <c r="F43" s="574"/>
      <c r="G43" s="574"/>
      <c r="H43" s="574"/>
      <c r="I43" s="574"/>
      <c r="J43" s="574"/>
      <c r="K43" s="574"/>
      <c r="L43" s="574"/>
      <c r="M43" s="574"/>
      <c r="N43" s="179"/>
    </row>
    <row r="44" spans="1:14" hidden="1" outlineLevel="1" x14ac:dyDescent="0.25">
      <c r="A44" s="572"/>
      <c r="B44" s="574"/>
      <c r="C44" s="574"/>
      <c r="D44" s="574"/>
      <c r="E44" s="574"/>
      <c r="F44" s="574"/>
      <c r="G44" s="574"/>
      <c r="H44" s="574"/>
      <c r="I44" s="574"/>
      <c r="J44" s="574"/>
      <c r="K44" s="574"/>
      <c r="L44" s="574"/>
      <c r="M44" s="574"/>
      <c r="N44" s="179"/>
    </row>
    <row r="45" spans="1:14" hidden="1" outlineLevel="1" x14ac:dyDescent="0.25">
      <c r="A45" s="572"/>
      <c r="B45" s="574"/>
      <c r="C45" s="574"/>
      <c r="D45" s="574"/>
      <c r="E45" s="574"/>
      <c r="F45" s="574"/>
      <c r="G45" s="574"/>
      <c r="H45" s="574"/>
      <c r="I45" s="574"/>
      <c r="J45" s="574"/>
      <c r="K45" s="574"/>
      <c r="L45" s="574"/>
      <c r="M45" s="574"/>
      <c r="N45" s="179"/>
    </row>
    <row r="46" spans="1:14" hidden="1" outlineLevel="1" x14ac:dyDescent="0.25">
      <c r="A46" s="572"/>
      <c r="B46" s="574"/>
      <c r="C46" s="574"/>
      <c r="D46" s="574"/>
      <c r="E46" s="574"/>
      <c r="F46" s="574"/>
      <c r="G46" s="574"/>
      <c r="H46" s="574"/>
      <c r="I46" s="574"/>
      <c r="J46" s="574"/>
      <c r="K46" s="574"/>
      <c r="L46" s="574"/>
      <c r="M46" s="574"/>
      <c r="N46" s="179"/>
    </row>
    <row r="47" spans="1:14" hidden="1" outlineLevel="1" x14ac:dyDescent="0.25">
      <c r="A47" s="572"/>
      <c r="B47" s="574"/>
      <c r="C47" s="574"/>
      <c r="D47" s="574"/>
      <c r="E47" s="574"/>
      <c r="F47" s="574"/>
      <c r="G47" s="574"/>
      <c r="H47" s="574"/>
      <c r="I47" s="574"/>
      <c r="J47" s="574"/>
      <c r="K47" s="574"/>
      <c r="L47" s="574"/>
      <c r="M47" s="574"/>
      <c r="N47" s="179"/>
    </row>
    <row r="48" spans="1:14" hidden="1" outlineLevel="1" x14ac:dyDescent="0.25">
      <c r="A48" s="572"/>
      <c r="B48" s="574"/>
      <c r="C48" s="574"/>
      <c r="D48" s="574"/>
      <c r="E48" s="574"/>
      <c r="F48" s="574"/>
      <c r="G48" s="574"/>
      <c r="H48" s="574"/>
      <c r="I48" s="574"/>
      <c r="J48" s="574"/>
      <c r="K48" s="574"/>
      <c r="L48" s="574"/>
      <c r="M48" s="574"/>
      <c r="N48" s="179"/>
    </row>
    <row r="49" spans="1:26" hidden="1" outlineLevel="1" x14ac:dyDescent="0.25">
      <c r="A49" s="572"/>
      <c r="B49" s="574"/>
      <c r="C49" s="574"/>
      <c r="D49" s="574"/>
      <c r="E49" s="574"/>
      <c r="F49" s="574"/>
      <c r="G49" s="574"/>
      <c r="H49" s="574"/>
      <c r="I49" s="574"/>
      <c r="J49" s="574"/>
      <c r="K49" s="574"/>
      <c r="L49" s="574"/>
      <c r="M49" s="574"/>
      <c r="N49" s="179"/>
    </row>
    <row r="50" spans="1:26" hidden="1" outlineLevel="1" x14ac:dyDescent="0.25">
      <c r="A50" s="570"/>
      <c r="B50" s="571"/>
      <c r="C50" s="571"/>
      <c r="D50" s="571"/>
      <c r="E50" s="571"/>
      <c r="F50" s="571"/>
      <c r="G50" s="571"/>
      <c r="H50" s="571"/>
      <c r="I50" s="571"/>
      <c r="J50" s="571"/>
      <c r="K50" s="571"/>
      <c r="L50" s="571"/>
      <c r="M50" s="571"/>
      <c r="N50" s="179"/>
    </row>
    <row r="51" spans="1:26" collapsed="1" x14ac:dyDescent="0.25">
      <c r="A51" s="14"/>
      <c r="B51" s="179"/>
      <c r="C51" s="179"/>
      <c r="D51" s="179"/>
      <c r="E51" s="179"/>
      <c r="F51" s="179"/>
      <c r="G51" s="179"/>
      <c r="H51" s="179"/>
      <c r="I51" s="179"/>
      <c r="J51" s="179"/>
      <c r="K51" s="179"/>
      <c r="L51" s="179"/>
      <c r="M51" s="179"/>
      <c r="N51" s="179"/>
    </row>
    <row r="52" spans="1:26" x14ac:dyDescent="0.25">
      <c r="A52" s="103"/>
      <c r="B52" s="962" t="s">
        <v>146</v>
      </c>
      <c r="C52" s="962"/>
      <c r="D52" s="962"/>
      <c r="E52" s="962"/>
      <c r="F52" s="962"/>
      <c r="G52" s="962"/>
      <c r="H52" s="962"/>
      <c r="I52" s="962"/>
      <c r="J52" s="962"/>
      <c r="K52" s="962"/>
      <c r="L52" s="962"/>
      <c r="M52" s="962"/>
      <c r="N52" s="105"/>
    </row>
    <row r="53" spans="1:26" x14ac:dyDescent="0.25">
      <c r="A53" s="103"/>
      <c r="B53" s="963" t="s">
        <v>147</v>
      </c>
      <c r="C53" s="963"/>
      <c r="D53" s="963"/>
      <c r="E53" s="963"/>
      <c r="F53" s="963"/>
      <c r="G53" s="963"/>
      <c r="H53" s="963"/>
      <c r="I53" s="621"/>
      <c r="J53" s="621"/>
      <c r="K53" s="621"/>
      <c r="L53" s="621"/>
      <c r="M53" s="621"/>
      <c r="N53" s="105"/>
    </row>
    <row r="54" spans="1:26" x14ac:dyDescent="0.25">
      <c r="A54" s="24"/>
      <c r="B54" s="964" t="s">
        <v>144</v>
      </c>
      <c r="C54" s="964"/>
      <c r="D54" s="964"/>
      <c r="E54" s="964"/>
      <c r="F54" s="964" t="s">
        <v>181</v>
      </c>
      <c r="G54" s="964"/>
      <c r="H54" s="964"/>
      <c r="I54" s="571"/>
      <c r="J54" s="965" t="s">
        <v>182</v>
      </c>
      <c r="K54" s="965"/>
      <c r="L54" s="965"/>
      <c r="M54" s="571"/>
      <c r="N54" s="30"/>
    </row>
    <row r="55" spans="1:26" ht="15" customHeight="1" x14ac:dyDescent="0.25">
      <c r="A55" s="24"/>
      <c r="B55" s="622" t="s">
        <v>149</v>
      </c>
      <c r="C55" s="622" t="s">
        <v>148</v>
      </c>
      <c r="D55" s="622" t="s">
        <v>54</v>
      </c>
      <c r="E55" s="570" t="s">
        <v>180</v>
      </c>
      <c r="F55" s="622" t="s">
        <v>149</v>
      </c>
      <c r="G55" s="622" t="s">
        <v>148</v>
      </c>
      <c r="H55" s="622" t="s">
        <v>54</v>
      </c>
      <c r="I55" s="570" t="s">
        <v>180</v>
      </c>
      <c r="J55" s="622" t="s">
        <v>149</v>
      </c>
      <c r="K55" s="622" t="s">
        <v>148</v>
      </c>
      <c r="L55" s="622" t="s">
        <v>54</v>
      </c>
      <c r="M55" s="622" t="s">
        <v>180</v>
      </c>
      <c r="N55" s="30" t="s">
        <v>151</v>
      </c>
    </row>
    <row r="56" spans="1:26" x14ac:dyDescent="0.25">
      <c r="A56" s="24"/>
      <c r="B56" s="959" t="s">
        <v>1050</v>
      </c>
      <c r="C56" s="959"/>
      <c r="D56" s="959"/>
      <c r="E56" s="959"/>
      <c r="F56" s="959"/>
      <c r="G56" s="959"/>
      <c r="H56" s="959"/>
      <c r="I56" s="959"/>
      <c r="J56" s="959"/>
      <c r="K56" s="959"/>
      <c r="L56" s="959"/>
      <c r="M56" s="959"/>
      <c r="N56" s="30"/>
      <c r="U56" s="29"/>
      <c r="V56" s="29"/>
      <c r="W56" s="29"/>
      <c r="X56" s="29"/>
      <c r="Y56" s="29"/>
    </row>
    <row r="57" spans="1:26" ht="15" customHeight="1" x14ac:dyDescent="0.25">
      <c r="B57" s="940" t="s">
        <v>1055</v>
      </c>
      <c r="C57" s="940"/>
      <c r="D57" s="940"/>
      <c r="E57" s="940"/>
      <c r="F57" s="940"/>
      <c r="G57" s="940"/>
      <c r="H57" s="940"/>
      <c r="I57" s="940"/>
      <c r="J57" s="940"/>
      <c r="K57" s="940"/>
      <c r="L57" s="940"/>
      <c r="M57" s="940"/>
      <c r="O57" s="144">
        <f>K290</f>
        <v>23.530848208642496</v>
      </c>
      <c r="R57" s="39" t="s">
        <v>1559</v>
      </c>
      <c r="S57" s="39"/>
      <c r="T57" s="39"/>
      <c r="U57" s="578">
        <v>0</v>
      </c>
      <c r="V57">
        <f>FuelProd3!P167*(U57)+FuelProd3!P169*(U57)+FuelProd2!AS25*(U57)</f>
        <v>0</v>
      </c>
      <c r="W57" s="29"/>
    </row>
    <row r="58" spans="1:26" x14ac:dyDescent="0.25">
      <c r="B58" s="623" t="s">
        <v>1056</v>
      </c>
      <c r="C58" s="615">
        <v>100</v>
      </c>
      <c r="D58" s="624" t="s">
        <v>62</v>
      </c>
      <c r="E58" s="626" t="s">
        <v>1099</v>
      </c>
      <c r="F58" s="583" t="s">
        <v>1342</v>
      </c>
      <c r="G58" s="584"/>
      <c r="H58" s="584"/>
      <c r="I58" s="585"/>
      <c r="J58" s="583"/>
      <c r="K58" s="584"/>
      <c r="L58" s="584"/>
      <c r="M58" s="585"/>
      <c r="O58" s="144">
        <f>K292</f>
        <v>12.591731271216922</v>
      </c>
      <c r="P58" s="144">
        <f>G287</f>
        <v>2.7066979809097349</v>
      </c>
      <c r="R58" s="29" t="s">
        <v>1558</v>
      </c>
      <c r="S58" s="29"/>
      <c r="T58" s="29"/>
      <c r="U58" s="29"/>
    </row>
    <row r="59" spans="1:26" ht="15" customHeight="1" x14ac:dyDescent="0.25">
      <c r="B59" s="609" t="s">
        <v>1497</v>
      </c>
      <c r="C59" s="580">
        <v>0.33</v>
      </c>
      <c r="D59" s="581" t="s">
        <v>105</v>
      </c>
      <c r="E59" s="600" t="s">
        <v>1100</v>
      </c>
      <c r="F59" s="741" t="s">
        <v>322</v>
      </c>
      <c r="G59" s="600" t="s">
        <v>716</v>
      </c>
      <c r="H59" s="708"/>
      <c r="I59" s="705"/>
      <c r="J59" s="126"/>
      <c r="K59" s="579"/>
      <c r="L59" s="579"/>
      <c r="M59" s="180"/>
      <c r="R59" t="s">
        <v>160</v>
      </c>
      <c r="S59" s="29" t="s">
        <v>257</v>
      </c>
      <c r="T59" s="29" t="s">
        <v>1536</v>
      </c>
      <c r="U59" s="29" t="s">
        <v>270</v>
      </c>
      <c r="V59" s="30"/>
      <c r="W59" s="30"/>
    </row>
    <row r="60" spans="1:26" x14ac:dyDescent="0.25">
      <c r="B60" s="609" t="s">
        <v>1211</v>
      </c>
      <c r="C60" s="700">
        <v>0.76</v>
      </c>
      <c r="D60" s="179" t="s">
        <v>105</v>
      </c>
      <c r="E60" s="600" t="s">
        <v>1284</v>
      </c>
      <c r="F60" s="616" t="s">
        <v>354</v>
      </c>
      <c r="G60" s="743">
        <f>FuelProd3!P167*(1-U57)</f>
        <v>29.680804781841001</v>
      </c>
      <c r="H60" s="708" t="s">
        <v>62</v>
      </c>
      <c r="I60" s="705"/>
      <c r="J60" s="126"/>
      <c r="K60" s="579"/>
      <c r="L60" s="579"/>
      <c r="M60" s="180"/>
      <c r="R60" s="790">
        <f>G61/C58</f>
        <v>0.47741294483998969</v>
      </c>
      <c r="S60" s="790">
        <f>G60/(G65+G62+G60)</f>
        <v>0.73400788496667024</v>
      </c>
      <c r="T60" s="790">
        <f>G62/(G65+G62+G60)</f>
        <v>0.16272816317657304</v>
      </c>
      <c r="U60" s="790">
        <f>G65/(G65+G62+G60)</f>
        <v>0.10326395185675682</v>
      </c>
      <c r="V60" s="30"/>
    </row>
    <row r="61" spans="1:26" x14ac:dyDescent="0.25">
      <c r="B61" s="609" t="s">
        <v>1496</v>
      </c>
      <c r="C61" s="39">
        <v>43.744</v>
      </c>
      <c r="D61" s="582" t="s">
        <v>59</v>
      </c>
      <c r="E61" s="600" t="s">
        <v>1285</v>
      </c>
      <c r="F61" s="616" t="s">
        <v>260</v>
      </c>
      <c r="G61" s="743">
        <f>FuelProd3!P168+V57</f>
        <v>47.741294483998971</v>
      </c>
      <c r="H61" s="708" t="s">
        <v>62</v>
      </c>
      <c r="I61" s="705"/>
      <c r="J61" s="126"/>
      <c r="K61" s="579"/>
      <c r="L61" s="579"/>
      <c r="M61" s="180"/>
      <c r="S61" s="144"/>
      <c r="W61" s="144"/>
      <c r="X61" s="144"/>
      <c r="Y61" s="144"/>
      <c r="Z61" s="144"/>
    </row>
    <row r="62" spans="1:26" ht="15" customHeight="1" x14ac:dyDescent="0.25">
      <c r="B62" s="609"/>
      <c r="C62" s="579"/>
      <c r="D62" s="582"/>
      <c r="E62" s="600"/>
      <c r="F62" s="616" t="s">
        <v>112</v>
      </c>
      <c r="G62" s="743">
        <f>FuelProd3!P169*(1-U57)</f>
        <v>6.5801784186156915</v>
      </c>
      <c r="H62" s="708" t="s">
        <v>62</v>
      </c>
      <c r="I62" s="705"/>
      <c r="J62" s="126"/>
      <c r="K62" s="579"/>
      <c r="L62" s="579"/>
      <c r="M62" s="180"/>
      <c r="S62" s="144"/>
      <c r="W62" s="144"/>
      <c r="X62" s="144"/>
      <c r="Y62" s="144"/>
      <c r="Z62" s="144"/>
    </row>
    <row r="63" spans="1:26" x14ac:dyDescent="0.25">
      <c r="B63" s="609" t="s">
        <v>1065</v>
      </c>
      <c r="C63" s="628">
        <f>((0.077/1000)*1000000)/3.6</f>
        <v>21.388888888888889</v>
      </c>
      <c r="D63" s="582" t="s">
        <v>167</v>
      </c>
      <c r="E63" s="600" t="s">
        <v>1286</v>
      </c>
      <c r="F63" s="616" t="s">
        <v>265</v>
      </c>
      <c r="G63" s="743">
        <f>FuelProd2!AS23</f>
        <v>0</v>
      </c>
      <c r="H63" s="708" t="s">
        <v>62</v>
      </c>
      <c r="I63" s="705"/>
      <c r="J63" s="126"/>
      <c r="K63" s="579"/>
      <c r="L63" s="579"/>
      <c r="M63" s="180"/>
      <c r="N63" s="29"/>
      <c r="O63" s="29"/>
      <c r="P63" s="29"/>
      <c r="Q63" s="29"/>
      <c r="S63" s="144"/>
      <c r="W63" s="144"/>
      <c r="X63" s="144"/>
      <c r="Y63" s="144"/>
      <c r="Z63" s="144"/>
    </row>
    <row r="64" spans="1:26" x14ac:dyDescent="0.25">
      <c r="B64" s="609" t="s">
        <v>563</v>
      </c>
      <c r="C64" s="628">
        <f>FuelProd3!CD4</f>
        <v>98.997</v>
      </c>
      <c r="D64" s="582" t="s">
        <v>167</v>
      </c>
      <c r="E64" s="600" t="s">
        <v>1109</v>
      </c>
      <c r="F64" s="616" t="s">
        <v>268</v>
      </c>
      <c r="G64" s="743">
        <f>FuelProd2!AS24</f>
        <v>3.9214603230494536</v>
      </c>
      <c r="H64" s="708" t="s">
        <v>62</v>
      </c>
      <c r="I64" s="705"/>
      <c r="J64" s="126"/>
      <c r="K64" s="579"/>
      <c r="L64" s="579"/>
      <c r="M64" s="180"/>
      <c r="N64" s="29"/>
      <c r="O64" s="29"/>
      <c r="P64" s="29"/>
      <c r="Q64" s="29"/>
      <c r="R64" s="29"/>
      <c r="S64" s="144"/>
      <c r="T64" s="29"/>
      <c r="U64" s="29"/>
      <c r="V64" s="29"/>
      <c r="W64" s="40"/>
      <c r="X64" s="144"/>
      <c r="Y64" s="144"/>
      <c r="Z64" s="144"/>
    </row>
    <row r="65" spans="2:153" x14ac:dyDescent="0.25">
      <c r="B65" s="609" t="s">
        <v>568</v>
      </c>
      <c r="C65" s="628">
        <f>FuelProd3!CD5</f>
        <v>56.254800000000003</v>
      </c>
      <c r="D65" s="582" t="s">
        <v>167</v>
      </c>
      <c r="E65" s="600" t="s">
        <v>1109</v>
      </c>
      <c r="F65" s="616" t="s">
        <v>270</v>
      </c>
      <c r="G65" s="743">
        <f>FuelProd2!AS25*(1-U57)</f>
        <v>4.1756461460914691</v>
      </c>
      <c r="H65" s="708" t="s">
        <v>62</v>
      </c>
      <c r="I65" s="705"/>
      <c r="J65" s="126"/>
      <c r="K65" s="579"/>
      <c r="L65" s="579"/>
      <c r="M65" s="180"/>
      <c r="N65" s="29"/>
      <c r="O65" s="29"/>
      <c r="P65" s="5"/>
      <c r="Q65" s="5"/>
      <c r="R65" s="5"/>
      <c r="S65" s="144"/>
      <c r="T65" s="101"/>
      <c r="U65" s="29"/>
      <c r="V65" s="29"/>
      <c r="W65" s="40"/>
      <c r="X65" s="635"/>
      <c r="Y65" s="635"/>
      <c r="Z65" s="63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row>
    <row r="66" spans="2:153" x14ac:dyDescent="0.25">
      <c r="B66" s="609" t="s">
        <v>583</v>
      </c>
      <c r="C66" s="628">
        <f>FuelProd3!CD6</f>
        <v>74.353799999999993</v>
      </c>
      <c r="D66" s="582" t="s">
        <v>167</v>
      </c>
      <c r="E66" s="600" t="s">
        <v>1109</v>
      </c>
      <c r="F66" s="616" t="s">
        <v>272</v>
      </c>
      <c r="G66" s="743">
        <f>FuelProd2!D141</f>
        <v>0</v>
      </c>
      <c r="H66" s="708" t="s">
        <v>62</v>
      </c>
      <c r="I66" s="705"/>
      <c r="J66" s="126"/>
      <c r="K66" s="579"/>
      <c r="L66" s="579"/>
      <c r="M66" s="180"/>
      <c r="N66" s="29"/>
      <c r="O66" s="29"/>
      <c r="P66" s="5"/>
      <c r="Q66" s="5"/>
      <c r="R66" s="5"/>
      <c r="S66" s="144"/>
      <c r="T66" s="101"/>
      <c r="U66" s="29"/>
      <c r="V66" s="29"/>
      <c r="W66" s="40"/>
      <c r="X66" s="635"/>
      <c r="Y66" s="635"/>
      <c r="Z66" s="63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row>
    <row r="67" spans="2:153" ht="18" x14ac:dyDescent="0.35">
      <c r="B67" s="609" t="s">
        <v>1548</v>
      </c>
      <c r="C67" s="39">
        <v>8.4700000000000006</v>
      </c>
      <c r="D67" s="708" t="s">
        <v>1337</v>
      </c>
      <c r="E67" s="600"/>
      <c r="F67" s="616" t="s">
        <v>274</v>
      </c>
      <c r="G67" s="743">
        <f>FuelProd2!AS27</f>
        <v>10.317647259857246</v>
      </c>
      <c r="H67" s="708" t="s">
        <v>62</v>
      </c>
      <c r="I67" s="705"/>
      <c r="J67" s="707"/>
      <c r="K67" s="708"/>
      <c r="L67" s="708"/>
      <c r="M67" s="705"/>
      <c r="N67" s="29"/>
      <c r="O67" s="29"/>
      <c r="P67" s="5"/>
      <c r="Q67" s="5"/>
      <c r="R67" s="5"/>
      <c r="S67" s="144"/>
      <c r="T67" s="101"/>
      <c r="U67" s="29"/>
      <c r="V67" s="29"/>
      <c r="W67" s="40"/>
      <c r="X67" s="635"/>
      <c r="Y67" s="635"/>
      <c r="Z67" s="635"/>
      <c r="AA67" s="856"/>
      <c r="AB67" s="856"/>
      <c r="AC67" s="856"/>
      <c r="AD67" s="856"/>
      <c r="AE67" s="856"/>
      <c r="AF67" s="856"/>
      <c r="AG67" s="856"/>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row>
    <row r="68" spans="2:153" s="179" customFormat="1" x14ac:dyDescent="0.25">
      <c r="B68" s="707"/>
      <c r="E68" s="600"/>
      <c r="F68" s="616" t="s">
        <v>276</v>
      </c>
      <c r="G68" s="743">
        <f>FuelProd2!AS28</f>
        <v>0.28966656745588526</v>
      </c>
      <c r="H68" s="708" t="s">
        <v>62</v>
      </c>
      <c r="I68" s="705"/>
      <c r="J68" s="126"/>
      <c r="K68" s="579"/>
      <c r="L68" s="579"/>
      <c r="M68" s="180"/>
      <c r="N68" s="29"/>
      <c r="O68" s="29"/>
      <c r="P68" s="5"/>
      <c r="Q68" s="5"/>
      <c r="R68" s="5"/>
      <c r="S68" s="144"/>
      <c r="T68" s="101"/>
      <c r="U68" s="29"/>
      <c r="V68" s="29"/>
      <c r="W68" s="40"/>
      <c r="X68" s="635"/>
      <c r="Y68" s="635"/>
      <c r="Z68" s="63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row>
    <row r="69" spans="2:153" x14ac:dyDescent="0.25">
      <c r="B69" s="611" t="s">
        <v>1066</v>
      </c>
      <c r="C69" s="579"/>
      <c r="D69" s="582"/>
      <c r="E69" s="600"/>
      <c r="F69" s="616" t="s">
        <v>1560</v>
      </c>
      <c r="G69" s="743">
        <f>FuelProd2!AS29</f>
        <v>7.2933020190902651</v>
      </c>
      <c r="H69" s="708" t="s">
        <v>62</v>
      </c>
      <c r="I69" s="705"/>
      <c r="J69" s="126"/>
      <c r="K69" s="579"/>
      <c r="L69" s="579"/>
      <c r="M69" s="180"/>
      <c r="N69" s="29"/>
      <c r="O69" s="29"/>
      <c r="P69" s="5"/>
      <c r="Q69" s="5"/>
      <c r="R69" s="5"/>
      <c r="S69" s="144"/>
      <c r="T69" s="101"/>
      <c r="U69" s="29"/>
      <c r="V69" s="29"/>
      <c r="W69" s="40"/>
      <c r="X69" s="635"/>
      <c r="Y69" s="635"/>
      <c r="Z69" s="63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row>
    <row r="70" spans="2:153" x14ac:dyDescent="0.25">
      <c r="B70" s="609" t="s">
        <v>175</v>
      </c>
      <c r="C70" s="580">
        <v>1</v>
      </c>
      <c r="D70" s="582"/>
      <c r="E70" s="600" t="s">
        <v>1288</v>
      </c>
      <c r="F70" s="616" t="s">
        <v>278</v>
      </c>
      <c r="G70" s="743">
        <f>SUM(G60:G69)</f>
        <v>109.99999999999997</v>
      </c>
      <c r="H70" s="708" t="s">
        <v>62</v>
      </c>
      <c r="I70" s="705"/>
      <c r="J70" s="126"/>
      <c r="K70" s="579"/>
      <c r="L70" s="579"/>
      <c r="M70" s="180"/>
      <c r="N70" s="29"/>
      <c r="O70" s="29"/>
      <c r="P70" s="29"/>
      <c r="Q70" s="29"/>
      <c r="R70" s="29"/>
      <c r="S70" s="144"/>
      <c r="T70" s="101"/>
      <c r="U70" s="29"/>
      <c r="V70" s="29"/>
      <c r="W70" s="40"/>
      <c r="X70" s="635"/>
      <c r="Y70" s="635"/>
      <c r="Z70" s="63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row>
    <row r="71" spans="2:153" x14ac:dyDescent="0.25">
      <c r="B71" s="609" t="s">
        <v>290</v>
      </c>
      <c r="C71" s="580">
        <v>0</v>
      </c>
      <c r="D71" s="582"/>
      <c r="E71" s="600" t="s">
        <v>1111</v>
      </c>
      <c r="F71" s="707"/>
      <c r="G71" s="708"/>
      <c r="H71" s="708"/>
      <c r="I71" s="705"/>
      <c r="J71" s="126"/>
      <c r="K71" s="579"/>
      <c r="L71" s="579"/>
      <c r="M71" s="180"/>
      <c r="N71" s="29"/>
      <c r="O71" s="29"/>
      <c r="P71" s="29"/>
      <c r="Q71" s="29"/>
      <c r="R71" s="29"/>
      <c r="S71" s="144"/>
      <c r="T71" s="592"/>
      <c r="U71" s="593"/>
      <c r="V71" s="29"/>
      <c r="W71" s="40"/>
      <c r="X71" s="635"/>
      <c r="Y71" s="635"/>
      <c r="Z71" s="63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row>
    <row r="72" spans="2:153" x14ac:dyDescent="0.25">
      <c r="B72" s="609" t="s">
        <v>302</v>
      </c>
      <c r="C72" s="580">
        <v>0</v>
      </c>
      <c r="D72" s="582"/>
      <c r="E72" s="600" t="s">
        <v>1111</v>
      </c>
      <c r="F72" s="707" t="s">
        <v>1343</v>
      </c>
      <c r="G72" s="742">
        <f>G61/C58</f>
        <v>0.47741294483998969</v>
      </c>
      <c r="H72" s="708" t="s">
        <v>1344</v>
      </c>
      <c r="I72" s="705"/>
      <c r="J72" s="126"/>
      <c r="K72" s="579"/>
      <c r="L72" s="579"/>
      <c r="M72" s="180"/>
      <c r="N72" s="29"/>
      <c r="O72" s="29"/>
      <c r="P72" s="29"/>
      <c r="Q72" s="29"/>
      <c r="R72" s="29"/>
      <c r="S72" s="144"/>
      <c r="T72" s="592"/>
      <c r="U72" s="593"/>
      <c r="V72" s="29"/>
      <c r="W72" s="40"/>
      <c r="X72" s="635"/>
      <c r="Y72" s="635"/>
      <c r="Z72" s="63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row>
    <row r="73" spans="2:153" x14ac:dyDescent="0.25">
      <c r="B73" s="609" t="s">
        <v>303</v>
      </c>
      <c r="C73" s="580">
        <v>0</v>
      </c>
      <c r="D73" s="582"/>
      <c r="E73" s="600" t="s">
        <v>1111</v>
      </c>
      <c r="F73" s="707"/>
      <c r="G73" s="749"/>
      <c r="H73" s="708" t="s">
        <v>1345</v>
      </c>
      <c r="I73" s="705"/>
      <c r="J73" s="126"/>
      <c r="K73" s="579"/>
      <c r="L73" s="579"/>
      <c r="M73" s="180"/>
      <c r="N73" s="29"/>
      <c r="O73" s="29"/>
      <c r="P73" s="101"/>
      <c r="Q73" s="101"/>
      <c r="R73" s="101"/>
      <c r="S73" s="144"/>
      <c r="T73" s="592"/>
      <c r="U73" s="29"/>
      <c r="V73" s="29"/>
      <c r="W73" s="40"/>
      <c r="X73" s="635"/>
      <c r="Y73" s="635"/>
      <c r="Z73" s="63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row>
    <row r="74" spans="2:153" x14ac:dyDescent="0.25">
      <c r="B74" s="609"/>
      <c r="C74" s="744"/>
      <c r="D74" s="582"/>
      <c r="E74" s="600"/>
      <c r="F74" s="706"/>
      <c r="G74" s="706"/>
      <c r="H74" s="706"/>
      <c r="I74" s="706"/>
      <c r="J74" s="707"/>
      <c r="K74" s="708"/>
      <c r="L74" s="708"/>
      <c r="M74" s="705"/>
      <c r="N74" s="29"/>
      <c r="O74" s="29"/>
      <c r="P74" s="101"/>
      <c r="Q74" s="101"/>
      <c r="R74" s="101"/>
      <c r="S74" s="144"/>
      <c r="T74" s="592"/>
      <c r="U74" s="593"/>
      <c r="V74" s="29"/>
      <c r="W74" s="40"/>
      <c r="X74" s="144"/>
      <c r="Y74" s="144"/>
      <c r="Z74" s="144"/>
    </row>
    <row r="75" spans="2:153" x14ac:dyDescent="0.25">
      <c r="B75" s="616" t="s">
        <v>1545</v>
      </c>
      <c r="C75" s="744"/>
      <c r="D75" s="582"/>
      <c r="E75" s="600"/>
      <c r="F75" s="707"/>
      <c r="G75" s="749"/>
      <c r="H75" s="708"/>
      <c r="I75" s="705"/>
      <c r="J75" s="707"/>
      <c r="K75" s="708"/>
      <c r="L75" s="708"/>
      <c r="M75" s="705"/>
      <c r="N75" s="29"/>
      <c r="O75" s="29"/>
      <c r="P75" s="101"/>
      <c r="Q75" s="101"/>
      <c r="R75" s="101"/>
      <c r="S75" s="144"/>
      <c r="T75" s="592"/>
      <c r="U75" s="593"/>
      <c r="V75" s="29"/>
      <c r="W75" s="40"/>
      <c r="X75" s="144"/>
      <c r="Y75" s="144"/>
      <c r="Z75" s="144"/>
    </row>
    <row r="76" spans="2:153" x14ac:dyDescent="0.25">
      <c r="B76" s="609" t="s">
        <v>719</v>
      </c>
      <c r="C76" s="628">
        <v>0.68</v>
      </c>
      <c r="D76" s="582"/>
      <c r="E76" s="600"/>
      <c r="F76" s="707"/>
      <c r="G76" s="749"/>
      <c r="H76" s="708"/>
      <c r="I76" s="705"/>
      <c r="J76" s="707"/>
      <c r="K76" s="708"/>
      <c r="L76" s="708"/>
      <c r="M76" s="705"/>
      <c r="N76" s="29"/>
      <c r="O76" s="29"/>
      <c r="P76" s="101"/>
      <c r="Q76" s="101"/>
      <c r="R76" s="101"/>
      <c r="S76" s="592"/>
      <c r="T76" s="592"/>
      <c r="U76" s="593"/>
      <c r="V76" s="29"/>
      <c r="W76" s="29"/>
    </row>
    <row r="77" spans="2:153" x14ac:dyDescent="0.25">
      <c r="B77" s="609" t="s">
        <v>738</v>
      </c>
      <c r="C77" s="628">
        <v>0.03</v>
      </c>
      <c r="D77" s="582"/>
      <c r="E77" s="600"/>
      <c r="F77" s="707"/>
      <c r="G77" s="749"/>
      <c r="H77" s="708"/>
      <c r="I77" s="705"/>
      <c r="J77" s="707"/>
      <c r="K77" s="708"/>
      <c r="L77" s="708"/>
      <c r="M77" s="705"/>
      <c r="N77" s="29"/>
      <c r="O77" s="29"/>
      <c r="P77" s="101"/>
      <c r="Q77" s="101"/>
      <c r="R77" s="101"/>
      <c r="S77" s="592"/>
      <c r="T77" s="592"/>
      <c r="U77" s="593"/>
      <c r="V77" s="29"/>
      <c r="W77" s="29"/>
    </row>
    <row r="78" spans="2:153" x14ac:dyDescent="0.25">
      <c r="B78" s="609" t="s">
        <v>749</v>
      </c>
      <c r="C78" s="628">
        <v>0.28999999999999998</v>
      </c>
      <c r="D78" s="582"/>
      <c r="E78" s="600"/>
      <c r="F78" s="707"/>
      <c r="G78" s="749"/>
      <c r="H78" s="708"/>
      <c r="I78" s="705"/>
      <c r="J78" s="707"/>
      <c r="K78" s="708"/>
      <c r="L78" s="708"/>
      <c r="M78" s="705"/>
      <c r="N78" s="29"/>
      <c r="O78" s="29"/>
      <c r="P78" s="101"/>
      <c r="Q78" s="101"/>
      <c r="R78" s="101"/>
      <c r="S78" s="592"/>
      <c r="T78" s="592"/>
      <c r="U78" s="593"/>
      <c r="V78" s="29"/>
      <c r="W78" s="29"/>
    </row>
    <row r="79" spans="2:153" x14ac:dyDescent="0.25">
      <c r="B79" s="609"/>
      <c r="C79" s="744"/>
      <c r="D79" s="582"/>
      <c r="E79" s="600"/>
      <c r="F79" s="707"/>
      <c r="G79" s="749"/>
      <c r="H79" s="706"/>
      <c r="I79" s="706"/>
      <c r="J79" s="707"/>
      <c r="K79" s="708"/>
      <c r="L79" s="708"/>
      <c r="M79" s="705"/>
      <c r="N79" s="29"/>
      <c r="O79" s="29"/>
      <c r="P79" s="101"/>
      <c r="Q79" s="101"/>
      <c r="R79" s="101"/>
      <c r="W79" s="29"/>
    </row>
    <row r="80" spans="2:153" x14ac:dyDescent="0.25">
      <c r="B80" s="609" t="s">
        <v>1347</v>
      </c>
      <c r="C80" s="745">
        <v>0</v>
      </c>
      <c r="D80" s="582"/>
      <c r="E80" s="600"/>
      <c r="F80" s="707"/>
      <c r="G80" s="749"/>
      <c r="H80" s="708"/>
      <c r="I80" s="705"/>
      <c r="J80" s="707"/>
      <c r="K80" s="708"/>
      <c r="L80" s="708"/>
      <c r="M80" s="705"/>
      <c r="N80" s="29"/>
      <c r="O80" s="29"/>
      <c r="P80" s="29"/>
      <c r="Q80" s="806"/>
      <c r="R80" s="29"/>
      <c r="S80" s="592"/>
      <c r="T80" s="592"/>
      <c r="U80" s="593"/>
      <c r="V80" s="29"/>
      <c r="W80" s="29"/>
    </row>
    <row r="81" spans="2:23" x14ac:dyDescent="0.25">
      <c r="B81" s="132"/>
      <c r="C81" s="586"/>
      <c r="D81" s="586"/>
      <c r="E81" s="586"/>
      <c r="F81" s="132"/>
      <c r="G81" s="586"/>
      <c r="I81" s="587"/>
      <c r="J81" s="132"/>
      <c r="K81" s="586"/>
      <c r="L81" s="586"/>
      <c r="M81" s="587"/>
      <c r="N81" s="29"/>
      <c r="O81" s="29"/>
      <c r="P81" s="29"/>
      <c r="Q81" s="806"/>
      <c r="R81" s="790"/>
      <c r="S81" s="29"/>
      <c r="T81" s="29"/>
      <c r="U81" s="29"/>
      <c r="V81" s="29"/>
      <c r="W81" s="29"/>
    </row>
    <row r="82" spans="2:23" x14ac:dyDescent="0.25">
      <c r="B82" s="940" t="s">
        <v>340</v>
      </c>
      <c r="C82" s="940"/>
      <c r="D82" s="940"/>
      <c r="E82" s="940"/>
      <c r="F82" s="940"/>
      <c r="G82" s="940"/>
      <c r="H82" s="940"/>
      <c r="I82" s="940"/>
      <c r="J82" s="940"/>
      <c r="K82" s="940"/>
      <c r="L82" s="940"/>
      <c r="M82" s="940"/>
      <c r="N82" s="29"/>
      <c r="O82" s="29"/>
      <c r="P82" s="29"/>
      <c r="Q82" s="806"/>
      <c r="R82" s="790"/>
      <c r="S82" s="29"/>
      <c r="T82" s="29"/>
      <c r="U82" s="29"/>
      <c r="V82" s="29"/>
      <c r="W82" s="29"/>
    </row>
    <row r="83" spans="2:23" x14ac:dyDescent="0.25">
      <c r="B83" s="583" t="s">
        <v>1406</v>
      </c>
      <c r="C83" s="615">
        <v>35</v>
      </c>
      <c r="D83" s="584" t="s">
        <v>333</v>
      </c>
      <c r="E83" s="766" t="s">
        <v>1289</v>
      </c>
      <c r="F83" s="179"/>
      <c r="G83" s="179"/>
      <c r="H83" s="179"/>
      <c r="I83" s="179"/>
      <c r="J83" s="765" t="s">
        <v>152</v>
      </c>
      <c r="K83" s="612">
        <f>FuelProd2!AW54</f>
        <v>0.49338205049829098</v>
      </c>
      <c r="L83" s="88" t="s">
        <v>153</v>
      </c>
      <c r="M83" s="585"/>
      <c r="N83" s="29"/>
      <c r="O83" s="29"/>
      <c r="P83" s="29"/>
      <c r="Q83" s="806"/>
      <c r="R83" s="790"/>
      <c r="S83" s="29"/>
      <c r="T83" s="29"/>
      <c r="U83" s="29"/>
      <c r="V83" s="29"/>
      <c r="W83" s="29"/>
    </row>
    <row r="84" spans="2:23" x14ac:dyDescent="0.25">
      <c r="B84" s="707" t="s">
        <v>1407</v>
      </c>
      <c r="C84" s="39">
        <v>100</v>
      </c>
      <c r="D84" s="708" t="s">
        <v>333</v>
      </c>
      <c r="E84" s="705"/>
      <c r="F84" s="706"/>
      <c r="G84" s="706"/>
      <c r="H84" s="706"/>
      <c r="I84" s="706"/>
      <c r="J84" s="707"/>
      <c r="K84" s="708"/>
      <c r="L84" s="708"/>
      <c r="M84" s="705"/>
      <c r="N84" s="29"/>
      <c r="O84" s="29"/>
      <c r="P84" s="29"/>
      <c r="Q84" s="806"/>
      <c r="R84" s="790"/>
      <c r="S84" s="29"/>
      <c r="T84" s="29"/>
      <c r="U84" s="29"/>
      <c r="V84" s="29"/>
      <c r="W84" s="29"/>
    </row>
    <row r="85" spans="2:23" x14ac:dyDescent="0.25">
      <c r="B85" s="609"/>
      <c r="C85" s="39"/>
      <c r="D85" s="708"/>
      <c r="E85" s="705"/>
      <c r="F85" s="706"/>
      <c r="G85" s="706"/>
      <c r="H85" s="706"/>
      <c r="I85" s="706"/>
      <c r="J85" s="707"/>
      <c r="K85" s="708"/>
      <c r="L85" s="708"/>
      <c r="M85" s="705"/>
      <c r="N85" s="29"/>
      <c r="O85" s="29"/>
      <c r="P85" s="29"/>
      <c r="Q85" s="806"/>
      <c r="R85" s="790"/>
      <c r="S85" s="29"/>
      <c r="T85" s="29"/>
      <c r="U85" s="29"/>
      <c r="V85" s="29"/>
      <c r="W85" s="29"/>
    </row>
    <row r="86" spans="2:23" x14ac:dyDescent="0.25">
      <c r="B86" s="609"/>
      <c r="C86" s="708"/>
      <c r="D86" s="708"/>
      <c r="E86" s="705"/>
      <c r="F86" s="706"/>
      <c r="G86" s="706"/>
      <c r="H86" s="706"/>
      <c r="I86" s="706"/>
      <c r="J86" s="707"/>
      <c r="K86" s="708"/>
      <c r="L86" s="708"/>
      <c r="M86" s="705"/>
      <c r="N86" s="29"/>
      <c r="O86" s="29"/>
      <c r="P86" s="29"/>
      <c r="Q86" s="806"/>
      <c r="R86" s="790"/>
      <c r="S86" s="29"/>
      <c r="T86" s="29"/>
      <c r="U86" s="29"/>
      <c r="V86" s="29"/>
      <c r="W86" s="29"/>
    </row>
    <row r="87" spans="2:23" x14ac:dyDescent="0.25">
      <c r="B87" s="132"/>
      <c r="C87" s="586"/>
      <c r="D87" s="586"/>
      <c r="E87" s="587"/>
      <c r="F87" s="179"/>
      <c r="G87" s="179"/>
      <c r="H87" s="179"/>
      <c r="I87" s="179"/>
      <c r="J87" s="132"/>
      <c r="K87" s="586"/>
      <c r="L87" s="586"/>
      <c r="M87" s="587"/>
      <c r="P87" s="29"/>
      <c r="Q87" s="370"/>
      <c r="R87" s="790"/>
    </row>
    <row r="88" spans="2:23" x14ac:dyDescent="0.25">
      <c r="B88" s="940" t="s">
        <v>1499</v>
      </c>
      <c r="C88" s="940"/>
      <c r="D88" s="940"/>
      <c r="E88" s="940"/>
      <c r="F88" s="940"/>
      <c r="G88" s="940"/>
      <c r="H88" s="940"/>
      <c r="I88" s="940"/>
      <c r="J88" s="940"/>
      <c r="K88" s="940"/>
      <c r="L88" s="940"/>
      <c r="M88" s="940"/>
      <c r="P88" s="29"/>
      <c r="Q88" s="370"/>
      <c r="R88" s="790"/>
    </row>
    <row r="89" spans="2:23" x14ac:dyDescent="0.25">
      <c r="B89" s="583" t="s">
        <v>922</v>
      </c>
      <c r="C89" s="768" t="s">
        <v>19</v>
      </c>
      <c r="D89" s="584"/>
      <c r="E89" s="747" t="s">
        <v>1290</v>
      </c>
      <c r="F89" s="617" t="s">
        <v>1078</v>
      </c>
      <c r="G89" s="584"/>
      <c r="H89" s="584"/>
      <c r="I89" s="585"/>
      <c r="J89" s="82" t="s">
        <v>152</v>
      </c>
      <c r="K89" s="608">
        <f>FuelProd2!AW55</f>
        <v>1.2992393996454998</v>
      </c>
      <c r="L89" s="42" t="s">
        <v>153</v>
      </c>
      <c r="M89" s="585"/>
      <c r="P89" s="29"/>
      <c r="Q89" s="370"/>
      <c r="R89" s="790"/>
    </row>
    <row r="90" spans="2:23" x14ac:dyDescent="0.25">
      <c r="B90" s="126"/>
      <c r="C90" s="767"/>
      <c r="D90" s="579"/>
      <c r="F90" s="126" t="s">
        <v>332</v>
      </c>
      <c r="G90" s="608">
        <f>FuelProd2!AA10</f>
        <v>25.944800000000001</v>
      </c>
      <c r="H90" s="579" t="s">
        <v>62</v>
      </c>
      <c r="I90" s="180"/>
      <c r="J90" s="579"/>
      <c r="K90" s="579"/>
      <c r="L90" s="579"/>
      <c r="M90" s="180"/>
      <c r="P90" s="29"/>
      <c r="Q90" s="370"/>
      <c r="R90" s="790"/>
    </row>
    <row r="91" spans="2:23" x14ac:dyDescent="0.25">
      <c r="B91" s="126"/>
      <c r="C91" s="579"/>
      <c r="D91" s="579"/>
      <c r="E91" s="180"/>
      <c r="F91" s="126" t="s">
        <v>337</v>
      </c>
      <c r="G91" s="608">
        <f>FuelProd2!AA11</f>
        <v>5.1414999999999997</v>
      </c>
      <c r="H91" s="579" t="s">
        <v>62</v>
      </c>
      <c r="I91" s="180"/>
      <c r="J91" s="579"/>
      <c r="K91" s="579"/>
      <c r="L91" s="579"/>
      <c r="M91" s="180"/>
    </row>
    <row r="92" spans="2:23" x14ac:dyDescent="0.25">
      <c r="B92" s="610" t="s">
        <v>1054</v>
      </c>
      <c r="C92" s="579"/>
      <c r="D92" s="579"/>
      <c r="E92" s="180"/>
      <c r="F92" s="126" t="s">
        <v>341</v>
      </c>
      <c r="G92" s="608">
        <f>FuelProd2!AA12</f>
        <v>47.459999999999994</v>
      </c>
      <c r="H92" s="579" t="s">
        <v>62</v>
      </c>
      <c r="I92" s="180"/>
      <c r="J92" s="579"/>
      <c r="K92" s="579"/>
      <c r="L92" s="579"/>
      <c r="M92" s="180"/>
    </row>
    <row r="93" spans="2:23" x14ac:dyDescent="0.25">
      <c r="B93" s="609" t="s">
        <v>259</v>
      </c>
      <c r="C93" s="578">
        <f>79.1%</f>
        <v>0.79099999999999993</v>
      </c>
      <c r="D93" s="579" t="s">
        <v>1053</v>
      </c>
      <c r="E93" s="862" t="s">
        <v>1112</v>
      </c>
      <c r="F93" s="609" t="s">
        <v>279</v>
      </c>
      <c r="G93" s="579"/>
      <c r="H93" s="579"/>
      <c r="I93" s="180"/>
      <c r="J93" s="579"/>
      <c r="K93" s="579"/>
      <c r="L93" s="579"/>
      <c r="M93" s="180"/>
    </row>
    <row r="94" spans="2:23" x14ac:dyDescent="0.25">
      <c r="B94" s="609" t="s">
        <v>262</v>
      </c>
      <c r="C94" s="578">
        <v>1.7999999999999999E-2</v>
      </c>
      <c r="D94" s="579" t="s">
        <v>1053</v>
      </c>
      <c r="E94" s="643" t="s">
        <v>1112</v>
      </c>
      <c r="F94" s="126" t="s">
        <v>259</v>
      </c>
      <c r="G94" s="608">
        <f>FuelProd2!AA15</f>
        <v>0.55369999999999209</v>
      </c>
      <c r="H94" s="579" t="s">
        <v>62</v>
      </c>
      <c r="I94" s="180"/>
      <c r="J94" s="179"/>
      <c r="K94" s="179"/>
      <c r="L94" s="179"/>
      <c r="M94" s="180"/>
    </row>
    <row r="95" spans="2:23" x14ac:dyDescent="0.25">
      <c r="B95" s="609" t="s">
        <v>264</v>
      </c>
      <c r="C95" s="578">
        <v>2.1999999999999999E-2</v>
      </c>
      <c r="D95" s="579" t="s">
        <v>1053</v>
      </c>
      <c r="E95" s="643" t="s">
        <v>1112</v>
      </c>
      <c r="F95" s="126" t="s">
        <v>262</v>
      </c>
      <c r="G95" s="608">
        <f>FuelProd2!AA16</f>
        <v>1.7999999999999998</v>
      </c>
      <c r="H95" s="579" t="s">
        <v>62</v>
      </c>
      <c r="I95" s="180"/>
      <c r="J95" s="579"/>
      <c r="K95" s="579"/>
      <c r="L95" s="579"/>
      <c r="M95" s="180"/>
    </row>
    <row r="96" spans="2:23" x14ac:dyDescent="0.25">
      <c r="B96" s="609" t="s">
        <v>267</v>
      </c>
      <c r="C96" s="578">
        <v>0.16900000000000001</v>
      </c>
      <c r="D96" s="579" t="s">
        <v>1053</v>
      </c>
      <c r="E96" s="643" t="s">
        <v>1112</v>
      </c>
      <c r="F96" s="126" t="s">
        <v>264</v>
      </c>
      <c r="G96" s="608">
        <f>FuelProd2!AA17</f>
        <v>2.1999999999999997</v>
      </c>
      <c r="H96" s="579" t="s">
        <v>62</v>
      </c>
      <c r="I96" s="180"/>
      <c r="J96" s="579"/>
      <c r="K96" s="579"/>
      <c r="L96" s="579"/>
      <c r="M96" s="180"/>
    </row>
    <row r="97" spans="2:13" x14ac:dyDescent="0.25">
      <c r="B97" s="126"/>
      <c r="C97" s="579"/>
      <c r="D97" s="579"/>
      <c r="E97" s="643"/>
      <c r="F97" s="126" t="s">
        <v>267</v>
      </c>
      <c r="G97" s="608">
        <f>FuelProd2!AA18</f>
        <v>16.900000000000002</v>
      </c>
      <c r="H97" s="579" t="s">
        <v>62</v>
      </c>
      <c r="I97" s="180"/>
      <c r="J97" s="579"/>
      <c r="K97" s="579"/>
      <c r="L97" s="579"/>
      <c r="M97" s="180"/>
    </row>
    <row r="98" spans="2:13" x14ac:dyDescent="0.25">
      <c r="B98" s="126" t="s">
        <v>1052</v>
      </c>
      <c r="C98" s="579"/>
      <c r="D98" s="579"/>
      <c r="E98" s="643"/>
      <c r="F98" s="126"/>
      <c r="G98" s="579"/>
      <c r="H98" s="579"/>
      <c r="I98" s="180"/>
      <c r="J98" s="579"/>
      <c r="K98" s="579"/>
      <c r="L98" s="579"/>
      <c r="M98" s="180"/>
    </row>
    <row r="99" spans="2:13" ht="15" customHeight="1" x14ac:dyDescent="0.25">
      <c r="B99" s="609" t="s">
        <v>258</v>
      </c>
      <c r="C99" s="588">
        <f>6.5%</f>
        <v>6.5000000000000002E-2</v>
      </c>
      <c r="D99" s="579" t="s">
        <v>1053</v>
      </c>
      <c r="E99" s="643" t="s">
        <v>1112</v>
      </c>
      <c r="F99" s="126" t="s">
        <v>1195</v>
      </c>
      <c r="G99" s="608">
        <f>FuelProd2!AC22</f>
        <v>253713.53525252521</v>
      </c>
      <c r="H99" s="579" t="s">
        <v>1075</v>
      </c>
      <c r="I99" s="180"/>
      <c r="J99" s="579"/>
      <c r="K99" s="579"/>
      <c r="L99" s="579"/>
      <c r="M99" s="180"/>
    </row>
    <row r="100" spans="2:13" x14ac:dyDescent="0.25">
      <c r="B100" s="609" t="s">
        <v>261</v>
      </c>
      <c r="C100" s="588">
        <f>5.8%</f>
        <v>5.7999999999999996E-2</v>
      </c>
      <c r="D100" s="579" t="s">
        <v>1053</v>
      </c>
      <c r="E100" s="643" t="s">
        <v>1112</v>
      </c>
      <c r="F100" s="126" t="s">
        <v>1194</v>
      </c>
      <c r="G100" s="608">
        <f>FuelProd3!CE66</f>
        <v>0</v>
      </c>
      <c r="H100" s="579" t="s">
        <v>1075</v>
      </c>
      <c r="I100" s="579"/>
      <c r="J100" s="126"/>
      <c r="K100" s="579"/>
      <c r="L100" s="579"/>
      <c r="M100" s="180"/>
    </row>
    <row r="101" spans="2:13" x14ac:dyDescent="0.25">
      <c r="B101" s="609" t="s">
        <v>263</v>
      </c>
      <c r="C101" s="588">
        <f>27%</f>
        <v>0.27</v>
      </c>
      <c r="D101" s="579" t="s">
        <v>1053</v>
      </c>
      <c r="E101" s="643" t="s">
        <v>1112</v>
      </c>
      <c r="F101" s="126"/>
      <c r="G101" s="179"/>
      <c r="H101" s="179"/>
      <c r="I101" s="179"/>
      <c r="J101" s="126"/>
      <c r="K101" s="579"/>
      <c r="L101" s="579"/>
      <c r="M101" s="180"/>
    </row>
    <row r="102" spans="2:13" x14ac:dyDescent="0.25">
      <c r="B102" s="609" t="s">
        <v>266</v>
      </c>
      <c r="C102" s="588">
        <f>60%</f>
        <v>0.6</v>
      </c>
      <c r="D102" s="579" t="s">
        <v>1053</v>
      </c>
      <c r="E102" s="643" t="s">
        <v>1112</v>
      </c>
      <c r="F102" s="126"/>
      <c r="G102" s="608">
        <f>FuelProd2!AU55</f>
        <v>6.0743660243166228E-2</v>
      </c>
      <c r="H102" s="579" t="s">
        <v>1074</v>
      </c>
      <c r="I102" s="579"/>
      <c r="J102" s="126"/>
      <c r="K102" s="579"/>
      <c r="L102" s="579"/>
      <c r="M102" s="180"/>
    </row>
    <row r="103" spans="2:13" x14ac:dyDescent="0.25">
      <c r="B103" s="126"/>
      <c r="C103" s="579"/>
      <c r="D103" s="579"/>
      <c r="E103" s="643"/>
      <c r="G103" s="608">
        <f>FuelProd2!AV55</f>
        <v>6.0743660243166221E-2</v>
      </c>
      <c r="H103" s="579" t="s">
        <v>1076</v>
      </c>
      <c r="J103" s="126"/>
      <c r="K103" s="579"/>
      <c r="L103" s="579"/>
      <c r="M103" s="180"/>
    </row>
    <row r="104" spans="2:13" x14ac:dyDescent="0.25">
      <c r="B104" s="126"/>
      <c r="C104" s="579"/>
      <c r="D104" s="579"/>
      <c r="E104" s="644"/>
      <c r="F104" s="126"/>
      <c r="G104" s="579"/>
      <c r="H104" s="579"/>
      <c r="I104" s="579"/>
      <c r="J104" s="126"/>
      <c r="K104" s="579"/>
      <c r="L104" s="579"/>
      <c r="M104" s="180"/>
    </row>
    <row r="105" spans="2:13" x14ac:dyDescent="0.25">
      <c r="B105" s="611" t="s">
        <v>1029</v>
      </c>
      <c r="C105" s="39">
        <f>5/100*C58</f>
        <v>5</v>
      </c>
      <c r="D105" s="581" t="s">
        <v>62</v>
      </c>
      <c r="E105" s="645" t="s">
        <v>1291</v>
      </c>
      <c r="F105" s="126"/>
      <c r="G105" s="179"/>
      <c r="H105" s="179"/>
      <c r="I105" s="180"/>
      <c r="J105" s="579"/>
      <c r="K105" s="579"/>
      <c r="L105" s="579"/>
      <c r="M105" s="180"/>
    </row>
    <row r="106" spans="2:13" x14ac:dyDescent="0.25">
      <c r="B106" s="126" t="s">
        <v>714</v>
      </c>
      <c r="C106" s="39">
        <v>25</v>
      </c>
      <c r="D106" s="581" t="s">
        <v>1080</v>
      </c>
      <c r="E106" s="643"/>
      <c r="F106" s="126"/>
      <c r="G106" s="179"/>
      <c r="H106" s="179"/>
      <c r="I106" s="180"/>
      <c r="J106" s="579"/>
      <c r="K106" s="579"/>
      <c r="L106" s="579"/>
      <c r="M106" s="180"/>
    </row>
    <row r="107" spans="2:13" x14ac:dyDescent="0.25">
      <c r="B107" s="126" t="s">
        <v>717</v>
      </c>
      <c r="C107" s="39">
        <v>420</v>
      </c>
      <c r="D107" s="581" t="s">
        <v>1080</v>
      </c>
      <c r="E107" s="643" t="s">
        <v>1294</v>
      </c>
      <c r="F107" s="126"/>
      <c r="G107" s="579"/>
      <c r="H107" s="579"/>
      <c r="I107" s="180"/>
      <c r="J107" s="579"/>
      <c r="K107" s="579"/>
      <c r="L107" s="579"/>
      <c r="M107" s="180"/>
    </row>
    <row r="108" spans="2:13" x14ac:dyDescent="0.25">
      <c r="B108" s="126"/>
      <c r="C108" s="579"/>
      <c r="D108" s="581"/>
      <c r="E108" s="643"/>
      <c r="F108" s="126"/>
      <c r="G108" s="579"/>
      <c r="H108" s="579"/>
      <c r="I108" s="180"/>
      <c r="J108" s="579"/>
      <c r="K108" s="579"/>
      <c r="L108" s="579"/>
      <c r="M108" s="180"/>
    </row>
    <row r="109" spans="2:13" x14ac:dyDescent="0.25">
      <c r="B109" s="651" t="s">
        <v>1183</v>
      </c>
      <c r="C109" s="638"/>
      <c r="D109" s="638"/>
      <c r="E109" s="643"/>
      <c r="F109" s="126"/>
      <c r="G109" s="579"/>
      <c r="H109" s="579"/>
      <c r="I109" s="180"/>
      <c r="J109" s="579"/>
      <c r="K109" s="579"/>
      <c r="L109" s="579"/>
      <c r="M109" s="180"/>
    </row>
    <row r="110" spans="2:13" x14ac:dyDescent="0.25">
      <c r="B110" s="609" t="s">
        <v>1184</v>
      </c>
      <c r="C110" s="39">
        <v>3</v>
      </c>
      <c r="D110" s="579" t="s">
        <v>132</v>
      </c>
      <c r="E110" s="953" t="s">
        <v>1295</v>
      </c>
      <c r="F110" s="126"/>
      <c r="G110" s="579"/>
      <c r="H110" s="579"/>
      <c r="I110" s="180"/>
      <c r="J110" s="579"/>
      <c r="K110" s="579"/>
      <c r="L110" s="579"/>
      <c r="M110" s="180"/>
    </row>
    <row r="111" spans="2:13" x14ac:dyDescent="0.25">
      <c r="B111" s="609" t="s">
        <v>1185</v>
      </c>
      <c r="C111" s="39">
        <v>0.5</v>
      </c>
      <c r="D111" s="579" t="s">
        <v>132</v>
      </c>
      <c r="E111" s="953"/>
      <c r="F111" s="126"/>
      <c r="G111" s="579"/>
      <c r="H111" s="579"/>
      <c r="I111" s="180"/>
      <c r="J111" s="579"/>
      <c r="K111" s="579"/>
      <c r="L111" s="579"/>
      <c r="M111" s="180"/>
    </row>
    <row r="112" spans="2:13" x14ac:dyDescent="0.25">
      <c r="B112" s="609" t="s">
        <v>1186</v>
      </c>
      <c r="C112" s="39">
        <f>4*60*60</f>
        <v>14400</v>
      </c>
      <c r="D112" s="579" t="s">
        <v>1189</v>
      </c>
      <c r="E112" s="953" t="s">
        <v>1296</v>
      </c>
      <c r="F112" s="126"/>
      <c r="G112" s="579"/>
      <c r="H112" s="579"/>
      <c r="I112" s="180"/>
      <c r="J112" s="579"/>
      <c r="K112" s="579"/>
      <c r="L112" s="579"/>
      <c r="M112" s="180"/>
    </row>
    <row r="113" spans="2:13" x14ac:dyDescent="0.25">
      <c r="B113" s="126" t="s">
        <v>1146</v>
      </c>
      <c r="C113" s="39">
        <v>400</v>
      </c>
      <c r="D113" s="579" t="s">
        <v>1080</v>
      </c>
      <c r="E113" s="960"/>
      <c r="F113" s="132"/>
      <c r="G113" s="586"/>
      <c r="H113" s="586"/>
      <c r="I113" s="587"/>
      <c r="J113" s="586"/>
      <c r="K113" s="586"/>
      <c r="L113" s="586"/>
      <c r="M113" s="587"/>
    </row>
    <row r="114" spans="2:13" x14ac:dyDescent="0.25">
      <c r="B114" s="940" t="s">
        <v>408</v>
      </c>
      <c r="C114" s="940"/>
      <c r="D114" s="940"/>
      <c r="E114" s="940"/>
      <c r="F114" s="940"/>
      <c r="G114" s="940"/>
      <c r="H114" s="940"/>
      <c r="I114" s="940"/>
      <c r="J114" s="940"/>
      <c r="K114" s="940"/>
      <c r="L114" s="940"/>
      <c r="M114" s="940"/>
    </row>
    <row r="115" spans="2:13" x14ac:dyDescent="0.25">
      <c r="B115" s="15" t="s">
        <v>1073</v>
      </c>
      <c r="C115" s="39">
        <v>1.47</v>
      </c>
      <c r="D115" s="35" t="s">
        <v>59</v>
      </c>
      <c r="E115" s="600" t="s">
        <v>1299</v>
      </c>
      <c r="F115" s="617" t="s">
        <v>1078</v>
      </c>
      <c r="G115" s="584"/>
      <c r="H115" s="584"/>
      <c r="I115" s="585"/>
      <c r="J115" s="82" t="s">
        <v>152</v>
      </c>
      <c r="K115" s="608">
        <f>FuelProd2!AW56</f>
        <v>0.19050335313474226</v>
      </c>
      <c r="L115" s="42" t="s">
        <v>153</v>
      </c>
      <c r="M115" s="179"/>
    </row>
    <row r="116" spans="2:13" x14ac:dyDescent="0.25">
      <c r="B116" s="126"/>
      <c r="C116" s="579"/>
      <c r="D116" s="579"/>
      <c r="E116" s="600"/>
      <c r="F116" s="126" t="s">
        <v>270</v>
      </c>
      <c r="G116" s="608">
        <f>FuelProd2!AA30</f>
        <v>3.9504530220718319</v>
      </c>
      <c r="H116" s="579" t="s">
        <v>62</v>
      </c>
      <c r="I116" s="180"/>
      <c r="J116" s="179"/>
      <c r="K116" s="179"/>
      <c r="L116" s="179"/>
      <c r="M116" s="179"/>
    </row>
    <row r="117" spans="2:13" x14ac:dyDescent="0.25">
      <c r="B117" s="651" t="s">
        <v>1183</v>
      </c>
      <c r="C117" s="638"/>
      <c r="D117" s="638"/>
      <c r="E117" s="600"/>
      <c r="F117" s="126" t="s">
        <v>379</v>
      </c>
      <c r="G117" s="608">
        <f>FuelProd2!AA31</f>
        <v>21.105096923076925</v>
      </c>
      <c r="H117" s="579" t="s">
        <v>62</v>
      </c>
      <c r="I117" s="180"/>
      <c r="J117" s="179"/>
      <c r="K117" s="179"/>
      <c r="L117" s="179"/>
      <c r="M117" s="179"/>
    </row>
    <row r="118" spans="2:13" x14ac:dyDescent="0.25">
      <c r="B118" s="609" t="s">
        <v>1184</v>
      </c>
      <c r="C118" s="39">
        <v>3</v>
      </c>
      <c r="D118" s="579" t="s">
        <v>132</v>
      </c>
      <c r="E118" s="953" t="s">
        <v>1295</v>
      </c>
      <c r="F118" s="126" t="s">
        <v>381</v>
      </c>
      <c r="G118" s="608">
        <f>FuelProd2!AA32</f>
        <v>4.8990967741935485</v>
      </c>
      <c r="H118" s="579" t="s">
        <v>62</v>
      </c>
      <c r="I118" s="180"/>
      <c r="J118" s="179"/>
      <c r="K118" s="179"/>
      <c r="L118" s="179"/>
      <c r="M118" s="179"/>
    </row>
    <row r="119" spans="2:13" x14ac:dyDescent="0.25">
      <c r="B119" s="609" t="s">
        <v>1185</v>
      </c>
      <c r="C119" s="39">
        <v>0.5</v>
      </c>
      <c r="D119" s="579" t="s">
        <v>132</v>
      </c>
      <c r="E119" s="953"/>
      <c r="F119" s="126" t="s">
        <v>382</v>
      </c>
      <c r="G119" s="608">
        <f>FuelProd2!AA33</f>
        <v>0</v>
      </c>
      <c r="H119" s="579" t="s">
        <v>62</v>
      </c>
      <c r="I119" s="180"/>
      <c r="J119" s="179"/>
      <c r="K119" s="179"/>
      <c r="L119" s="179"/>
      <c r="M119" s="179"/>
    </row>
    <row r="120" spans="2:13" x14ac:dyDescent="0.25">
      <c r="B120" s="609" t="s">
        <v>1186</v>
      </c>
      <c r="C120" s="39">
        <f>1*60*60</f>
        <v>3600</v>
      </c>
      <c r="D120" s="579" t="s">
        <v>1189</v>
      </c>
      <c r="E120" s="600" t="s">
        <v>1300</v>
      </c>
      <c r="F120" s="126" t="s">
        <v>384</v>
      </c>
      <c r="G120" s="608">
        <f>FuelProd2!AA34</f>
        <v>49.928688994939122</v>
      </c>
      <c r="H120" s="579" t="s">
        <v>62</v>
      </c>
      <c r="I120" s="180"/>
      <c r="J120" s="179"/>
      <c r="K120" s="179"/>
      <c r="L120" s="179"/>
      <c r="M120" s="179"/>
    </row>
    <row r="121" spans="2:13" x14ac:dyDescent="0.25">
      <c r="B121" s="126"/>
      <c r="C121" s="579"/>
      <c r="D121" s="579"/>
      <c r="E121" s="600"/>
      <c r="F121" s="126" t="s">
        <v>1077</v>
      </c>
      <c r="G121" s="608">
        <f>FuelProd2!AA35</f>
        <v>3.6629642857185609</v>
      </c>
      <c r="H121" s="579" t="s">
        <v>62</v>
      </c>
      <c r="I121" s="180"/>
      <c r="J121" s="179"/>
      <c r="K121" s="179"/>
      <c r="L121" s="179"/>
      <c r="M121" s="179"/>
    </row>
    <row r="122" spans="2:13" x14ac:dyDescent="0.25">
      <c r="B122" s="126" t="s">
        <v>1146</v>
      </c>
      <c r="C122" s="39">
        <v>420</v>
      </c>
      <c r="D122" s="579" t="s">
        <v>1080</v>
      </c>
      <c r="E122" s="600" t="s">
        <v>1300</v>
      </c>
      <c r="F122" s="609" t="s">
        <v>279</v>
      </c>
      <c r="G122" s="579"/>
      <c r="H122" s="35"/>
      <c r="I122" s="180"/>
      <c r="J122" s="179"/>
      <c r="K122" s="179"/>
      <c r="L122" s="179"/>
      <c r="M122" s="179"/>
    </row>
    <row r="123" spans="2:13" x14ac:dyDescent="0.25">
      <c r="B123" s="126"/>
      <c r="C123" s="579"/>
      <c r="D123" s="579"/>
      <c r="E123" s="600"/>
      <c r="F123" s="126" t="s">
        <v>392</v>
      </c>
      <c r="G123" s="608">
        <f>FuelProd2!AA38</f>
        <v>0.52631799574638038</v>
      </c>
      <c r="H123" s="579" t="s">
        <v>62</v>
      </c>
      <c r="I123" s="180"/>
      <c r="J123" s="179"/>
      <c r="K123" s="179"/>
      <c r="L123" s="179"/>
      <c r="M123" s="179"/>
    </row>
    <row r="124" spans="2:13" x14ac:dyDescent="0.25">
      <c r="B124" s="126"/>
      <c r="C124" s="579"/>
      <c r="D124" s="579"/>
      <c r="E124" s="600"/>
      <c r="F124" s="126" t="s">
        <v>393</v>
      </c>
      <c r="G124" s="608">
        <f>FuelProd2!AA39</f>
        <v>1.7109849961052885</v>
      </c>
      <c r="H124" s="579" t="s">
        <v>62</v>
      </c>
      <c r="I124" s="180"/>
      <c r="J124" s="179"/>
      <c r="K124" s="179"/>
      <c r="L124" s="179"/>
      <c r="M124" s="179"/>
    </row>
    <row r="125" spans="2:13" x14ac:dyDescent="0.25">
      <c r="B125" s="126"/>
      <c r="C125" s="579"/>
      <c r="D125" s="579"/>
      <c r="E125" s="600"/>
      <c r="F125" s="126" t="s">
        <v>397</v>
      </c>
      <c r="G125" s="608">
        <f>FuelProd2!AA40</f>
        <v>2.091203884128686</v>
      </c>
      <c r="H125" s="579" t="s">
        <v>62</v>
      </c>
      <c r="I125" s="180"/>
      <c r="J125" s="179"/>
      <c r="K125" s="179"/>
      <c r="L125" s="179"/>
      <c r="M125" s="179"/>
    </row>
    <row r="126" spans="2:13" x14ac:dyDescent="0.25">
      <c r="B126" s="126"/>
      <c r="C126" s="579"/>
      <c r="D126" s="579"/>
      <c r="E126" s="600"/>
      <c r="F126" s="126" t="s">
        <v>267</v>
      </c>
      <c r="G126" s="608">
        <f>FuelProd2!AA41</f>
        <v>16.900000000000002</v>
      </c>
      <c r="H126" s="579" t="s">
        <v>62</v>
      </c>
      <c r="I126" s="180"/>
      <c r="J126" s="179"/>
      <c r="K126" s="179"/>
      <c r="L126" s="179"/>
      <c r="M126" s="179"/>
    </row>
    <row r="127" spans="2:13" x14ac:dyDescent="0.25">
      <c r="B127" s="126"/>
      <c r="C127" s="579"/>
      <c r="D127" s="579"/>
      <c r="E127" s="600"/>
      <c r="F127" s="126" t="s">
        <v>1009</v>
      </c>
      <c r="G127" s="608">
        <f>FuelProd2!AA42</f>
        <v>0.22519312401963693</v>
      </c>
      <c r="H127" s="579" t="s">
        <v>62</v>
      </c>
      <c r="I127" s="180"/>
      <c r="J127" s="179"/>
      <c r="K127" s="179"/>
      <c r="L127" s="179"/>
      <c r="M127" s="179"/>
    </row>
    <row r="128" spans="2:13" x14ac:dyDescent="0.25">
      <c r="B128" s="126"/>
      <c r="C128" s="579"/>
      <c r="D128" s="579"/>
      <c r="E128" s="600"/>
      <c r="F128" s="126"/>
      <c r="G128" s="579"/>
      <c r="H128" s="579"/>
      <c r="I128" s="180"/>
      <c r="J128" s="179"/>
      <c r="K128" s="179"/>
      <c r="L128" s="179"/>
      <c r="M128" s="179"/>
    </row>
    <row r="129" spans="2:13" x14ac:dyDescent="0.25">
      <c r="B129" s="126"/>
      <c r="C129" s="579"/>
      <c r="D129" s="579"/>
      <c r="E129" s="600"/>
      <c r="F129" s="616" t="s">
        <v>1057</v>
      </c>
      <c r="G129" s="608">
        <f>FuelProd2!AS56</f>
        <v>18600.605559861997</v>
      </c>
      <c r="H129" s="579" t="s">
        <v>1075</v>
      </c>
      <c r="I129" s="180"/>
      <c r="J129" s="179"/>
      <c r="K129" s="179"/>
      <c r="L129" s="179"/>
      <c r="M129" s="179"/>
    </row>
    <row r="130" spans="2:13" x14ac:dyDescent="0.25">
      <c r="B130" s="126"/>
      <c r="C130" s="579"/>
      <c r="D130" s="579"/>
      <c r="E130" s="600"/>
      <c r="F130" s="126"/>
      <c r="G130" s="608">
        <f>FuelProd2!AU56</f>
        <v>8.9066502764295098E-3</v>
      </c>
      <c r="H130" s="579" t="s">
        <v>1074</v>
      </c>
      <c r="I130" s="180"/>
      <c r="J130" s="179"/>
      <c r="K130" s="179"/>
      <c r="L130" s="179"/>
      <c r="M130" s="179"/>
    </row>
    <row r="131" spans="2:13" x14ac:dyDescent="0.25">
      <c r="B131" s="132"/>
      <c r="C131" s="586"/>
      <c r="D131" s="586"/>
      <c r="E131" s="606"/>
      <c r="F131" s="132"/>
      <c r="G131" s="614">
        <f>FuelProd2!AV56</f>
        <v>8.9066502764295081E-3</v>
      </c>
      <c r="H131" s="586" t="s">
        <v>1076</v>
      </c>
      <c r="I131" s="587"/>
      <c r="J131" s="179"/>
      <c r="K131" s="179"/>
      <c r="L131" s="179"/>
      <c r="M131" s="179"/>
    </row>
    <row r="132" spans="2:13" x14ac:dyDescent="0.25">
      <c r="B132" s="955" t="s">
        <v>1500</v>
      </c>
      <c r="C132" s="955"/>
      <c r="D132" s="955"/>
      <c r="E132" s="955"/>
      <c r="F132" s="955"/>
      <c r="G132" s="955"/>
      <c r="H132" s="955"/>
      <c r="I132" s="955"/>
      <c r="J132" s="955"/>
      <c r="K132" s="955"/>
      <c r="L132" s="955"/>
      <c r="M132" s="955"/>
    </row>
    <row r="133" spans="2:13" x14ac:dyDescent="0.25">
      <c r="B133" s="583" t="s">
        <v>1146</v>
      </c>
      <c r="C133" s="615">
        <v>400</v>
      </c>
      <c r="D133" s="584" t="s">
        <v>1080</v>
      </c>
      <c r="E133" s="646" t="s">
        <v>1303</v>
      </c>
      <c r="F133" s="617"/>
      <c r="G133" s="667"/>
      <c r="H133" s="584"/>
      <c r="I133" s="639"/>
      <c r="J133" s="82" t="s">
        <v>152</v>
      </c>
      <c r="K133" s="608">
        <f>FuelProd2!AW57</f>
        <v>0.32480984991137496</v>
      </c>
      <c r="L133" s="42" t="s">
        <v>153</v>
      </c>
      <c r="M133" s="179"/>
    </row>
    <row r="134" spans="2:13" x14ac:dyDescent="0.25">
      <c r="B134" s="604" t="s">
        <v>1183</v>
      </c>
      <c r="C134" s="638"/>
      <c r="D134" s="638"/>
      <c r="E134" s="605"/>
      <c r="F134" s="604"/>
      <c r="G134" s="638"/>
      <c r="H134" s="638"/>
      <c r="I134" s="640"/>
      <c r="J134" s="638"/>
      <c r="K134" s="638"/>
      <c r="L134" s="638"/>
      <c r="M134" s="638"/>
    </row>
    <row r="135" spans="2:13" x14ac:dyDescent="0.25">
      <c r="B135" s="609" t="s">
        <v>1184</v>
      </c>
      <c r="C135" s="39">
        <v>3</v>
      </c>
      <c r="D135" s="579" t="s">
        <v>132</v>
      </c>
      <c r="E135" s="953" t="s">
        <v>1295</v>
      </c>
      <c r="F135" s="616" t="s">
        <v>1078</v>
      </c>
      <c r="G135" s="579"/>
      <c r="H135" s="579"/>
      <c r="I135" s="180"/>
      <c r="J135" s="179"/>
      <c r="K135" s="179"/>
      <c r="L135" s="179"/>
      <c r="M135" s="179"/>
    </row>
    <row r="136" spans="2:13" x14ac:dyDescent="0.25">
      <c r="B136" s="609" t="s">
        <v>1185</v>
      </c>
      <c r="C136" s="39">
        <v>0.5</v>
      </c>
      <c r="D136" s="579" t="s">
        <v>132</v>
      </c>
      <c r="E136" s="953"/>
      <c r="F136" s="126" t="s">
        <v>379</v>
      </c>
      <c r="G136" s="608">
        <f>FuelProd2!AA53</f>
        <v>21.105096923076925</v>
      </c>
      <c r="H136" s="579" t="s">
        <v>62</v>
      </c>
      <c r="I136" s="180"/>
      <c r="J136" s="179"/>
      <c r="K136" s="179"/>
      <c r="L136" s="179"/>
      <c r="M136" s="179"/>
    </row>
    <row r="137" spans="2:13" x14ac:dyDescent="0.25">
      <c r="B137" s="609" t="s">
        <v>1186</v>
      </c>
      <c r="C137" s="39">
        <v>14400</v>
      </c>
      <c r="D137" s="579" t="s">
        <v>1189</v>
      </c>
      <c r="E137" s="625" t="s">
        <v>1302</v>
      </c>
      <c r="F137" s="126" t="s">
        <v>381</v>
      </c>
      <c r="G137" s="608">
        <f>FuelProd2!AA54</f>
        <v>4.8990967741935485</v>
      </c>
      <c r="H137" s="579" t="s">
        <v>62</v>
      </c>
      <c r="I137" s="180"/>
      <c r="J137" s="179"/>
      <c r="K137" s="179"/>
      <c r="L137" s="179"/>
      <c r="M137" s="179"/>
    </row>
    <row r="138" spans="2:13" ht="15.75" x14ac:dyDescent="0.25">
      <c r="B138" s="636"/>
      <c r="C138" s="637"/>
      <c r="D138" s="579"/>
      <c r="E138" s="625"/>
      <c r="F138" s="126" t="s">
        <v>382</v>
      </c>
      <c r="G138" s="608">
        <f>FuelProd2!AA55</f>
        <v>0</v>
      </c>
      <c r="H138" s="579" t="s">
        <v>62</v>
      </c>
      <c r="I138" s="180"/>
      <c r="J138" s="179"/>
      <c r="K138" s="179"/>
      <c r="L138" s="179"/>
      <c r="M138" s="179"/>
    </row>
    <row r="139" spans="2:13" ht="15.75" x14ac:dyDescent="0.25">
      <c r="B139" s="952"/>
      <c r="C139" s="952"/>
      <c r="D139" s="579"/>
      <c r="E139" s="625"/>
      <c r="F139" s="126" t="s">
        <v>384</v>
      </c>
      <c r="G139" s="608">
        <f>FuelProd2!AA56</f>
        <v>49.928688994939122</v>
      </c>
      <c r="H139" s="579" t="s">
        <v>62</v>
      </c>
      <c r="I139" s="180"/>
      <c r="J139" s="179"/>
      <c r="K139" s="179"/>
      <c r="L139" s="179"/>
      <c r="M139" s="179"/>
    </row>
    <row r="140" spans="2:13" ht="15.75" x14ac:dyDescent="0.25">
      <c r="B140" s="952"/>
      <c r="C140" s="952"/>
      <c r="D140" s="579"/>
      <c r="E140" s="625"/>
      <c r="F140" s="126" t="s">
        <v>376</v>
      </c>
      <c r="G140" s="608">
        <f>FuelProd2!AA57-FuelProd2!AA61</f>
        <v>3.1449958041109882</v>
      </c>
      <c r="H140" s="579" t="s">
        <v>62</v>
      </c>
      <c r="I140" s="180"/>
      <c r="J140" s="179"/>
      <c r="K140" s="179"/>
      <c r="L140" s="179"/>
      <c r="M140" s="179"/>
    </row>
    <row r="141" spans="2:13" ht="15.75" x14ac:dyDescent="0.25">
      <c r="B141" s="952"/>
      <c r="C141" s="952"/>
      <c r="D141" s="579"/>
      <c r="E141" s="625"/>
      <c r="F141" s="609" t="s">
        <v>279</v>
      </c>
      <c r="G141" s="579"/>
      <c r="H141" s="579"/>
      <c r="I141" s="180"/>
      <c r="J141" s="179"/>
      <c r="K141" s="179"/>
      <c r="L141" s="179"/>
      <c r="M141" s="179"/>
    </row>
    <row r="142" spans="2:13" ht="15.75" x14ac:dyDescent="0.25">
      <c r="B142" s="952"/>
      <c r="C142" s="952"/>
      <c r="D142" s="579"/>
      <c r="E142" s="625"/>
      <c r="F142" s="126" t="s">
        <v>267</v>
      </c>
      <c r="G142" s="608">
        <f>FuelProd2!AA60</f>
        <v>21.228506875980358</v>
      </c>
      <c r="H142" s="579" t="s">
        <v>62</v>
      </c>
      <c r="I142" s="180"/>
      <c r="J142" s="179"/>
      <c r="K142" s="179"/>
      <c r="L142" s="179"/>
      <c r="M142" s="179"/>
    </row>
    <row r="143" spans="2:13" ht="15.75" x14ac:dyDescent="0.25">
      <c r="B143" s="620"/>
      <c r="C143" s="619"/>
      <c r="D143" s="579"/>
      <c r="E143" s="625"/>
      <c r="F143" s="126"/>
      <c r="G143" s="613"/>
      <c r="H143" s="579"/>
      <c r="I143" s="180"/>
      <c r="J143" s="179"/>
      <c r="K143" s="179"/>
      <c r="L143" s="179"/>
      <c r="M143" s="179"/>
    </row>
    <row r="144" spans="2:13" ht="15.75" x14ac:dyDescent="0.25">
      <c r="B144" s="952"/>
      <c r="C144" s="952"/>
      <c r="D144" s="579"/>
      <c r="E144" s="625"/>
      <c r="F144" s="616" t="s">
        <v>1057</v>
      </c>
      <c r="G144" s="608">
        <f>FuelProd2!AS57</f>
        <v>31714.191906565651</v>
      </c>
      <c r="H144" s="579" t="s">
        <v>1075</v>
      </c>
      <c r="I144" s="180"/>
      <c r="J144" s="179"/>
      <c r="K144" s="179"/>
      <c r="L144" s="179"/>
      <c r="M144" s="179"/>
    </row>
    <row r="145" spans="2:13" ht="15.75" x14ac:dyDescent="0.25">
      <c r="B145" s="952"/>
      <c r="C145" s="952"/>
      <c r="D145" s="600"/>
      <c r="E145" s="625"/>
      <c r="F145" s="126"/>
      <c r="G145" s="608">
        <f>FuelProd2!AU57</f>
        <v>1.5185915060791557E-2</v>
      </c>
      <c r="H145" s="579" t="s">
        <v>1074</v>
      </c>
      <c r="I145" s="180"/>
      <c r="J145" s="179"/>
      <c r="K145" s="179"/>
      <c r="L145" s="179"/>
      <c r="M145" s="179"/>
    </row>
    <row r="146" spans="2:13" x14ac:dyDescent="0.25">
      <c r="B146" s="126"/>
      <c r="C146" s="579"/>
      <c r="D146" s="579"/>
      <c r="E146" s="625"/>
      <c r="F146" s="126"/>
      <c r="G146" s="608">
        <f>FuelProd2!AV57</f>
        <v>1.5185915060791555E-2</v>
      </c>
      <c r="H146" s="579" t="s">
        <v>1076</v>
      </c>
      <c r="I146" s="180"/>
      <c r="J146" s="179"/>
      <c r="K146" s="179"/>
      <c r="L146" s="179"/>
      <c r="M146" s="179"/>
    </row>
    <row r="147" spans="2:13" x14ac:dyDescent="0.25">
      <c r="B147" s="132"/>
      <c r="C147" s="586"/>
      <c r="D147" s="586"/>
      <c r="E147" s="607"/>
      <c r="F147" s="132"/>
      <c r="G147" s="586"/>
      <c r="H147" s="586"/>
      <c r="I147" s="587"/>
      <c r="J147" s="179"/>
      <c r="K147" s="179"/>
      <c r="L147" s="179"/>
      <c r="M147" s="179"/>
    </row>
    <row r="148" spans="2:13" x14ac:dyDescent="0.25">
      <c r="B148" s="954" t="s">
        <v>496</v>
      </c>
      <c r="C148" s="954"/>
      <c r="D148" s="954"/>
      <c r="E148" s="954"/>
      <c r="F148" s="954"/>
      <c r="G148" s="954"/>
      <c r="H148" s="954"/>
      <c r="I148" s="954"/>
      <c r="J148" s="954"/>
      <c r="K148" s="954"/>
      <c r="L148" s="954"/>
      <c r="M148" s="954"/>
    </row>
    <row r="149" spans="2:13" x14ac:dyDescent="0.25">
      <c r="B149" s="583" t="s">
        <v>1088</v>
      </c>
      <c r="C149" s="615">
        <v>5.45</v>
      </c>
      <c r="D149" s="584" t="s">
        <v>59</v>
      </c>
      <c r="E149" s="646" t="s">
        <v>1305</v>
      </c>
      <c r="F149" s="617" t="s">
        <v>1078</v>
      </c>
      <c r="G149" s="584"/>
      <c r="H149" s="584"/>
      <c r="I149" s="585"/>
      <c r="J149" s="82" t="s">
        <v>152</v>
      </c>
      <c r="K149" s="612">
        <f>FuelProd2!AW58</f>
        <v>1.9540424729961281</v>
      </c>
      <c r="L149" s="42" t="s">
        <v>153</v>
      </c>
      <c r="M149" s="179"/>
    </row>
    <row r="150" spans="2:13" x14ac:dyDescent="0.25">
      <c r="B150" s="126" t="s">
        <v>1089</v>
      </c>
      <c r="C150" s="39">
        <v>1.47</v>
      </c>
      <c r="D150" s="579" t="s">
        <v>1090</v>
      </c>
      <c r="E150" s="625" t="s">
        <v>1457</v>
      </c>
      <c r="F150" s="126" t="s">
        <v>274</v>
      </c>
      <c r="G150" s="608">
        <f>FuelProd2!AA73</f>
        <v>8.0719106196310868</v>
      </c>
      <c r="H150" s="179" t="s">
        <v>62</v>
      </c>
      <c r="I150" s="180"/>
      <c r="J150" s="179"/>
      <c r="K150" s="179"/>
      <c r="L150" s="179"/>
      <c r="M150" s="179"/>
    </row>
    <row r="151" spans="2:13" x14ac:dyDescent="0.25">
      <c r="B151" s="126"/>
      <c r="C151" s="579"/>
      <c r="D151" s="579"/>
      <c r="E151" s="625"/>
      <c r="F151" s="126" t="s">
        <v>276</v>
      </c>
      <c r="G151" s="608">
        <f>FuelProd2!AA74</f>
        <v>0.226617811513707</v>
      </c>
      <c r="H151" s="179" t="s">
        <v>62</v>
      </c>
      <c r="I151" s="180"/>
      <c r="J151" s="179"/>
      <c r="K151" s="179"/>
      <c r="L151" s="179"/>
      <c r="M151" s="179"/>
    </row>
    <row r="152" spans="2:13" x14ac:dyDescent="0.25">
      <c r="B152" s="126" t="s">
        <v>1146</v>
      </c>
      <c r="C152" s="39">
        <v>420</v>
      </c>
      <c r="D152" s="579" t="s">
        <v>1080</v>
      </c>
      <c r="E152" s="625" t="s">
        <v>1307</v>
      </c>
      <c r="F152" s="610" t="s">
        <v>268</v>
      </c>
      <c r="G152" s="608">
        <f>FuelProd2!AA75</f>
        <v>2.9622185362148841</v>
      </c>
      <c r="H152" s="179" t="s">
        <v>62</v>
      </c>
      <c r="I152" s="180"/>
      <c r="J152" s="179"/>
      <c r="K152" s="179"/>
      <c r="L152" s="179"/>
      <c r="M152" s="179"/>
    </row>
    <row r="153" spans="2:13" x14ac:dyDescent="0.25">
      <c r="B153" s="15"/>
      <c r="C153" s="179"/>
      <c r="D153" s="179"/>
      <c r="E153" s="625"/>
      <c r="F153" s="610" t="s">
        <v>467</v>
      </c>
      <c r="G153" s="608">
        <f>FuelProd2!AA76</f>
        <v>29.957213396963475</v>
      </c>
      <c r="H153" s="179" t="s">
        <v>62</v>
      </c>
      <c r="I153" s="180"/>
      <c r="J153" s="179"/>
      <c r="K153" s="179"/>
      <c r="L153" s="179"/>
      <c r="M153" s="179"/>
    </row>
    <row r="154" spans="2:13" x14ac:dyDescent="0.25">
      <c r="B154" s="654" t="s">
        <v>1183</v>
      </c>
      <c r="C154" s="638"/>
      <c r="D154" s="638"/>
      <c r="E154" s="625"/>
      <c r="F154" s="126" t="s">
        <v>468</v>
      </c>
      <c r="G154" s="608">
        <f>FuelProd2!AA77</f>
        <v>12.646593184615387</v>
      </c>
      <c r="H154" s="179" t="s">
        <v>62</v>
      </c>
      <c r="I154" s="180"/>
      <c r="J154" s="179"/>
      <c r="K154" s="179"/>
      <c r="L154" s="179"/>
      <c r="M154" s="179"/>
    </row>
    <row r="155" spans="2:13" x14ac:dyDescent="0.25">
      <c r="B155" s="609" t="s">
        <v>1184</v>
      </c>
      <c r="C155" s="39">
        <v>3</v>
      </c>
      <c r="D155" s="579" t="s">
        <v>132</v>
      </c>
      <c r="E155" s="953" t="s">
        <v>1295</v>
      </c>
      <c r="F155" s="126" t="s">
        <v>471</v>
      </c>
      <c r="G155" s="608">
        <f>FuelProd2!AA78</f>
        <v>12.949814194954984</v>
      </c>
      <c r="H155" s="179" t="s">
        <v>62</v>
      </c>
      <c r="I155" s="180"/>
      <c r="J155" s="179"/>
      <c r="K155" s="179"/>
      <c r="L155" s="179"/>
      <c r="M155" s="179"/>
    </row>
    <row r="156" spans="2:13" x14ac:dyDescent="0.25">
      <c r="B156" s="609" t="s">
        <v>1185</v>
      </c>
      <c r="C156" s="39">
        <v>0.5</v>
      </c>
      <c r="D156" s="579" t="s">
        <v>132</v>
      </c>
      <c r="E156" s="953"/>
      <c r="F156" s="126" t="s">
        <v>474</v>
      </c>
      <c r="G156" s="608">
        <f>FuelProd2!AA79</f>
        <v>2.8805158064516134</v>
      </c>
      <c r="H156" s="179" t="s">
        <v>62</v>
      </c>
      <c r="I156" s="180"/>
      <c r="J156" s="179"/>
      <c r="K156" s="179"/>
      <c r="L156" s="179"/>
      <c r="M156" s="179"/>
    </row>
    <row r="157" spans="2:13" x14ac:dyDescent="0.25">
      <c r="B157" s="609" t="s">
        <v>1186</v>
      </c>
      <c r="C157" s="39">
        <f>1*60*60</f>
        <v>3600</v>
      </c>
      <c r="D157" s="579" t="s">
        <v>1189</v>
      </c>
      <c r="E157" s="625" t="s">
        <v>1307</v>
      </c>
      <c r="F157" s="126" t="s">
        <v>476</v>
      </c>
      <c r="G157" s="608">
        <f>FuelProd2!AA80</f>
        <v>1.2542453225806449</v>
      </c>
      <c r="H157" s="179" t="s">
        <v>62</v>
      </c>
      <c r="I157" s="180"/>
      <c r="J157" s="179"/>
      <c r="K157" s="179"/>
      <c r="L157" s="179"/>
      <c r="M157" s="179"/>
    </row>
    <row r="158" spans="2:13" x14ac:dyDescent="0.25">
      <c r="B158" s="126"/>
      <c r="C158" s="579"/>
      <c r="D158" s="579"/>
      <c r="E158" s="625"/>
      <c r="F158" s="126" t="s">
        <v>478</v>
      </c>
      <c r="G158" s="608">
        <f>FuelProd2!AA81</f>
        <v>5.4693634153846151</v>
      </c>
      <c r="H158" s="179" t="s">
        <v>62</v>
      </c>
      <c r="I158" s="180"/>
      <c r="J158" s="179"/>
      <c r="K158" s="179"/>
      <c r="L158" s="179"/>
      <c r="M158" s="179"/>
    </row>
    <row r="159" spans="2:13" x14ac:dyDescent="0.25">
      <c r="B159" s="126"/>
      <c r="C159" s="579"/>
      <c r="D159" s="579"/>
      <c r="E159" s="625"/>
      <c r="F159" s="126" t="s">
        <v>376</v>
      </c>
      <c r="G159" s="608">
        <f>FuelProd2!AA82</f>
        <v>3.1449958041109882</v>
      </c>
      <c r="H159" s="179" t="s">
        <v>62</v>
      </c>
      <c r="I159" s="180"/>
      <c r="J159" s="179"/>
      <c r="K159" s="179"/>
      <c r="L159" s="179"/>
      <c r="M159" s="179"/>
    </row>
    <row r="160" spans="2:13" x14ac:dyDescent="0.25">
      <c r="B160" s="126"/>
      <c r="C160" s="579"/>
      <c r="D160" s="579"/>
      <c r="E160" s="625"/>
      <c r="F160" s="609" t="s">
        <v>279</v>
      </c>
      <c r="G160" s="579"/>
      <c r="H160" s="579"/>
      <c r="I160" s="180"/>
      <c r="J160" s="179"/>
      <c r="K160" s="179"/>
      <c r="L160" s="179"/>
      <c r="M160" s="179"/>
    </row>
    <row r="161" spans="1:13" x14ac:dyDescent="0.25">
      <c r="B161" s="126"/>
      <c r="C161" s="579"/>
      <c r="D161" s="579"/>
      <c r="E161" s="625"/>
      <c r="F161" s="126" t="s">
        <v>483</v>
      </c>
      <c r="G161" s="608">
        <f>FuelProd2!AA85</f>
        <v>18.127943055503174</v>
      </c>
      <c r="H161" s="179" t="s">
        <v>62</v>
      </c>
      <c r="I161" s="180"/>
      <c r="J161" s="179"/>
      <c r="K161" s="179"/>
      <c r="L161" s="179"/>
      <c r="M161" s="179"/>
    </row>
    <row r="162" spans="1:13" x14ac:dyDescent="0.25">
      <c r="B162" s="126"/>
      <c r="C162" s="579"/>
      <c r="D162" s="579"/>
      <c r="E162" s="625"/>
      <c r="F162" s="126" t="s">
        <v>1346</v>
      </c>
      <c r="G162" s="608">
        <f>FuelProd2!AA86+FuelProd2!AA87</f>
        <v>3.2680271830029075</v>
      </c>
      <c r="H162" s="179" t="s">
        <v>62</v>
      </c>
      <c r="I162" s="180"/>
      <c r="J162" s="179"/>
      <c r="K162" s="179"/>
      <c r="L162" s="179"/>
      <c r="M162" s="179"/>
    </row>
    <row r="163" spans="1:13" x14ac:dyDescent="0.25">
      <c r="B163" s="126"/>
      <c r="C163" s="579"/>
      <c r="D163" s="579"/>
      <c r="E163" s="625"/>
      <c r="F163" s="126"/>
      <c r="G163" s="613"/>
      <c r="H163" s="579"/>
      <c r="I163" s="180"/>
      <c r="J163" s="179"/>
      <c r="K163" s="179"/>
      <c r="L163" s="179"/>
      <c r="M163" s="179"/>
    </row>
    <row r="164" spans="1:13" x14ac:dyDescent="0.25">
      <c r="B164" s="126"/>
      <c r="C164" s="579"/>
      <c r="D164" s="579"/>
      <c r="E164" s="625"/>
      <c r="F164" s="616" t="s">
        <v>1057</v>
      </c>
      <c r="G164" s="608">
        <f>FuelProd2!AS58</f>
        <v>190791.25217134957</v>
      </c>
      <c r="H164" s="579" t="s">
        <v>1075</v>
      </c>
      <c r="I164" s="180"/>
      <c r="J164" s="179"/>
      <c r="K164" s="179"/>
      <c r="L164" s="179"/>
      <c r="M164" s="179"/>
    </row>
    <row r="165" spans="1:13" x14ac:dyDescent="0.25">
      <c r="B165" s="126"/>
      <c r="C165" s="579"/>
      <c r="D165" s="579"/>
      <c r="E165" s="625"/>
      <c r="F165" s="126"/>
      <c r="G165" s="608">
        <f>FuelProd2!AU58</f>
        <v>9.1357829906312499E-2</v>
      </c>
      <c r="H165" s="579" t="s">
        <v>1074</v>
      </c>
      <c r="I165" s="180"/>
      <c r="J165" s="179"/>
      <c r="K165" s="179"/>
      <c r="L165" s="179"/>
      <c r="M165" s="179"/>
    </row>
    <row r="166" spans="1:13" x14ac:dyDescent="0.25">
      <c r="B166" s="126"/>
      <c r="C166" s="579"/>
      <c r="D166" s="579"/>
      <c r="E166" s="625"/>
      <c r="F166" s="126"/>
      <c r="G166" s="608">
        <f>FuelProd2!AV58</f>
        <v>9.1357829906312485E-2</v>
      </c>
      <c r="H166" s="579" t="s">
        <v>1076</v>
      </c>
      <c r="I166" s="180"/>
      <c r="J166" s="179"/>
      <c r="K166" s="179"/>
      <c r="L166" s="179"/>
      <c r="M166" s="179"/>
    </row>
    <row r="167" spans="1:13" x14ac:dyDescent="0.25">
      <c r="B167" s="132"/>
      <c r="C167" s="586"/>
      <c r="D167" s="586"/>
      <c r="E167" s="607"/>
      <c r="F167" s="132"/>
      <c r="G167" s="586"/>
      <c r="H167" s="586"/>
      <c r="I167" s="587"/>
      <c r="J167" s="179"/>
      <c r="K167" s="179"/>
      <c r="L167" s="179"/>
      <c r="M167" s="179"/>
    </row>
    <row r="168" spans="1:13" x14ac:dyDescent="0.25">
      <c r="B168" s="940" t="s">
        <v>488</v>
      </c>
      <c r="C168" s="940"/>
      <c r="D168" s="940"/>
      <c r="E168" s="940"/>
      <c r="F168" s="940"/>
      <c r="G168" s="940"/>
      <c r="H168" s="940"/>
      <c r="I168" s="940"/>
      <c r="J168" s="940"/>
      <c r="K168" s="940"/>
      <c r="L168" s="940"/>
      <c r="M168" s="940"/>
    </row>
    <row r="169" spans="1:13" x14ac:dyDescent="0.25">
      <c r="A169" s="4"/>
      <c r="B169" s="583" t="s">
        <v>1093</v>
      </c>
      <c r="C169" s="615">
        <v>1E-3</v>
      </c>
      <c r="D169" s="584" t="s">
        <v>1092</v>
      </c>
      <c r="E169" s="647" t="s">
        <v>1456</v>
      </c>
      <c r="F169" s="583" t="s">
        <v>1091</v>
      </c>
      <c r="G169" s="584"/>
      <c r="H169" s="584"/>
      <c r="I169" s="585"/>
      <c r="J169" s="82" t="s">
        <v>152</v>
      </c>
      <c r="K169" s="608">
        <f>FuelProd2!AW59</f>
        <v>0.19439117666810435</v>
      </c>
      <c r="L169" s="42" t="s">
        <v>153</v>
      </c>
      <c r="M169" s="179"/>
    </row>
    <row r="170" spans="1:13" x14ac:dyDescent="0.25">
      <c r="B170" s="126"/>
      <c r="C170" s="39">
        <f>1500</f>
        <v>1500</v>
      </c>
      <c r="D170" s="579" t="s">
        <v>712</v>
      </c>
      <c r="E170" s="625"/>
      <c r="F170" s="126" t="s">
        <v>274</v>
      </c>
      <c r="G170" s="608">
        <f>FuelProd2!AJ77</f>
        <v>8.0719106196310868</v>
      </c>
      <c r="H170" s="179" t="s">
        <v>62</v>
      </c>
      <c r="I170" s="180"/>
      <c r="J170" s="179"/>
      <c r="K170" s="179"/>
      <c r="L170" s="179"/>
      <c r="M170" s="179"/>
    </row>
    <row r="171" spans="1:13" x14ac:dyDescent="0.25">
      <c r="B171" s="126"/>
      <c r="C171" s="579"/>
      <c r="D171" s="579"/>
      <c r="E171" s="625"/>
      <c r="F171" s="126" t="s">
        <v>276</v>
      </c>
      <c r="G171" s="608">
        <f>FuelProd2!AJ78</f>
        <v>0.226617811513707</v>
      </c>
      <c r="H171" s="179" t="s">
        <v>62</v>
      </c>
      <c r="I171" s="180"/>
      <c r="J171" s="179"/>
      <c r="K171" s="179"/>
      <c r="L171" s="179"/>
      <c r="M171" s="179"/>
    </row>
    <row r="172" spans="1:13" x14ac:dyDescent="0.25">
      <c r="B172" s="126" t="s">
        <v>1146</v>
      </c>
      <c r="C172" s="39">
        <v>420</v>
      </c>
      <c r="D172" s="579" t="s">
        <v>1080</v>
      </c>
      <c r="E172" s="625" t="s">
        <v>1309</v>
      </c>
      <c r="F172" s="126" t="s">
        <v>268</v>
      </c>
      <c r="G172" s="608">
        <f>FuelProd2!AJ79</f>
        <v>2.9622185362148841</v>
      </c>
      <c r="H172" s="179" t="s">
        <v>62</v>
      </c>
      <c r="I172" s="180"/>
      <c r="J172" s="179"/>
      <c r="K172" s="179"/>
      <c r="L172" s="179"/>
      <c r="M172" s="179"/>
    </row>
    <row r="173" spans="1:13" x14ac:dyDescent="0.25">
      <c r="B173" s="15"/>
      <c r="C173" s="179"/>
      <c r="D173" s="179"/>
      <c r="E173" s="625"/>
      <c r="F173" s="126" t="s">
        <v>270</v>
      </c>
      <c r="G173" s="608">
        <f>FuelProd2!AJ80</f>
        <v>4.1756461460914691</v>
      </c>
      <c r="H173" s="179" t="s">
        <v>62</v>
      </c>
      <c r="I173" s="180"/>
      <c r="J173" s="179"/>
      <c r="K173" s="179"/>
      <c r="L173" s="179"/>
      <c r="M173" s="179"/>
    </row>
    <row r="174" spans="1:13" x14ac:dyDescent="0.25">
      <c r="B174" s="654" t="s">
        <v>1183</v>
      </c>
      <c r="C174" s="638"/>
      <c r="D174" s="638"/>
      <c r="E174" s="625"/>
      <c r="F174" s="126" t="s">
        <v>376</v>
      </c>
      <c r="G174" s="608">
        <f>FuelProd2!AJ81</f>
        <v>3.0098913270920349</v>
      </c>
      <c r="H174" s="179" t="s">
        <v>62</v>
      </c>
      <c r="I174" s="180"/>
      <c r="J174" s="179"/>
      <c r="K174" s="179"/>
      <c r="L174" s="179"/>
      <c r="M174" s="179"/>
    </row>
    <row r="175" spans="1:13" x14ac:dyDescent="0.25">
      <c r="B175" s="609" t="s">
        <v>1184</v>
      </c>
      <c r="C175" s="39">
        <v>3</v>
      </c>
      <c r="D175" s="579" t="s">
        <v>132</v>
      </c>
      <c r="E175" s="953" t="s">
        <v>1295</v>
      </c>
      <c r="F175" s="609" t="s">
        <v>279</v>
      </c>
      <c r="G175" s="579"/>
      <c r="H175" s="579"/>
      <c r="I175" s="180"/>
      <c r="J175" s="179"/>
      <c r="K175" s="179"/>
      <c r="L175" s="179"/>
      <c r="M175" s="179"/>
    </row>
    <row r="176" spans="1:13" x14ac:dyDescent="0.25">
      <c r="B176" s="609" t="s">
        <v>1185</v>
      </c>
      <c r="C176" s="39">
        <v>0.5</v>
      </c>
      <c r="D176" s="579" t="s">
        <v>132</v>
      </c>
      <c r="E176" s="953"/>
      <c r="F176" s="126" t="s">
        <v>280</v>
      </c>
      <c r="G176" s="608">
        <f>FuelProd2!AJ84</f>
        <v>0</v>
      </c>
      <c r="H176" s="179" t="s">
        <v>62</v>
      </c>
      <c r="I176" s="180"/>
      <c r="J176" s="179"/>
      <c r="K176" s="179"/>
      <c r="L176" s="179"/>
      <c r="M176" s="179"/>
    </row>
    <row r="177" spans="1:13" x14ac:dyDescent="0.25">
      <c r="B177" s="609" t="s">
        <v>1186</v>
      </c>
      <c r="C177" s="39">
        <f>1*60*60</f>
        <v>3600</v>
      </c>
      <c r="D177" s="579" t="s">
        <v>1189</v>
      </c>
      <c r="E177" s="625" t="s">
        <v>1309</v>
      </c>
      <c r="F177" s="126"/>
      <c r="G177" s="579"/>
      <c r="H177" s="579"/>
      <c r="I177" s="180"/>
      <c r="J177" s="179"/>
      <c r="K177" s="179"/>
      <c r="L177" s="179"/>
      <c r="M177" s="179"/>
    </row>
    <row r="178" spans="1:13" x14ac:dyDescent="0.25">
      <c r="B178" s="126"/>
      <c r="C178" s="579"/>
      <c r="D178" s="579"/>
      <c r="E178" s="625"/>
      <c r="F178" s="616" t="s">
        <v>1057</v>
      </c>
      <c r="G178" s="608">
        <f>FuelProd2!AS59</f>
        <v>18980.209754961223</v>
      </c>
      <c r="H178" s="579" t="s">
        <v>1075</v>
      </c>
      <c r="I178" s="180"/>
      <c r="J178" s="179"/>
      <c r="K178" s="179"/>
      <c r="L178" s="179"/>
      <c r="M178" s="179"/>
    </row>
    <row r="179" spans="1:13" x14ac:dyDescent="0.25">
      <c r="B179" s="126"/>
      <c r="C179" s="579"/>
      <c r="D179" s="579"/>
      <c r="E179" s="625"/>
      <c r="F179" s="126"/>
      <c r="G179" s="608">
        <f>FuelProd2!AU59</f>
        <v>9.0884186494178676E-3</v>
      </c>
      <c r="H179" s="579" t="s">
        <v>1074</v>
      </c>
      <c r="I179" s="180"/>
      <c r="J179" s="179"/>
      <c r="K179" s="179"/>
      <c r="L179" s="179"/>
      <c r="M179" s="179"/>
    </row>
    <row r="180" spans="1:13" x14ac:dyDescent="0.25">
      <c r="B180" s="126"/>
      <c r="C180" s="579"/>
      <c r="D180" s="579"/>
      <c r="E180" s="625"/>
      <c r="F180" s="126"/>
      <c r="G180" s="608">
        <f>FuelProd2!AV59</f>
        <v>9.0884186494178659E-3</v>
      </c>
      <c r="H180" s="579" t="s">
        <v>1076</v>
      </c>
      <c r="I180" s="180"/>
      <c r="J180" s="179"/>
      <c r="K180" s="179"/>
      <c r="L180" s="179"/>
      <c r="M180" s="179"/>
    </row>
    <row r="181" spans="1:13" x14ac:dyDescent="0.25">
      <c r="B181" s="132"/>
      <c r="C181" s="586"/>
      <c r="D181" s="586"/>
      <c r="E181" s="607"/>
      <c r="F181" s="132"/>
      <c r="G181" s="586"/>
      <c r="H181" s="586"/>
      <c r="I181" s="587"/>
      <c r="J181" s="179"/>
      <c r="K181" s="179"/>
      <c r="L181" s="179"/>
      <c r="M181" s="179"/>
    </row>
    <row r="182" spans="1:13" x14ac:dyDescent="0.25">
      <c r="A182" s="4"/>
      <c r="B182" s="943" t="s">
        <v>1501</v>
      </c>
      <c r="C182" s="943"/>
      <c r="D182" s="943"/>
      <c r="E182" s="943"/>
      <c r="F182" s="943"/>
      <c r="G182" s="943"/>
      <c r="H182" s="943"/>
      <c r="I182" s="943"/>
      <c r="J182" s="943"/>
      <c r="K182" s="943"/>
      <c r="L182" s="943"/>
      <c r="M182" s="943"/>
    </row>
    <row r="183" spans="1:13" x14ac:dyDescent="0.25">
      <c r="B183" s="126" t="s">
        <v>1089</v>
      </c>
      <c r="C183" s="39">
        <v>1.47</v>
      </c>
      <c r="D183" s="579" t="s">
        <v>1090</v>
      </c>
      <c r="E183" s="646" t="s">
        <v>1313</v>
      </c>
      <c r="F183" s="583" t="s">
        <v>1091</v>
      </c>
      <c r="G183" s="179"/>
      <c r="H183" s="179"/>
      <c r="I183" s="179"/>
      <c r="J183" s="765" t="s">
        <v>152</v>
      </c>
      <c r="K183" s="612">
        <f>FuelProd2!AW66</f>
        <v>0.80015750043645129</v>
      </c>
      <c r="L183" s="88" t="s">
        <v>153</v>
      </c>
      <c r="M183" s="585"/>
    </row>
    <row r="184" spans="1:13" x14ac:dyDescent="0.25">
      <c r="B184" s="126"/>
      <c r="C184" s="579"/>
      <c r="D184" s="579"/>
      <c r="E184" s="180"/>
      <c r="F184" s="179" t="s">
        <v>268</v>
      </c>
      <c r="G184" s="608">
        <f>FuelProd3!CB72</f>
        <v>2.9622185362148841</v>
      </c>
      <c r="H184" s="179" t="s">
        <v>62</v>
      </c>
      <c r="I184" s="179"/>
      <c r="J184" s="707"/>
      <c r="K184" s="708"/>
      <c r="L184" s="708"/>
      <c r="M184" s="705"/>
    </row>
    <row r="185" spans="1:13" x14ac:dyDescent="0.25">
      <c r="B185" s="126"/>
      <c r="C185" s="579"/>
      <c r="D185" s="579"/>
      <c r="E185" s="180"/>
      <c r="F185" s="179" t="s">
        <v>1210</v>
      </c>
      <c r="G185" s="608">
        <f>FuelProd3!CB73</f>
        <v>0.95924178683456973</v>
      </c>
      <c r="H185" s="179" t="s">
        <v>62</v>
      </c>
      <c r="I185" s="179"/>
      <c r="J185" s="707"/>
      <c r="K185" s="708"/>
      <c r="L185" s="708"/>
      <c r="M185" s="705"/>
    </row>
    <row r="186" spans="1:13" x14ac:dyDescent="0.25">
      <c r="B186" s="126"/>
      <c r="C186" s="579"/>
      <c r="D186" s="579"/>
      <c r="E186" s="180"/>
      <c r="F186" s="179" t="s">
        <v>272</v>
      </c>
      <c r="G186" s="608">
        <f>FuelProd3!CB74</f>
        <v>0</v>
      </c>
      <c r="H186" s="179" t="s">
        <v>62</v>
      </c>
      <c r="I186" s="179"/>
      <c r="J186" s="707"/>
      <c r="K186" s="708"/>
      <c r="L186" s="708"/>
      <c r="M186" s="705"/>
    </row>
    <row r="187" spans="1:13" x14ac:dyDescent="0.25">
      <c r="B187" s="126"/>
      <c r="C187" s="579"/>
      <c r="D187" s="579"/>
      <c r="E187" s="180"/>
      <c r="F187" s="179" t="s">
        <v>376</v>
      </c>
      <c r="G187" s="608">
        <f>FuelProd3!CB75</f>
        <v>3.0098913270920349</v>
      </c>
      <c r="H187" s="179" t="s">
        <v>62</v>
      </c>
      <c r="I187" s="179"/>
      <c r="J187" s="707"/>
      <c r="K187" s="708"/>
      <c r="L187" s="708"/>
      <c r="M187" s="705"/>
    </row>
    <row r="188" spans="1:13" x14ac:dyDescent="0.25">
      <c r="B188" s="126"/>
      <c r="C188" s="579"/>
      <c r="D188" s="579"/>
      <c r="E188" s="180"/>
      <c r="F188" s="179" t="s">
        <v>274</v>
      </c>
      <c r="G188" s="608">
        <f>FuelProd3!CB76</f>
        <v>10.317647259857246</v>
      </c>
      <c r="H188" s="179" t="s">
        <v>62</v>
      </c>
      <c r="I188" s="179"/>
      <c r="J188" s="707"/>
      <c r="K188" s="708"/>
      <c r="L188" s="708"/>
      <c r="M188" s="705"/>
    </row>
    <row r="189" spans="1:13" x14ac:dyDescent="0.25">
      <c r="B189" s="126"/>
      <c r="C189" s="579"/>
      <c r="D189" s="579"/>
      <c r="E189" s="180"/>
      <c r="F189" s="179" t="s">
        <v>276</v>
      </c>
      <c r="G189" s="608">
        <f>FuelProd3!CB77</f>
        <v>0.28966656745588526</v>
      </c>
      <c r="H189" s="179" t="s">
        <v>62</v>
      </c>
      <c r="I189" s="179"/>
      <c r="J189" s="707"/>
      <c r="K189" s="708"/>
      <c r="L189" s="708"/>
      <c r="M189" s="705"/>
    </row>
    <row r="190" spans="1:13" x14ac:dyDescent="0.25">
      <c r="B190" s="126"/>
      <c r="C190" s="579"/>
      <c r="D190" s="579"/>
      <c r="E190" s="180"/>
      <c r="F190" s="179"/>
      <c r="G190" s="179"/>
      <c r="H190" s="179"/>
      <c r="I190" s="179"/>
      <c r="J190" s="707"/>
      <c r="K190" s="708"/>
      <c r="L190" s="708"/>
      <c r="M190" s="705"/>
    </row>
    <row r="191" spans="1:13" x14ac:dyDescent="0.25">
      <c r="B191" s="126"/>
      <c r="C191" s="579"/>
      <c r="D191" s="579"/>
      <c r="E191" s="180"/>
      <c r="F191" s="616" t="s">
        <v>1057</v>
      </c>
      <c r="G191" s="608">
        <f>FuelProd2!AS66</f>
        <v>78126.782581388747</v>
      </c>
      <c r="H191" s="579" t="s">
        <v>1075</v>
      </c>
      <c r="I191" s="708"/>
      <c r="J191" s="707"/>
      <c r="K191" s="708"/>
      <c r="L191" s="708"/>
      <c r="M191" s="705"/>
    </row>
    <row r="192" spans="1:13" x14ac:dyDescent="0.25">
      <c r="B192" s="126"/>
      <c r="C192" s="579"/>
      <c r="D192" s="579"/>
      <c r="E192" s="180"/>
      <c r="F192" s="126"/>
      <c r="G192" s="608">
        <f>FuelProd2!AU66</f>
        <v>3.7409961059366552E-2</v>
      </c>
      <c r="H192" s="579" t="s">
        <v>1074</v>
      </c>
      <c r="I192" s="708"/>
      <c r="J192" s="707"/>
      <c r="K192" s="708"/>
      <c r="L192" s="708"/>
      <c r="M192" s="705"/>
    </row>
    <row r="193" spans="2:14" x14ac:dyDescent="0.25">
      <c r="B193" s="126"/>
      <c r="C193" s="579"/>
      <c r="D193" s="579"/>
      <c r="E193" s="180"/>
      <c r="F193" s="126"/>
      <c r="G193" s="608">
        <f>FuelProd2!AV66</f>
        <v>3.7409961059366552E-2</v>
      </c>
      <c r="H193" s="579" t="s">
        <v>1076</v>
      </c>
      <c r="I193" s="708"/>
      <c r="J193" s="707"/>
      <c r="K193" s="708"/>
      <c r="L193" s="708"/>
      <c r="M193" s="705"/>
    </row>
    <row r="194" spans="2:14" x14ac:dyDescent="0.25">
      <c r="B194" s="126"/>
      <c r="C194" s="579"/>
      <c r="D194" s="579"/>
      <c r="E194" s="180"/>
      <c r="F194" s="179"/>
      <c r="G194" s="179"/>
      <c r="H194" s="179"/>
      <c r="I194" s="179"/>
      <c r="J194" s="707"/>
      <c r="K194" s="708"/>
      <c r="L194" s="708"/>
      <c r="M194" s="705"/>
    </row>
    <row r="195" spans="2:14" x14ac:dyDescent="0.25">
      <c r="B195" s="126"/>
      <c r="C195" s="579"/>
      <c r="D195" s="579"/>
      <c r="E195" s="180"/>
      <c r="F195" s="179"/>
      <c r="G195" s="179"/>
      <c r="H195" s="179"/>
      <c r="I195" s="179"/>
      <c r="J195" s="707"/>
      <c r="K195" s="708"/>
      <c r="L195" s="708"/>
      <c r="M195" s="705"/>
    </row>
    <row r="196" spans="2:14" x14ac:dyDescent="0.25">
      <c r="B196" s="126"/>
      <c r="C196" s="579"/>
      <c r="D196" s="579"/>
      <c r="E196" s="180"/>
      <c r="F196" s="179"/>
      <c r="G196" s="179"/>
      <c r="H196" s="179"/>
      <c r="I196" s="179"/>
      <c r="J196" s="707"/>
      <c r="K196" s="708"/>
      <c r="L196" s="708"/>
      <c r="M196" s="705"/>
    </row>
    <row r="197" spans="2:14" x14ac:dyDescent="0.25">
      <c r="B197" s="126"/>
      <c r="C197" s="579"/>
      <c r="D197" s="579"/>
      <c r="E197" s="180"/>
      <c r="F197" s="179"/>
      <c r="G197" s="179"/>
      <c r="H197" s="179"/>
      <c r="I197" s="179"/>
      <c r="J197" s="707"/>
      <c r="K197" s="708"/>
      <c r="L197" s="708"/>
      <c r="M197" s="705"/>
    </row>
    <row r="198" spans="2:14" x14ac:dyDescent="0.25">
      <c r="B198" s="132"/>
      <c r="C198" s="586"/>
      <c r="D198" s="586"/>
      <c r="E198" s="587"/>
      <c r="F198" s="179"/>
      <c r="G198" s="179"/>
      <c r="H198" s="179"/>
      <c r="I198" s="179"/>
      <c r="J198" s="132"/>
      <c r="K198" s="586"/>
      <c r="L198" s="586"/>
      <c r="M198" s="587"/>
    </row>
    <row r="199" spans="2:14" x14ac:dyDescent="0.25">
      <c r="B199" s="940" t="s">
        <v>1493</v>
      </c>
      <c r="C199" s="940"/>
      <c r="D199" s="940"/>
      <c r="E199" s="940"/>
      <c r="F199" s="940"/>
      <c r="G199" s="940"/>
      <c r="H199" s="940"/>
      <c r="I199" s="940"/>
      <c r="J199" s="940"/>
      <c r="K199" s="940"/>
      <c r="L199" s="940"/>
      <c r="M199" s="940"/>
    </row>
    <row r="200" spans="2:14" x14ac:dyDescent="0.25">
      <c r="B200" s="583" t="s">
        <v>1029</v>
      </c>
      <c r="C200" s="615">
        <f>5/100*C58</f>
        <v>5</v>
      </c>
      <c r="D200" s="584" t="s">
        <v>62</v>
      </c>
      <c r="E200" s="735" t="s">
        <v>1291</v>
      </c>
      <c r="F200" s="642"/>
      <c r="G200" s="613"/>
      <c r="H200" s="641"/>
      <c r="I200" s="639"/>
      <c r="J200" s="82" t="s">
        <v>152</v>
      </c>
      <c r="K200" s="608">
        <f>FuelProd2!AW61</f>
        <v>0.32480984991137496</v>
      </c>
      <c r="L200" s="42" t="s">
        <v>153</v>
      </c>
      <c r="M200" s="179"/>
    </row>
    <row r="201" spans="2:14" x14ac:dyDescent="0.25">
      <c r="B201" s="604"/>
      <c r="C201" s="638"/>
      <c r="D201" s="638"/>
      <c r="E201" s="736"/>
      <c r="F201" s="604"/>
      <c r="G201" s="638"/>
      <c r="H201" s="638"/>
      <c r="I201" s="640"/>
      <c r="J201" s="638"/>
      <c r="K201" s="638"/>
      <c r="L201" s="638"/>
      <c r="M201" s="638"/>
    </row>
    <row r="202" spans="2:14" x14ac:dyDescent="0.25">
      <c r="B202" s="126" t="s">
        <v>1146</v>
      </c>
      <c r="C202" s="39">
        <v>420</v>
      </c>
      <c r="D202" s="579" t="s">
        <v>1080</v>
      </c>
      <c r="E202" s="643" t="s">
        <v>1311</v>
      </c>
      <c r="F202" s="126" t="s">
        <v>1091</v>
      </c>
      <c r="G202" s="579"/>
      <c r="H202" s="579"/>
      <c r="I202" s="180"/>
      <c r="J202" s="179"/>
      <c r="K202" s="179"/>
      <c r="L202" s="179"/>
      <c r="M202" s="179"/>
      <c r="N202" s="33"/>
    </row>
    <row r="203" spans="2:14" x14ac:dyDescent="0.25">
      <c r="B203" s="15"/>
      <c r="C203" s="179"/>
      <c r="D203" s="179"/>
      <c r="E203" s="643"/>
      <c r="F203" s="126" t="s">
        <v>467</v>
      </c>
      <c r="G203" s="608">
        <f>FuelProd2!S78</f>
        <v>29.957213396963475</v>
      </c>
      <c r="H203" s="579" t="s">
        <v>62</v>
      </c>
      <c r="I203" s="180"/>
      <c r="J203" s="179"/>
      <c r="K203" s="179"/>
      <c r="L203" s="179"/>
      <c r="M203" s="179"/>
    </row>
    <row r="204" spans="2:14" x14ac:dyDescent="0.25">
      <c r="B204" s="654" t="s">
        <v>1183</v>
      </c>
      <c r="C204" s="638"/>
      <c r="D204" s="638"/>
      <c r="E204" s="643"/>
      <c r="F204" s="126" t="s">
        <v>468</v>
      </c>
      <c r="G204" s="608">
        <f>FuelProd2!S79</f>
        <v>12.646593184615387</v>
      </c>
      <c r="H204" s="579" t="s">
        <v>62</v>
      </c>
      <c r="I204" s="180"/>
      <c r="J204" s="179"/>
      <c r="K204" s="179"/>
      <c r="L204" s="179"/>
      <c r="M204" s="179"/>
    </row>
    <row r="205" spans="2:14" x14ac:dyDescent="0.25">
      <c r="B205" s="609" t="s">
        <v>1184</v>
      </c>
      <c r="C205" s="39">
        <v>3</v>
      </c>
      <c r="D205" s="579" t="s">
        <v>132</v>
      </c>
      <c r="E205" s="953" t="s">
        <v>1295</v>
      </c>
      <c r="F205" s="126" t="s">
        <v>471</v>
      </c>
      <c r="G205" s="608">
        <f>FuelProd2!S80</f>
        <v>12.949814194954984</v>
      </c>
      <c r="H205" s="579" t="s">
        <v>62</v>
      </c>
      <c r="I205" s="180"/>
      <c r="J205" s="179"/>
      <c r="K205" s="179"/>
      <c r="L205" s="179"/>
      <c r="M205" s="179"/>
    </row>
    <row r="206" spans="2:14" x14ac:dyDescent="0.25">
      <c r="B206" s="609" t="s">
        <v>1185</v>
      </c>
      <c r="C206" s="39">
        <v>0.5</v>
      </c>
      <c r="D206" s="579" t="s">
        <v>132</v>
      </c>
      <c r="E206" s="953"/>
      <c r="F206" s="126" t="s">
        <v>474</v>
      </c>
      <c r="G206" s="608">
        <f>FuelProd2!S81</f>
        <v>2.8805158064516134</v>
      </c>
      <c r="H206" s="579" t="s">
        <v>62</v>
      </c>
      <c r="I206" s="180"/>
      <c r="J206" s="179"/>
      <c r="K206" s="179"/>
      <c r="L206" s="179"/>
      <c r="M206" s="179"/>
    </row>
    <row r="207" spans="2:14" x14ac:dyDescent="0.25">
      <c r="B207" s="609" t="s">
        <v>1186</v>
      </c>
      <c r="C207" s="39">
        <f>4*60*60</f>
        <v>14400</v>
      </c>
      <c r="D207" s="579" t="s">
        <v>1189</v>
      </c>
      <c r="E207" s="643" t="s">
        <v>1311</v>
      </c>
      <c r="F207" s="126" t="s">
        <v>476</v>
      </c>
      <c r="G207" s="608">
        <f>FuelProd2!S82</f>
        <v>1.2542453225806449</v>
      </c>
      <c r="H207" s="579" t="s">
        <v>62</v>
      </c>
      <c r="I207" s="180"/>
      <c r="J207" s="179"/>
      <c r="K207" s="179"/>
      <c r="L207" s="179"/>
      <c r="M207" s="179"/>
    </row>
    <row r="208" spans="2:14" x14ac:dyDescent="0.25">
      <c r="B208" s="126"/>
      <c r="C208" s="579"/>
      <c r="D208" s="579"/>
      <c r="E208" s="180"/>
      <c r="F208" s="126" t="s">
        <v>478</v>
      </c>
      <c r="G208" s="608">
        <f>FuelProd2!S83</f>
        <v>5.4693634153846151</v>
      </c>
      <c r="H208" s="579" t="s">
        <v>62</v>
      </c>
      <c r="I208" s="180"/>
      <c r="J208" s="179"/>
      <c r="K208" s="179"/>
      <c r="L208" s="179"/>
      <c r="M208" s="179"/>
    </row>
    <row r="209" spans="2:13" x14ac:dyDescent="0.25">
      <c r="B209" s="126"/>
      <c r="C209" s="579"/>
      <c r="D209" s="579"/>
      <c r="E209" s="180"/>
      <c r="F209" s="609" t="s">
        <v>279</v>
      </c>
      <c r="G209" s="579"/>
      <c r="H209" s="579"/>
      <c r="I209" s="180"/>
      <c r="J209" s="179"/>
      <c r="K209" s="179"/>
      <c r="L209" s="179"/>
      <c r="M209" s="179"/>
    </row>
    <row r="210" spans="2:13" x14ac:dyDescent="0.25">
      <c r="B210" s="126"/>
      <c r="C210" s="579"/>
      <c r="D210" s="579"/>
      <c r="E210" s="180"/>
      <c r="F210" s="126" t="s">
        <v>483</v>
      </c>
      <c r="G210" s="608">
        <f>FuelProd2!S86</f>
        <v>18.127943055503174</v>
      </c>
      <c r="H210" s="579" t="s">
        <v>62</v>
      </c>
      <c r="I210" s="180"/>
      <c r="J210" s="179"/>
      <c r="K210" s="179"/>
      <c r="L210" s="179"/>
      <c r="M210" s="179"/>
    </row>
    <row r="211" spans="2:13" x14ac:dyDescent="0.25">
      <c r="B211" s="126"/>
      <c r="C211" s="579"/>
      <c r="D211" s="579"/>
      <c r="E211" s="180"/>
      <c r="F211" s="126"/>
      <c r="G211" s="579"/>
      <c r="H211" s="579"/>
      <c r="I211" s="180"/>
      <c r="J211" s="179"/>
      <c r="K211" s="179"/>
      <c r="L211" s="179"/>
      <c r="M211" s="179"/>
    </row>
    <row r="212" spans="2:13" x14ac:dyDescent="0.25">
      <c r="B212" s="126"/>
      <c r="C212" s="579"/>
      <c r="D212" s="579"/>
      <c r="E212" s="180"/>
      <c r="F212" s="616" t="s">
        <v>1057</v>
      </c>
      <c r="G212" s="608">
        <f>FuelProd2!AS61</f>
        <v>31714.191906565651</v>
      </c>
      <c r="H212" s="579" t="s">
        <v>1075</v>
      </c>
      <c r="I212" s="180"/>
      <c r="J212" s="179"/>
      <c r="K212" s="179"/>
      <c r="L212" s="179"/>
      <c r="M212" s="179"/>
    </row>
    <row r="213" spans="2:13" x14ac:dyDescent="0.25">
      <c r="B213" s="126"/>
      <c r="C213" s="579"/>
      <c r="D213" s="579"/>
      <c r="E213" s="180"/>
      <c r="F213" s="126"/>
      <c r="G213" s="608">
        <f>FuelProd2!AU61</f>
        <v>1.5185915060791557E-2</v>
      </c>
      <c r="H213" s="579" t="s">
        <v>1074</v>
      </c>
      <c r="I213" s="180"/>
      <c r="J213" s="179"/>
      <c r="K213" s="179"/>
      <c r="L213" s="179"/>
      <c r="M213" s="179"/>
    </row>
    <row r="214" spans="2:13" x14ac:dyDescent="0.25">
      <c r="B214" s="126"/>
      <c r="C214" s="579"/>
      <c r="D214" s="579"/>
      <c r="E214" s="180"/>
      <c r="F214" s="126"/>
      <c r="G214" s="608">
        <f>FuelProd2!AV61</f>
        <v>1.5185915060791555E-2</v>
      </c>
      <c r="H214" s="579" t="s">
        <v>1076</v>
      </c>
      <c r="I214" s="180"/>
      <c r="J214" s="179"/>
      <c r="K214" s="179"/>
      <c r="L214" s="179"/>
      <c r="M214" s="179"/>
    </row>
    <row r="215" spans="2:13" x14ac:dyDescent="0.25">
      <c r="B215" s="126"/>
      <c r="C215" s="579"/>
      <c r="D215" s="579"/>
      <c r="E215" s="180"/>
      <c r="F215" s="126"/>
      <c r="G215" s="608"/>
      <c r="H215" s="579"/>
      <c r="I215" s="180"/>
      <c r="J215" s="179"/>
      <c r="K215" s="179"/>
      <c r="L215" s="179"/>
      <c r="M215" s="179"/>
    </row>
    <row r="216" spans="2:13" x14ac:dyDescent="0.25">
      <c r="B216" s="126"/>
      <c r="C216" s="579"/>
      <c r="D216" s="579"/>
      <c r="E216" s="180"/>
      <c r="F216" s="126"/>
      <c r="G216" s="608"/>
      <c r="H216" s="579"/>
      <c r="I216" s="180"/>
      <c r="J216" s="179"/>
      <c r="K216" s="179"/>
      <c r="L216" s="179"/>
      <c r="M216" s="179"/>
    </row>
    <row r="217" spans="2:13" x14ac:dyDescent="0.25">
      <c r="B217" s="126"/>
      <c r="C217" s="579"/>
      <c r="D217" s="579"/>
      <c r="E217" s="180"/>
      <c r="F217" s="126"/>
      <c r="G217" s="608"/>
      <c r="H217" s="579"/>
      <c r="I217" s="180"/>
      <c r="J217" s="179"/>
      <c r="K217" s="179"/>
      <c r="L217" s="179"/>
      <c r="M217" s="179"/>
    </row>
    <row r="218" spans="2:13" x14ac:dyDescent="0.25">
      <c r="B218" s="126"/>
      <c r="C218" s="579"/>
      <c r="D218" s="579"/>
      <c r="E218" s="180"/>
      <c r="F218" s="126"/>
      <c r="G218" s="608"/>
      <c r="H218" s="579"/>
      <c r="I218" s="180"/>
      <c r="J218" s="179"/>
      <c r="K218" s="179"/>
      <c r="L218" s="179"/>
      <c r="M218" s="179"/>
    </row>
    <row r="219" spans="2:13" x14ac:dyDescent="0.25">
      <c r="B219" s="126"/>
      <c r="C219" s="579"/>
      <c r="D219" s="579"/>
      <c r="E219" s="180"/>
      <c r="F219" s="126"/>
      <c r="G219" s="608"/>
      <c r="H219" s="579"/>
      <c r="I219" s="180"/>
      <c r="J219" s="179"/>
      <c r="K219" s="179"/>
      <c r="L219" s="179"/>
      <c r="M219" s="179"/>
    </row>
    <row r="220" spans="2:13" x14ac:dyDescent="0.25">
      <c r="B220" s="132"/>
      <c r="C220" s="586"/>
      <c r="D220" s="586"/>
      <c r="E220" s="587"/>
      <c r="F220" s="132"/>
      <c r="G220" s="586"/>
      <c r="H220" s="586"/>
      <c r="I220" s="587"/>
      <c r="J220" s="179"/>
      <c r="K220" s="179"/>
      <c r="L220" s="179"/>
      <c r="M220" s="179"/>
    </row>
    <row r="221" spans="2:13" x14ac:dyDescent="0.25">
      <c r="B221" s="940" t="s">
        <v>1071</v>
      </c>
      <c r="C221" s="940"/>
      <c r="D221" s="940"/>
      <c r="E221" s="940"/>
      <c r="F221" s="940"/>
      <c r="G221" s="940"/>
      <c r="H221" s="940"/>
      <c r="I221" s="940"/>
      <c r="J221" s="940"/>
      <c r="K221" s="940"/>
      <c r="L221" s="940"/>
      <c r="M221" s="955"/>
    </row>
    <row r="222" spans="2:13" x14ac:dyDescent="0.25">
      <c r="B222" s="707" t="s">
        <v>1146</v>
      </c>
      <c r="C222" s="39">
        <v>420</v>
      </c>
      <c r="D222" s="708" t="s">
        <v>1080</v>
      </c>
      <c r="E222" s="736" t="s">
        <v>1314</v>
      </c>
      <c r="F222" s="638"/>
      <c r="G222" s="613"/>
      <c r="H222" s="708"/>
      <c r="I222" s="640"/>
      <c r="J222" s="611" t="s">
        <v>152</v>
      </c>
      <c r="K222" s="608">
        <f>FuelProd2!AW62</f>
        <v>0.32480984991137496</v>
      </c>
      <c r="L222" s="622" t="s">
        <v>153</v>
      </c>
      <c r="M222" s="705"/>
    </row>
    <row r="223" spans="2:13" x14ac:dyDescent="0.25">
      <c r="B223" s="654"/>
      <c r="C223" s="638"/>
      <c r="D223" s="638"/>
      <c r="E223" s="736"/>
      <c r="F223" s="579" t="s">
        <v>1091</v>
      </c>
      <c r="G223" s="579"/>
      <c r="H223" s="579"/>
      <c r="I223" s="640"/>
      <c r="J223" s="604"/>
      <c r="K223" s="638"/>
      <c r="L223" s="638"/>
      <c r="M223" s="640"/>
    </row>
    <row r="224" spans="2:13" x14ac:dyDescent="0.25">
      <c r="B224" s="654" t="s">
        <v>1183</v>
      </c>
      <c r="C224" s="638"/>
      <c r="D224" s="638"/>
      <c r="E224" s="643"/>
      <c r="F224" s="579" t="s">
        <v>471</v>
      </c>
      <c r="G224" s="608">
        <f>FuelProd2!S99</f>
        <v>3.7155312095144715</v>
      </c>
      <c r="H224" s="579" t="s">
        <v>62</v>
      </c>
      <c r="I224" s="180"/>
      <c r="J224" s="126"/>
      <c r="K224" s="579"/>
      <c r="L224" s="579"/>
      <c r="M224" s="180"/>
    </row>
    <row r="225" spans="2:13" x14ac:dyDescent="0.25">
      <c r="B225" s="609" t="s">
        <v>1184</v>
      </c>
      <c r="C225" s="39">
        <v>3</v>
      </c>
      <c r="D225" s="579" t="s">
        <v>132</v>
      </c>
      <c r="E225" s="953" t="s">
        <v>1295</v>
      </c>
      <c r="F225" s="579" t="s">
        <v>467</v>
      </c>
      <c r="G225" s="608">
        <f>FuelProd2!S100</f>
        <v>2.5782221608381968</v>
      </c>
      <c r="H225" s="579" t="s">
        <v>62</v>
      </c>
      <c r="I225" s="180"/>
      <c r="J225" s="126"/>
      <c r="K225" s="579"/>
      <c r="L225" s="579"/>
      <c r="M225" s="180"/>
    </row>
    <row r="226" spans="2:13" x14ac:dyDescent="0.25">
      <c r="B226" s="609" t="s">
        <v>1185</v>
      </c>
      <c r="C226" s="39">
        <v>0.5</v>
      </c>
      <c r="D226" s="579" t="s">
        <v>132</v>
      </c>
      <c r="E226" s="953"/>
      <c r="F226" s="579" t="s">
        <v>476</v>
      </c>
      <c r="G226" s="608">
        <f>FuelProd2!S101</f>
        <v>0.12650368379693394</v>
      </c>
      <c r="H226" s="579" t="s">
        <v>62</v>
      </c>
      <c r="I226" s="180"/>
      <c r="J226" s="126"/>
      <c r="K226" s="579"/>
      <c r="L226" s="579"/>
      <c r="M226" s="180"/>
    </row>
    <row r="227" spans="2:13" x14ac:dyDescent="0.25">
      <c r="B227" s="609" t="s">
        <v>1186</v>
      </c>
      <c r="C227" s="39">
        <f>4*60*60</f>
        <v>14400</v>
      </c>
      <c r="D227" s="579" t="s">
        <v>1189</v>
      </c>
      <c r="E227" s="643" t="s">
        <v>1314</v>
      </c>
      <c r="F227" s="579" t="s">
        <v>474</v>
      </c>
      <c r="G227" s="608">
        <f>FuelProd2!S102</f>
        <v>2.7968248174416175</v>
      </c>
      <c r="H227" s="579" t="s">
        <v>62</v>
      </c>
      <c r="I227" s="180"/>
      <c r="J227" s="126"/>
      <c r="K227" s="579"/>
      <c r="L227" s="579"/>
      <c r="M227" s="180"/>
    </row>
    <row r="228" spans="2:13" x14ac:dyDescent="0.25">
      <c r="B228" s="126"/>
      <c r="C228" s="579"/>
      <c r="D228" s="579"/>
      <c r="E228" s="643"/>
      <c r="F228" s="579" t="s">
        <v>512</v>
      </c>
      <c r="G228" s="608">
        <f>FuelProd2!S103</f>
        <v>5.4851747139796432</v>
      </c>
      <c r="H228" s="579" t="s">
        <v>62</v>
      </c>
      <c r="I228" s="180"/>
      <c r="J228" s="126"/>
      <c r="K228" s="579"/>
      <c r="L228" s="579"/>
      <c r="M228" s="180"/>
    </row>
    <row r="229" spans="2:13" x14ac:dyDescent="0.25">
      <c r="B229" s="126"/>
      <c r="C229" s="579"/>
      <c r="D229" s="579"/>
      <c r="E229" s="180"/>
      <c r="F229" s="579" t="s">
        <v>513</v>
      </c>
      <c r="G229" s="703">
        <f>FuelProd2!S104</f>
        <v>7.0488612722106643</v>
      </c>
      <c r="H229" s="179" t="s">
        <v>62</v>
      </c>
      <c r="I229" s="180"/>
      <c r="J229" s="126"/>
      <c r="K229" s="579"/>
      <c r="L229" s="579"/>
      <c r="M229" s="180"/>
    </row>
    <row r="230" spans="2:13" x14ac:dyDescent="0.25">
      <c r="B230" s="126"/>
      <c r="C230" s="579"/>
      <c r="D230" s="579"/>
      <c r="E230" s="180"/>
      <c r="F230" s="579" t="s">
        <v>515</v>
      </c>
      <c r="G230" s="703">
        <f>FuelProd2!S105</f>
        <v>8.9543000339013723</v>
      </c>
      <c r="H230" s="179" t="s">
        <v>62</v>
      </c>
      <c r="I230" s="180"/>
      <c r="J230" s="126"/>
      <c r="K230" s="179"/>
      <c r="L230" s="179"/>
      <c r="M230" s="180"/>
    </row>
    <row r="231" spans="2:13" x14ac:dyDescent="0.25">
      <c r="B231" s="126"/>
      <c r="C231" s="579"/>
      <c r="D231" s="579"/>
      <c r="E231" s="180"/>
      <c r="F231" s="579" t="s">
        <v>517</v>
      </c>
      <c r="G231" s="703">
        <f>FuelProd2!S106</f>
        <v>9.8916549959087501</v>
      </c>
      <c r="H231" s="179" t="s">
        <v>62</v>
      </c>
      <c r="I231" s="180"/>
      <c r="J231" s="126"/>
      <c r="K231" s="179"/>
      <c r="L231" s="179"/>
      <c r="M231" s="180"/>
    </row>
    <row r="232" spans="2:13" x14ac:dyDescent="0.25">
      <c r="B232" s="126"/>
      <c r="C232" s="579"/>
      <c r="D232" s="579"/>
      <c r="E232" s="180"/>
      <c r="F232" s="579" t="s">
        <v>518</v>
      </c>
      <c r="G232" s="703">
        <f>FuelProd2!S107</f>
        <v>8.2567360211432703</v>
      </c>
      <c r="H232" s="179" t="s">
        <v>62</v>
      </c>
      <c r="I232" s="180"/>
      <c r="J232" s="126"/>
      <c r="K232" s="179"/>
      <c r="L232" s="179"/>
      <c r="M232" s="180"/>
    </row>
    <row r="233" spans="2:13" x14ac:dyDescent="0.25">
      <c r="B233" s="126"/>
      <c r="C233" s="579"/>
      <c r="D233" s="579"/>
      <c r="E233" s="180"/>
      <c r="F233" s="579" t="s">
        <v>519</v>
      </c>
      <c r="G233" s="703">
        <f>FuelProd2!S108</f>
        <v>7.0348191797905208</v>
      </c>
      <c r="H233" s="179" t="s">
        <v>62</v>
      </c>
      <c r="I233" s="180"/>
      <c r="J233" s="126"/>
      <c r="K233" s="179"/>
      <c r="L233" s="179"/>
      <c r="M233" s="180"/>
    </row>
    <row r="234" spans="2:13" x14ac:dyDescent="0.25">
      <c r="B234" s="126"/>
      <c r="C234" s="579"/>
      <c r="D234" s="579"/>
      <c r="E234" s="180"/>
      <c r="F234" s="708" t="s">
        <v>520</v>
      </c>
      <c r="G234" s="704">
        <f>FuelProd2!S109</f>
        <v>10.376223805114281</v>
      </c>
      <c r="H234" s="706" t="s">
        <v>62</v>
      </c>
      <c r="I234" s="180"/>
      <c r="J234" s="126"/>
      <c r="K234" s="179"/>
      <c r="L234" s="179"/>
      <c r="M234" s="180"/>
    </row>
    <row r="235" spans="2:13" x14ac:dyDescent="0.25">
      <c r="B235" s="707"/>
      <c r="C235" s="708"/>
      <c r="D235" s="708"/>
      <c r="E235" s="705"/>
      <c r="F235" s="579" t="s">
        <v>521</v>
      </c>
      <c r="G235" s="703">
        <f>FuelProd2!S110</f>
        <v>3.2406956119402492</v>
      </c>
      <c r="H235" s="179" t="s">
        <v>62</v>
      </c>
      <c r="I235" s="705"/>
      <c r="J235" s="707"/>
      <c r="K235" s="706"/>
      <c r="L235" s="706"/>
      <c r="M235" s="705"/>
    </row>
    <row r="236" spans="2:13" x14ac:dyDescent="0.25">
      <c r="B236" s="126"/>
      <c r="C236" s="579"/>
      <c r="D236" s="579"/>
      <c r="E236" s="180"/>
      <c r="F236" s="579" t="s">
        <v>522</v>
      </c>
      <c r="G236" s="703">
        <f>FuelProd2!S111</f>
        <v>6.3156350151068956</v>
      </c>
      <c r="H236" s="179" t="s">
        <v>62</v>
      </c>
      <c r="I236" s="180"/>
      <c r="J236" s="126"/>
      <c r="K236" s="179"/>
      <c r="L236" s="179"/>
      <c r="M236" s="180"/>
    </row>
    <row r="237" spans="2:13" x14ac:dyDescent="0.25">
      <c r="B237" s="126"/>
      <c r="C237" s="579"/>
      <c r="D237" s="579"/>
      <c r="E237" s="180"/>
      <c r="F237" s="579" t="s">
        <v>524</v>
      </c>
      <c r="G237" s="703">
        <f>FuelProd2!S112</f>
        <v>3.1595859814193585</v>
      </c>
      <c r="H237" s="179" t="s">
        <v>62</v>
      </c>
      <c r="I237" s="180"/>
      <c r="J237" s="126"/>
      <c r="K237" s="179"/>
      <c r="L237" s="179"/>
      <c r="M237" s="180"/>
    </row>
    <row r="238" spans="2:13" ht="15.75" x14ac:dyDescent="0.25">
      <c r="B238" s="702"/>
      <c r="C238" s="709"/>
      <c r="D238" s="579"/>
      <c r="E238" s="180"/>
      <c r="F238" s="579" t="s">
        <v>525</v>
      </c>
      <c r="G238" s="703">
        <f>FuelProd2!S113</f>
        <v>5.0215091823494395</v>
      </c>
      <c r="H238" s="179" t="s">
        <v>62</v>
      </c>
      <c r="I238" s="180"/>
      <c r="J238" s="126"/>
      <c r="K238" s="179"/>
      <c r="L238" s="179"/>
      <c r="M238" s="180"/>
    </row>
    <row r="239" spans="2:13" x14ac:dyDescent="0.25">
      <c r="B239" s="126"/>
      <c r="C239" s="579"/>
      <c r="D239" s="579"/>
      <c r="E239" s="180"/>
      <c r="F239" s="579" t="s">
        <v>376</v>
      </c>
      <c r="G239" s="703">
        <f>FuelProd2!S114</f>
        <v>4.2834106919982302</v>
      </c>
      <c r="H239" s="179" t="s">
        <v>62</v>
      </c>
      <c r="I239" s="180"/>
      <c r="J239" s="126"/>
      <c r="K239" s="179"/>
      <c r="L239" s="179"/>
      <c r="M239" s="180"/>
    </row>
    <row r="240" spans="2:13" x14ac:dyDescent="0.25">
      <c r="B240" s="126"/>
      <c r="C240" s="579"/>
      <c r="D240" s="579"/>
      <c r="E240" s="180"/>
      <c r="F240" s="579" t="s">
        <v>441</v>
      </c>
      <c r="G240" s="703">
        <f>FuelProd2!S115</f>
        <v>0.71658930800177001</v>
      </c>
      <c r="H240" s="179" t="s">
        <v>62</v>
      </c>
      <c r="I240" s="180"/>
      <c r="J240" s="126"/>
      <c r="K240" s="179"/>
      <c r="L240" s="179"/>
      <c r="M240" s="180"/>
    </row>
    <row r="241" spans="2:13" x14ac:dyDescent="0.25">
      <c r="B241" s="126"/>
      <c r="C241" s="579"/>
      <c r="D241" s="579"/>
      <c r="E241" s="180"/>
      <c r="F241" s="701" t="s">
        <v>279</v>
      </c>
      <c r="H241" s="179"/>
      <c r="I241" s="180"/>
      <c r="J241" s="126"/>
      <c r="K241" s="179"/>
      <c r="L241" s="179"/>
      <c r="M241" s="180"/>
    </row>
    <row r="242" spans="2:13" x14ac:dyDescent="0.25">
      <c r="B242" s="126"/>
      <c r="C242" s="579"/>
      <c r="D242" s="579"/>
      <c r="E242" s="180"/>
      <c r="F242" s="579" t="s">
        <v>483</v>
      </c>
      <c r="G242" s="703">
        <f>FuelProd2!S118</f>
        <v>0</v>
      </c>
      <c r="H242" s="179" t="s">
        <v>62</v>
      </c>
      <c r="I242" s="180"/>
      <c r="J242" s="126"/>
      <c r="K242" s="179"/>
      <c r="L242" s="179"/>
      <c r="M242" s="180"/>
    </row>
    <row r="243" spans="2:13" x14ac:dyDescent="0.25">
      <c r="B243" s="126"/>
      <c r="C243" s="579"/>
      <c r="D243" s="579"/>
      <c r="E243" s="180"/>
      <c r="G243" s="179"/>
      <c r="I243" s="180"/>
      <c r="J243" s="126"/>
      <c r="K243" s="179"/>
      <c r="L243" s="179"/>
      <c r="M243" s="180"/>
    </row>
    <row r="244" spans="2:13" x14ac:dyDescent="0.25">
      <c r="B244" s="126"/>
      <c r="C244" s="579"/>
      <c r="D244" s="579"/>
      <c r="E244" s="180"/>
      <c r="F244" s="582" t="s">
        <v>1057</v>
      </c>
      <c r="G244" s="608">
        <f>FuelProd2!AS62</f>
        <v>31714.191906565651</v>
      </c>
      <c r="H244" s="579" t="s">
        <v>1075</v>
      </c>
      <c r="I244" s="180"/>
      <c r="J244" s="126"/>
      <c r="K244" s="179"/>
      <c r="L244" s="179"/>
      <c r="M244" s="180"/>
    </row>
    <row r="245" spans="2:13" x14ac:dyDescent="0.25">
      <c r="B245" s="126"/>
      <c r="C245" s="579"/>
      <c r="D245" s="579"/>
      <c r="E245" s="180"/>
      <c r="F245" s="579"/>
      <c r="G245" s="608">
        <f>FuelProd2!AU63</f>
        <v>1.5185915060791557E-2</v>
      </c>
      <c r="H245" s="579" t="s">
        <v>1074</v>
      </c>
      <c r="I245" s="180"/>
      <c r="J245" s="126"/>
      <c r="K245" s="179"/>
      <c r="L245" s="179"/>
      <c r="M245" s="180"/>
    </row>
    <row r="246" spans="2:13" x14ac:dyDescent="0.25">
      <c r="B246" s="126"/>
      <c r="C246" s="579"/>
      <c r="D246" s="579"/>
      <c r="E246" s="180"/>
      <c r="F246" s="579"/>
      <c r="G246" s="608">
        <f>FuelProd2!AV63</f>
        <v>1.5185915060791555E-2</v>
      </c>
      <c r="H246" s="579" t="s">
        <v>1076</v>
      </c>
      <c r="I246" s="180"/>
      <c r="J246" s="126"/>
      <c r="K246" s="179"/>
      <c r="L246" s="179"/>
      <c r="M246" s="180"/>
    </row>
    <row r="247" spans="2:13" x14ac:dyDescent="0.25">
      <c r="B247" s="132"/>
      <c r="C247" s="586"/>
      <c r="D247" s="586"/>
      <c r="E247" s="587"/>
      <c r="F247" s="179"/>
      <c r="G247" s="179"/>
      <c r="H247" s="179"/>
      <c r="I247" s="179"/>
      <c r="J247" s="126"/>
      <c r="K247" s="179"/>
      <c r="L247" s="179"/>
      <c r="M247" s="180"/>
    </row>
    <row r="248" spans="2:13" x14ac:dyDescent="0.25">
      <c r="B248" s="940" t="s">
        <v>1072</v>
      </c>
      <c r="C248" s="941"/>
      <c r="D248" s="941"/>
      <c r="E248" s="941"/>
      <c r="F248" s="941"/>
      <c r="G248" s="941"/>
      <c r="H248" s="941"/>
      <c r="I248" s="941"/>
      <c r="J248" s="941"/>
      <c r="K248" s="941"/>
      <c r="L248" s="941"/>
      <c r="M248" s="942"/>
    </row>
    <row r="249" spans="2:13" x14ac:dyDescent="0.25">
      <c r="B249" s="126" t="s">
        <v>1146</v>
      </c>
      <c r="C249" s="39">
        <v>420</v>
      </c>
      <c r="D249" s="579" t="s">
        <v>1080</v>
      </c>
      <c r="E249" s="737" t="s">
        <v>1315</v>
      </c>
      <c r="F249" s="604"/>
      <c r="G249" s="608"/>
      <c r="H249" s="579"/>
      <c r="I249" s="640"/>
      <c r="J249" s="581" t="s">
        <v>152</v>
      </c>
      <c r="K249" s="608">
        <f>FuelProd2!AW63</f>
        <v>0.32480984991137496</v>
      </c>
      <c r="L249" s="622" t="s">
        <v>153</v>
      </c>
      <c r="M249" s="179"/>
    </row>
    <row r="250" spans="2:13" x14ac:dyDescent="0.25">
      <c r="B250" s="126"/>
      <c r="C250" s="579"/>
      <c r="D250" s="579"/>
      <c r="E250" s="737"/>
      <c r="F250" s="126"/>
      <c r="G250" s="579"/>
      <c r="H250" s="579"/>
      <c r="I250" s="180"/>
      <c r="J250" s="638"/>
      <c r="K250" s="638"/>
      <c r="L250" s="638"/>
      <c r="M250" s="638"/>
    </row>
    <row r="251" spans="2:13" x14ac:dyDescent="0.25">
      <c r="B251" s="651" t="s">
        <v>1183</v>
      </c>
      <c r="C251" s="638"/>
      <c r="D251" s="638"/>
      <c r="E251" s="737"/>
      <c r="F251" s="126" t="s">
        <v>1091</v>
      </c>
      <c r="G251" s="579"/>
      <c r="H251" s="579"/>
      <c r="I251" s="180"/>
      <c r="J251" s="179"/>
      <c r="K251" s="179"/>
      <c r="L251" s="179"/>
      <c r="M251" s="179"/>
    </row>
    <row r="252" spans="2:13" x14ac:dyDescent="0.25">
      <c r="B252" s="609" t="s">
        <v>1184</v>
      </c>
      <c r="C252" s="39">
        <v>3</v>
      </c>
      <c r="D252" s="579" t="s">
        <v>132</v>
      </c>
      <c r="E252" s="953" t="s">
        <v>1295</v>
      </c>
      <c r="F252" s="126" t="s">
        <v>471</v>
      </c>
      <c r="G252" s="608">
        <f>FuelProd2!Y125</f>
        <v>3.7155312095144715</v>
      </c>
      <c r="H252" s="579" t="s">
        <v>62</v>
      </c>
      <c r="I252" s="180"/>
      <c r="J252" s="179"/>
      <c r="K252" s="179"/>
      <c r="L252" s="179"/>
      <c r="M252" s="179"/>
    </row>
    <row r="253" spans="2:13" x14ac:dyDescent="0.25">
      <c r="B253" s="609" t="s">
        <v>1185</v>
      </c>
      <c r="C253" s="39">
        <v>0.5</v>
      </c>
      <c r="D253" s="579" t="s">
        <v>132</v>
      </c>
      <c r="E253" s="953"/>
      <c r="F253" s="126" t="s">
        <v>467</v>
      </c>
      <c r="G253" s="608">
        <f>FuelProd2!Y126</f>
        <v>2.5782221608381968</v>
      </c>
      <c r="H253" s="579" t="s">
        <v>62</v>
      </c>
      <c r="I253" s="180"/>
      <c r="J253" s="179"/>
      <c r="K253" s="179"/>
      <c r="L253" s="179"/>
      <c r="M253" s="179"/>
    </row>
    <row r="254" spans="2:13" x14ac:dyDescent="0.25">
      <c r="B254" s="609" t="s">
        <v>1186</v>
      </c>
      <c r="C254" s="39">
        <f>4*60*60</f>
        <v>14400</v>
      </c>
      <c r="D254" s="579" t="s">
        <v>1189</v>
      </c>
      <c r="E254" s="737" t="s">
        <v>1315</v>
      </c>
      <c r="F254" s="126" t="s">
        <v>476</v>
      </c>
      <c r="G254" s="608">
        <f>FuelProd2!Y127</f>
        <v>0.12650368379693394</v>
      </c>
      <c r="H254" s="579" t="s">
        <v>62</v>
      </c>
      <c r="I254" s="180"/>
      <c r="J254" s="179"/>
      <c r="K254" s="179"/>
      <c r="L254" s="179"/>
      <c r="M254" s="179"/>
    </row>
    <row r="255" spans="2:13" x14ac:dyDescent="0.25">
      <c r="B255" s="126"/>
      <c r="C255" s="579"/>
      <c r="D255" s="579"/>
      <c r="E255" s="600"/>
      <c r="F255" s="126" t="s">
        <v>474</v>
      </c>
      <c r="G255" s="608">
        <f>FuelProd2!Y128</f>
        <v>2.7968248174416175</v>
      </c>
      <c r="H255" s="579" t="s">
        <v>62</v>
      </c>
      <c r="I255" s="180"/>
      <c r="J255" s="179"/>
      <c r="K255" s="179"/>
      <c r="L255" s="179"/>
      <c r="M255" s="179"/>
    </row>
    <row r="256" spans="2:13" ht="15.75" x14ac:dyDescent="0.25">
      <c r="B256" s="636"/>
      <c r="C256" s="637"/>
      <c r="D256" s="579"/>
      <c r="E256" s="600"/>
      <c r="F256" s="126" t="s">
        <v>512</v>
      </c>
      <c r="G256" s="608">
        <f>FuelProd2!Y129</f>
        <v>5.4851747139796432</v>
      </c>
      <c r="H256" s="579" t="s">
        <v>62</v>
      </c>
      <c r="I256" s="180"/>
      <c r="J256" s="179"/>
      <c r="K256" s="179"/>
      <c r="L256" s="179"/>
      <c r="M256" s="179"/>
    </row>
    <row r="257" spans="1:19" x14ac:dyDescent="0.25">
      <c r="B257" s="126"/>
      <c r="C257" s="579"/>
      <c r="D257" s="579"/>
      <c r="E257" s="600"/>
      <c r="F257" s="126" t="s">
        <v>513</v>
      </c>
      <c r="G257" s="608">
        <f>FuelProd2!Y130</f>
        <v>7.0488612722106643</v>
      </c>
      <c r="H257" s="579" t="s">
        <v>62</v>
      </c>
      <c r="I257" s="180"/>
      <c r="J257" s="179"/>
      <c r="K257" s="179"/>
      <c r="L257" s="179"/>
      <c r="M257" s="179"/>
    </row>
    <row r="258" spans="1:19" x14ac:dyDescent="0.25">
      <c r="B258" s="126"/>
      <c r="C258" s="579"/>
      <c r="D258" s="579"/>
      <c r="E258" s="600"/>
      <c r="F258" s="126" t="s">
        <v>515</v>
      </c>
      <c r="G258" s="608">
        <f>FuelProd2!Y131</f>
        <v>8.9543000339013723</v>
      </c>
      <c r="H258" s="579" t="s">
        <v>62</v>
      </c>
      <c r="I258" s="180"/>
      <c r="J258" s="179"/>
      <c r="K258" s="179"/>
      <c r="L258" s="179"/>
      <c r="M258" s="179"/>
    </row>
    <row r="259" spans="1:19" x14ac:dyDescent="0.25">
      <c r="B259" s="126"/>
      <c r="C259" s="579"/>
      <c r="D259" s="579"/>
      <c r="E259" s="600"/>
      <c r="F259" s="126" t="s">
        <v>517</v>
      </c>
      <c r="G259" s="608">
        <f>FuelProd2!Y132</f>
        <v>9.8916549959087501</v>
      </c>
      <c r="H259" s="579" t="s">
        <v>62</v>
      </c>
      <c r="I259" s="180"/>
      <c r="J259" s="179"/>
      <c r="K259" s="179"/>
      <c r="L259" s="179"/>
      <c r="M259" s="179"/>
    </row>
    <row r="260" spans="1:19" x14ac:dyDescent="0.25">
      <c r="B260" s="126"/>
      <c r="C260" s="579"/>
      <c r="D260" s="579"/>
      <c r="E260" s="600"/>
      <c r="F260" s="126" t="s">
        <v>518</v>
      </c>
      <c r="G260" s="608">
        <f>FuelProd2!Y133</f>
        <v>8.2567360211432703</v>
      </c>
      <c r="H260" s="579" t="s">
        <v>62</v>
      </c>
      <c r="I260" s="180"/>
      <c r="J260" s="179"/>
      <c r="K260" s="179"/>
      <c r="L260" s="179"/>
      <c r="M260" s="179"/>
    </row>
    <row r="261" spans="1:19" x14ac:dyDescent="0.25">
      <c r="B261" s="126"/>
      <c r="C261" s="579"/>
      <c r="D261" s="579"/>
      <c r="E261" s="600"/>
      <c r="F261" s="126" t="s">
        <v>519</v>
      </c>
      <c r="G261" s="608">
        <f>FuelProd2!Y134</f>
        <v>7.0348191797905208</v>
      </c>
      <c r="H261" s="579" t="s">
        <v>62</v>
      </c>
      <c r="I261" s="180"/>
      <c r="J261" s="179"/>
      <c r="K261" s="179"/>
      <c r="L261" s="179"/>
      <c r="M261" s="179"/>
    </row>
    <row r="262" spans="1:19" x14ac:dyDescent="0.25">
      <c r="B262" s="126"/>
      <c r="C262" s="579"/>
      <c r="D262" s="579"/>
      <c r="E262" s="600"/>
      <c r="F262" s="126"/>
      <c r="G262" s="579"/>
      <c r="H262" s="579"/>
      <c r="I262" s="180"/>
      <c r="J262" s="179"/>
      <c r="K262" s="179"/>
      <c r="L262" s="179"/>
      <c r="M262" s="179"/>
    </row>
    <row r="263" spans="1:19" x14ac:dyDescent="0.25">
      <c r="B263" s="126"/>
      <c r="C263" s="579"/>
      <c r="D263" s="579"/>
      <c r="E263" s="600"/>
      <c r="F263" s="616" t="s">
        <v>1057</v>
      </c>
      <c r="G263" s="608">
        <f>FuelProd2!AS63</f>
        <v>31714.191906565651</v>
      </c>
      <c r="H263" s="579" t="s">
        <v>1075</v>
      </c>
      <c r="I263" s="180"/>
      <c r="J263" s="179"/>
      <c r="K263" s="179"/>
      <c r="L263" s="179"/>
      <c r="M263" s="179"/>
    </row>
    <row r="264" spans="1:19" x14ac:dyDescent="0.25">
      <c r="B264" s="126"/>
      <c r="C264" s="579"/>
      <c r="D264" s="579"/>
      <c r="E264" s="600"/>
      <c r="F264" s="126"/>
      <c r="G264" s="608">
        <f>FuelProd2!AU63</f>
        <v>1.5185915060791557E-2</v>
      </c>
      <c r="H264" s="579" t="s">
        <v>1074</v>
      </c>
      <c r="I264" s="180"/>
      <c r="J264" s="179"/>
      <c r="K264" s="179"/>
      <c r="L264" s="179"/>
      <c r="M264" s="179"/>
    </row>
    <row r="265" spans="1:19" x14ac:dyDescent="0.25">
      <c r="B265" s="126"/>
      <c r="C265" s="579"/>
      <c r="D265" s="579"/>
      <c r="E265" s="600"/>
      <c r="F265" s="126"/>
      <c r="G265" s="608">
        <f>FuelProd2!AV63</f>
        <v>1.5185915060791555E-2</v>
      </c>
      <c r="H265" s="579" t="s">
        <v>1076</v>
      </c>
      <c r="I265" s="180"/>
      <c r="J265" s="179"/>
      <c r="K265" s="179"/>
      <c r="L265" s="179"/>
      <c r="M265" s="179"/>
    </row>
    <row r="266" spans="1:19" x14ac:dyDescent="0.25">
      <c r="B266" s="132"/>
      <c r="C266" s="586"/>
      <c r="D266" s="586"/>
      <c r="E266" s="606"/>
      <c r="F266" s="132"/>
      <c r="G266" s="586"/>
      <c r="H266" s="586"/>
      <c r="I266" s="587"/>
      <c r="J266" s="179"/>
      <c r="K266" s="179"/>
      <c r="L266" s="179"/>
      <c r="M266" s="179"/>
    </row>
    <row r="267" spans="1:19" x14ac:dyDescent="0.25">
      <c r="B267" s="940" t="s">
        <v>534</v>
      </c>
      <c r="C267" s="941"/>
      <c r="D267" s="941"/>
      <c r="E267" s="941"/>
      <c r="F267" s="941"/>
      <c r="G267" s="941"/>
      <c r="H267" s="941"/>
      <c r="I267" s="941"/>
      <c r="J267" s="941"/>
      <c r="K267" s="941"/>
      <c r="L267" s="941"/>
      <c r="M267" s="942"/>
      <c r="N267" s="33"/>
    </row>
    <row r="268" spans="1:19" x14ac:dyDescent="0.25">
      <c r="B268" s="583" t="s">
        <v>1502</v>
      </c>
      <c r="C268" s="615">
        <v>1E-3</v>
      </c>
      <c r="D268" s="584" t="s">
        <v>1092</v>
      </c>
      <c r="E268" s="647" t="s">
        <v>1458</v>
      </c>
      <c r="F268" s="583" t="s">
        <v>1091</v>
      </c>
      <c r="G268" s="584"/>
      <c r="H268" s="584"/>
      <c r="I268" s="585"/>
      <c r="J268" s="82" t="s">
        <v>152</v>
      </c>
      <c r="K268" s="612">
        <f>FuelProd2!AW60</f>
        <v>1.3817470073222016</v>
      </c>
      <c r="L268" s="42" t="s">
        <v>153</v>
      </c>
      <c r="M268" s="179"/>
    </row>
    <row r="269" spans="1:19" x14ac:dyDescent="0.25">
      <c r="B269" s="126"/>
      <c r="C269" s="39">
        <f>1500</f>
        <v>1500</v>
      </c>
      <c r="D269" s="579" t="s">
        <v>712</v>
      </c>
      <c r="E269" s="625"/>
      <c r="F269" s="126" t="s">
        <v>520</v>
      </c>
      <c r="G269" s="608">
        <f>FuelProd2!M126</f>
        <v>10.376223805114281</v>
      </c>
      <c r="H269" s="579" t="s">
        <v>62</v>
      </c>
      <c r="I269" s="180"/>
      <c r="J269" s="179"/>
      <c r="K269" s="179"/>
      <c r="L269" s="179"/>
      <c r="M269" s="179"/>
    </row>
    <row r="270" spans="1:19" x14ac:dyDescent="0.25">
      <c r="A270" s="5"/>
      <c r="B270" s="126"/>
      <c r="C270" s="579"/>
      <c r="D270" s="579"/>
      <c r="E270" s="625"/>
      <c r="F270" s="126" t="s">
        <v>521</v>
      </c>
      <c r="G270" s="608">
        <f>FuelProd2!M127</f>
        <v>3.2406956119402492</v>
      </c>
      <c r="H270" s="579" t="s">
        <v>62</v>
      </c>
      <c r="I270" s="180"/>
      <c r="J270" s="179"/>
      <c r="K270" s="179"/>
      <c r="L270" s="179"/>
      <c r="M270" s="179"/>
    </row>
    <row r="271" spans="1:19" x14ac:dyDescent="0.25">
      <c r="B271" s="126" t="s">
        <v>1146</v>
      </c>
      <c r="C271" s="39">
        <v>420</v>
      </c>
      <c r="D271" s="579" t="s">
        <v>1080</v>
      </c>
      <c r="E271" s="625" t="s">
        <v>1319</v>
      </c>
      <c r="F271" s="126" t="s">
        <v>522</v>
      </c>
      <c r="G271" s="608">
        <f>FuelProd2!M128</f>
        <v>6.3156350151068956</v>
      </c>
      <c r="H271" s="579" t="s">
        <v>62</v>
      </c>
      <c r="I271" s="180"/>
      <c r="J271" s="179"/>
      <c r="K271" s="179"/>
      <c r="L271" s="179"/>
      <c r="M271" s="179"/>
      <c r="S271" s="35"/>
    </row>
    <row r="272" spans="1:19" x14ac:dyDescent="0.25">
      <c r="B272" s="15"/>
      <c r="C272" s="179"/>
      <c r="E272" s="625"/>
      <c r="F272" s="126" t="s">
        <v>524</v>
      </c>
      <c r="G272" s="608">
        <f>FuelProd2!M129</f>
        <v>3.1595859814193585</v>
      </c>
      <c r="H272" s="579" t="s">
        <v>62</v>
      </c>
      <c r="I272" s="180"/>
      <c r="J272" s="179"/>
      <c r="K272" s="179"/>
      <c r="L272" s="179"/>
      <c r="M272" s="179"/>
    </row>
    <row r="273" spans="2:13" x14ac:dyDescent="0.25">
      <c r="B273" s="651" t="s">
        <v>1183</v>
      </c>
      <c r="C273" s="638"/>
      <c r="D273" s="638"/>
      <c r="E273" s="625"/>
      <c r="F273" s="126" t="s">
        <v>525</v>
      </c>
      <c r="G273" s="608">
        <f>FuelProd2!M130</f>
        <v>5.0215091823494395</v>
      </c>
      <c r="H273" s="579" t="s">
        <v>62</v>
      </c>
      <c r="I273" s="180"/>
      <c r="J273" s="179"/>
      <c r="K273" s="179"/>
      <c r="L273" s="179"/>
      <c r="M273" s="179"/>
    </row>
    <row r="274" spans="2:13" x14ac:dyDescent="0.25">
      <c r="B274" s="609" t="s">
        <v>1184</v>
      </c>
      <c r="C274" s="39">
        <v>3</v>
      </c>
      <c r="D274" s="579" t="s">
        <v>132</v>
      </c>
      <c r="E274" s="953" t="s">
        <v>1295</v>
      </c>
      <c r="F274" s="126"/>
      <c r="G274" s="579"/>
      <c r="H274" s="579"/>
      <c r="I274" s="180"/>
      <c r="J274" s="179"/>
      <c r="K274" s="179"/>
      <c r="L274" s="179"/>
      <c r="M274" s="179"/>
    </row>
    <row r="275" spans="2:13" x14ac:dyDescent="0.25">
      <c r="B275" s="609" t="s">
        <v>1185</v>
      </c>
      <c r="C275" s="39">
        <v>0.5</v>
      </c>
      <c r="D275" s="579" t="s">
        <v>132</v>
      </c>
      <c r="E275" s="953"/>
      <c r="F275" s="616" t="s">
        <v>1057</v>
      </c>
      <c r="G275" s="608">
        <f>FuelProd2!AS60</f>
        <v>134912.74900836821</v>
      </c>
      <c r="H275" s="579" t="s">
        <v>1075</v>
      </c>
      <c r="I275" s="180"/>
      <c r="J275" s="179"/>
      <c r="K275" s="179"/>
      <c r="L275" s="179"/>
      <c r="M275" s="179"/>
    </row>
    <row r="276" spans="2:13" x14ac:dyDescent="0.25">
      <c r="B276" s="609" t="s">
        <v>1186</v>
      </c>
      <c r="C276" s="39">
        <f>1*60*60</f>
        <v>3600</v>
      </c>
      <c r="D276" s="579" t="s">
        <v>1189</v>
      </c>
      <c r="E276" s="625" t="s">
        <v>1319</v>
      </c>
      <c r="F276" s="126"/>
      <c r="G276" s="608">
        <f>FuelProd2!AU60</f>
        <v>6.4601158783895135E-2</v>
      </c>
      <c r="H276" s="579" t="s">
        <v>1074</v>
      </c>
      <c r="I276" s="180"/>
      <c r="J276" s="179"/>
      <c r="K276" s="179"/>
      <c r="L276" s="179"/>
      <c r="M276" s="179"/>
    </row>
    <row r="277" spans="2:13" x14ac:dyDescent="0.25">
      <c r="B277" s="126"/>
      <c r="C277" s="579"/>
      <c r="D277" s="579"/>
      <c r="E277" s="625"/>
      <c r="F277" s="126"/>
      <c r="G277" s="608">
        <f>FuelProd2!AV63</f>
        <v>1.5185915060791555E-2</v>
      </c>
      <c r="H277" s="579" t="s">
        <v>1076</v>
      </c>
      <c r="I277" s="180"/>
      <c r="J277" s="179"/>
      <c r="K277" s="179"/>
      <c r="L277" s="179"/>
      <c r="M277" s="179"/>
    </row>
    <row r="278" spans="2:13" x14ac:dyDescent="0.25">
      <c r="B278" s="132"/>
      <c r="C278" s="586"/>
      <c r="D278" s="586"/>
      <c r="E278" s="607"/>
      <c r="F278" s="132"/>
      <c r="G278" s="586"/>
      <c r="H278" s="586"/>
      <c r="I278" s="587"/>
      <c r="J278" s="179"/>
      <c r="K278" s="179"/>
      <c r="L278" s="179"/>
      <c r="M278" s="179"/>
    </row>
    <row r="279" spans="2:13" x14ac:dyDescent="0.25">
      <c r="B279" s="940" t="s">
        <v>542</v>
      </c>
      <c r="C279" s="941"/>
      <c r="D279" s="941"/>
      <c r="E279" s="941"/>
      <c r="F279" s="941"/>
      <c r="G279" s="941"/>
      <c r="H279" s="941"/>
      <c r="I279" s="941"/>
      <c r="J279" s="941"/>
      <c r="K279" s="941"/>
      <c r="L279" s="941"/>
      <c r="M279" s="942"/>
    </row>
    <row r="280" spans="2:13" x14ac:dyDescent="0.25">
      <c r="B280" s="583" t="s">
        <v>1051</v>
      </c>
      <c r="C280" s="584"/>
      <c r="D280" s="584"/>
      <c r="E280" s="646" t="s">
        <v>1287</v>
      </c>
      <c r="F280" s="583"/>
      <c r="G280" s="584"/>
      <c r="H280" s="584"/>
      <c r="I280" s="585"/>
      <c r="J280" s="104" t="s">
        <v>152</v>
      </c>
      <c r="K280" s="612">
        <f>FuelProd2!AW64</f>
        <v>0</v>
      </c>
      <c r="L280" s="42" t="s">
        <v>153</v>
      </c>
      <c r="M280" s="584"/>
    </row>
    <row r="281" spans="2:13" x14ac:dyDescent="0.25">
      <c r="B281" s="132"/>
      <c r="C281" s="586"/>
      <c r="D281" s="586"/>
      <c r="E281" s="607"/>
      <c r="F281" s="132"/>
      <c r="G281" s="586"/>
      <c r="H281" s="586"/>
      <c r="I281" s="587"/>
      <c r="J281" s="132"/>
      <c r="K281" s="586"/>
      <c r="L281" s="586"/>
      <c r="M281" s="587"/>
    </row>
    <row r="282" spans="2:13" ht="16.5" x14ac:dyDescent="0.35">
      <c r="B282" s="940" t="s">
        <v>1369</v>
      </c>
      <c r="C282" s="941"/>
      <c r="D282" s="941"/>
      <c r="E282" s="941"/>
      <c r="F282" s="941"/>
      <c r="G282" s="941"/>
      <c r="H282" s="941"/>
      <c r="I282" s="941"/>
      <c r="J282" s="941"/>
      <c r="K282" s="941"/>
      <c r="L282" s="941"/>
      <c r="M282" s="942"/>
    </row>
    <row r="283" spans="2:13" ht="18" x14ac:dyDescent="0.35">
      <c r="B283" s="583"/>
      <c r="C283" s="708"/>
      <c r="D283" s="584"/>
      <c r="E283" s="646" t="s">
        <v>1306</v>
      </c>
      <c r="F283" s="583" t="s">
        <v>1370</v>
      </c>
      <c r="G283" s="612">
        <f>FuelProd2!AS27</f>
        <v>10.317647259857246</v>
      </c>
      <c r="H283" s="584" t="s">
        <v>62</v>
      </c>
      <c r="I283" s="585"/>
      <c r="J283" s="611" t="s">
        <v>152</v>
      </c>
      <c r="K283" s="612">
        <f>(G283*1000)/(G61*C61)</f>
        <v>4.9404668855195863</v>
      </c>
      <c r="L283" s="622" t="s">
        <v>153</v>
      </c>
      <c r="M283" s="584"/>
    </row>
    <row r="284" spans="2:13" x14ac:dyDescent="0.25">
      <c r="B284" s="707"/>
      <c r="C284" s="708"/>
      <c r="D284" s="708"/>
      <c r="E284" s="625"/>
      <c r="F284" s="707"/>
      <c r="G284" s="608"/>
      <c r="H284" s="708"/>
      <c r="I284" s="705"/>
      <c r="J284" s="104"/>
      <c r="K284" s="613"/>
      <c r="L284" s="42"/>
      <c r="M284" s="708"/>
    </row>
    <row r="285" spans="2:13" x14ac:dyDescent="0.25">
      <c r="B285" s="707"/>
      <c r="C285" s="708"/>
      <c r="D285" s="708"/>
      <c r="E285" s="625"/>
      <c r="F285" s="707"/>
      <c r="G285" s="708"/>
      <c r="H285" s="708"/>
      <c r="I285" s="705"/>
      <c r="J285" s="132"/>
      <c r="K285" s="586"/>
      <c r="L285" s="586"/>
      <c r="M285" s="587"/>
    </row>
    <row r="286" spans="2:13" x14ac:dyDescent="0.25">
      <c r="B286" s="940" t="s">
        <v>1094</v>
      </c>
      <c r="C286" s="941"/>
      <c r="D286" s="941"/>
      <c r="E286" s="941"/>
      <c r="F286" s="941"/>
      <c r="G286" s="941"/>
      <c r="H286" s="941"/>
      <c r="I286" s="941"/>
      <c r="J286" s="941"/>
      <c r="K286" s="941"/>
      <c r="L286" s="941"/>
      <c r="M286" s="942"/>
    </row>
    <row r="287" spans="2:13" ht="18" x14ac:dyDescent="0.35">
      <c r="B287" s="583"/>
      <c r="C287" s="39">
        <v>8.4700000000000006</v>
      </c>
      <c r="D287" s="584" t="s">
        <v>1337</v>
      </c>
      <c r="E287" s="646" t="s">
        <v>1459</v>
      </c>
      <c r="F287" s="583" t="s">
        <v>1117</v>
      </c>
      <c r="G287" s="612">
        <f>FuelProd3!D39</f>
        <v>2.7066979809097349</v>
      </c>
      <c r="H287" s="584" t="s">
        <v>62</v>
      </c>
      <c r="I287" s="585"/>
      <c r="J287" s="611" t="s">
        <v>152</v>
      </c>
      <c r="K287" s="612">
        <f>G288/(G61*C61)</f>
        <v>10.977678962775988</v>
      </c>
      <c r="L287" s="622" t="s">
        <v>153</v>
      </c>
      <c r="M287" s="584"/>
    </row>
    <row r="288" spans="2:13" x14ac:dyDescent="0.25">
      <c r="B288" s="707"/>
      <c r="C288" s="708"/>
      <c r="D288" s="708"/>
      <c r="E288" s="625"/>
      <c r="F288" s="707"/>
      <c r="G288" s="608">
        <f>(G287*C287)*1000</f>
        <v>22925.731898305457</v>
      </c>
      <c r="H288" s="708" t="s">
        <v>150</v>
      </c>
      <c r="I288" s="705"/>
      <c r="J288" s="104"/>
      <c r="K288" s="613"/>
      <c r="L288" s="42"/>
      <c r="M288" s="708"/>
    </row>
    <row r="289" spans="1:35" x14ac:dyDescent="0.25">
      <c r="B289" s="126"/>
      <c r="C289" s="579"/>
      <c r="D289" s="579"/>
      <c r="E289" s="625"/>
      <c r="F289" s="126"/>
      <c r="G289" s="579"/>
      <c r="H289" s="579"/>
      <c r="I289" s="180"/>
      <c r="J289" s="132"/>
      <c r="K289" s="586"/>
      <c r="L289" s="586"/>
      <c r="M289" s="587"/>
    </row>
    <row r="290" spans="1:35" x14ac:dyDescent="0.25">
      <c r="B290" s="944" t="s">
        <v>1147</v>
      </c>
      <c r="C290" s="945"/>
      <c r="D290" s="945"/>
      <c r="E290" s="945"/>
      <c r="F290" s="945"/>
      <c r="G290" s="945"/>
      <c r="H290" s="945"/>
      <c r="I290" s="946"/>
      <c r="J290" s="649"/>
      <c r="K290" s="525">
        <f>K287+K280+K268+K249+K222+K200+K169+K149+K133+K115+K89+K83+K183+K283</f>
        <v>23.530848208642496</v>
      </c>
      <c r="L290" s="621" t="s">
        <v>153</v>
      </c>
      <c r="M290" s="179"/>
    </row>
    <row r="291" spans="1:35" x14ac:dyDescent="0.25">
      <c r="B291" s="944" t="s">
        <v>1204</v>
      </c>
      <c r="C291" s="945"/>
      <c r="D291" s="945"/>
      <c r="E291" s="945"/>
      <c r="F291" s="945"/>
      <c r="G291" s="945"/>
      <c r="H291" s="945"/>
      <c r="I291" s="946"/>
      <c r="J291" s="649"/>
      <c r="K291" s="525">
        <f>FuelProd4!Z56</f>
        <v>12.740072627996129</v>
      </c>
      <c r="L291" s="621" t="s">
        <v>153</v>
      </c>
      <c r="M291" s="648"/>
    </row>
    <row r="292" spans="1:35" x14ac:dyDescent="0.25">
      <c r="B292" s="944" t="s">
        <v>1205</v>
      </c>
      <c r="C292" s="945"/>
      <c r="D292" s="945"/>
      <c r="E292" s="945"/>
      <c r="F292" s="945"/>
      <c r="G292" s="945"/>
      <c r="H292" s="945"/>
      <c r="I292" s="946"/>
      <c r="J292" s="649"/>
      <c r="K292" s="525">
        <f>FuelProd4!Y56</f>
        <v>12.591731271216922</v>
      </c>
      <c r="L292" s="621" t="s">
        <v>153</v>
      </c>
      <c r="M292" s="648"/>
    </row>
    <row r="293" spans="1:35" x14ac:dyDescent="0.25">
      <c r="B293" s="944" t="s">
        <v>1206</v>
      </c>
      <c r="C293" s="945"/>
      <c r="D293" s="945"/>
      <c r="E293" s="945"/>
      <c r="F293" s="945"/>
      <c r="G293" s="945"/>
      <c r="H293" s="945"/>
      <c r="I293" s="946"/>
      <c r="J293" s="649"/>
      <c r="K293" s="525">
        <f>K290-FuelProd4!AH59</f>
        <v>-39.637000039881855</v>
      </c>
      <c r="L293" s="621" t="s">
        <v>153</v>
      </c>
      <c r="M293" s="648"/>
    </row>
    <row r="294" spans="1:35" x14ac:dyDescent="0.25">
      <c r="B294" s="179"/>
      <c r="C294" s="179"/>
      <c r="D294" s="179"/>
      <c r="E294" s="179"/>
      <c r="F294" s="179"/>
      <c r="G294" s="179"/>
      <c r="H294" s="179"/>
      <c r="I294" s="179"/>
      <c r="J294" s="179"/>
      <c r="K294" s="179"/>
      <c r="L294" s="179"/>
      <c r="M294" s="179"/>
    </row>
    <row r="295" spans="1:35" x14ac:dyDescent="0.25">
      <c r="B295" s="179"/>
      <c r="C295" s="179"/>
      <c r="D295" s="179"/>
      <c r="E295" s="179"/>
      <c r="F295" s="179"/>
      <c r="G295" s="706"/>
      <c r="H295" s="179"/>
      <c r="I295" s="179"/>
      <c r="J295" s="179"/>
      <c r="K295" s="179"/>
      <c r="L295" s="179"/>
      <c r="M295" s="179"/>
    </row>
    <row r="296" spans="1:35" x14ac:dyDescent="0.25">
      <c r="B296" s="708"/>
      <c r="C296" s="708"/>
      <c r="E296" s="708"/>
      <c r="F296" s="708"/>
      <c r="G296" s="613"/>
      <c r="H296" s="708"/>
      <c r="I296" s="708"/>
      <c r="J296" s="708"/>
      <c r="K296" s="708"/>
      <c r="L296" s="708"/>
      <c r="M296" s="708"/>
    </row>
    <row r="297" spans="1:35" x14ac:dyDescent="0.25">
      <c r="B297" s="708"/>
      <c r="C297" s="708"/>
      <c r="D297" s="706"/>
      <c r="E297" s="708"/>
      <c r="F297" s="708"/>
      <c r="G297" s="613"/>
      <c r="H297" s="708"/>
      <c r="I297" s="708"/>
      <c r="J297" s="708"/>
      <c r="K297" s="708"/>
      <c r="L297" s="708"/>
      <c r="M297" s="708"/>
    </row>
    <row r="298" spans="1:35" x14ac:dyDescent="0.25">
      <c r="B298" s="708"/>
      <c r="C298" s="708"/>
      <c r="D298" s="706"/>
      <c r="E298" s="708"/>
      <c r="F298" s="708"/>
      <c r="G298" s="708"/>
      <c r="H298" s="708"/>
      <c r="I298" s="708"/>
      <c r="J298" s="708"/>
      <c r="K298" s="613"/>
      <c r="L298" s="708"/>
      <c r="M298" s="708"/>
    </row>
    <row r="299" spans="1:35" x14ac:dyDescent="0.25">
      <c r="B299" s="708"/>
      <c r="C299" s="708"/>
      <c r="D299" s="708"/>
      <c r="E299" s="708"/>
      <c r="F299" s="708"/>
      <c r="G299" s="708"/>
      <c r="H299" s="708"/>
      <c r="I299" s="708"/>
      <c r="J299" s="708"/>
      <c r="K299" s="708"/>
      <c r="L299" s="708"/>
      <c r="M299" s="708"/>
    </row>
    <row r="300" spans="1:35" x14ac:dyDescent="0.25">
      <c r="B300" s="708"/>
      <c r="C300" s="708"/>
      <c r="D300" s="708"/>
      <c r="E300" s="708"/>
      <c r="F300" s="708"/>
      <c r="G300" s="708">
        <f>G287/G61</f>
        <v>5.669511080846195E-2</v>
      </c>
      <c r="H300" s="708"/>
      <c r="I300" s="708"/>
      <c r="J300" s="708"/>
      <c r="K300" s="708"/>
      <c r="L300" s="708"/>
      <c r="M300" s="708"/>
    </row>
    <row r="301" spans="1:35" x14ac:dyDescent="0.25">
      <c r="A301" s="5"/>
      <c r="B301" s="708"/>
      <c r="C301" s="708"/>
      <c r="D301" s="708"/>
      <c r="E301" s="708"/>
      <c r="F301" s="708"/>
      <c r="G301" s="708">
        <v>5.669511080846195E-2</v>
      </c>
      <c r="H301" s="708"/>
      <c r="I301" s="708"/>
      <c r="J301" s="708"/>
      <c r="K301" s="708"/>
      <c r="L301" s="708"/>
      <c r="M301" s="708"/>
    </row>
    <row r="302" spans="1:35" x14ac:dyDescent="0.25">
      <c r="B302" s="708"/>
      <c r="C302" s="708"/>
      <c r="D302" s="708"/>
      <c r="E302" s="708"/>
      <c r="F302" s="708"/>
      <c r="G302" s="708"/>
      <c r="H302" s="708"/>
      <c r="I302" s="708"/>
      <c r="J302" s="708"/>
      <c r="K302" s="708"/>
      <c r="L302" s="708"/>
      <c r="M302" s="708"/>
    </row>
    <row r="303" spans="1:35" x14ac:dyDescent="0.25">
      <c r="B303" s="708"/>
      <c r="C303" s="708"/>
      <c r="D303" s="708"/>
      <c r="E303" s="708"/>
      <c r="F303" s="708"/>
      <c r="G303" s="708"/>
      <c r="H303" s="708"/>
      <c r="I303" s="708"/>
      <c r="J303" s="950" t="s">
        <v>1535</v>
      </c>
      <c r="K303" s="950" t="s">
        <v>975</v>
      </c>
      <c r="L303" s="948" t="s">
        <v>1534</v>
      </c>
      <c r="M303" s="708"/>
    </row>
    <row r="304" spans="1:35" x14ac:dyDescent="0.25">
      <c r="B304" s="708"/>
      <c r="C304" s="708"/>
      <c r="D304" s="708"/>
      <c r="E304" s="708"/>
      <c r="F304" s="708"/>
      <c r="G304" s="708"/>
      <c r="H304" s="708"/>
      <c r="I304" s="708"/>
      <c r="J304" s="951"/>
      <c r="K304" s="951"/>
      <c r="L304" s="949"/>
      <c r="M304" s="708"/>
      <c r="AH304" s="857">
        <v>0.26401658532796513</v>
      </c>
      <c r="AI304" s="857">
        <v>0.25963533461662064</v>
      </c>
    </row>
    <row r="305" spans="2:35" ht="15" customHeight="1" x14ac:dyDescent="0.25">
      <c r="B305" s="706"/>
      <c r="C305" s="622"/>
      <c r="D305" s="622"/>
      <c r="E305" s="622"/>
      <c r="F305" s="622"/>
      <c r="G305" s="622"/>
      <c r="H305" s="622"/>
      <c r="I305" s="622"/>
      <c r="J305" s="807" t="s">
        <v>340</v>
      </c>
      <c r="K305" s="810">
        <f>K83</f>
        <v>0.49338205049829098</v>
      </c>
      <c r="L305" s="810">
        <f>K305*K292/K290</f>
        <v>0.26401658532796513</v>
      </c>
      <c r="M305" s="622"/>
      <c r="O305" s="144">
        <f>L305</f>
        <v>0.26401658532796513</v>
      </c>
      <c r="P305" s="144">
        <f>L306</f>
        <v>0.6952436746969749</v>
      </c>
      <c r="Q305" s="144">
        <f>L307</f>
        <v>0.10194137532438742</v>
      </c>
      <c r="R305" s="144">
        <f>L308</f>
        <v>0.17381091867424373</v>
      </c>
      <c r="S305" s="144">
        <f>L309</f>
        <v>1.4738162273265769</v>
      </c>
      <c r="T305" s="144">
        <f>L310</f>
        <v>0.10402181155549739</v>
      </c>
      <c r="U305" s="144">
        <f>L311</f>
        <v>0.17381091867424373</v>
      </c>
      <c r="V305" s="144">
        <f>L312</f>
        <v>0.17381091867424373</v>
      </c>
      <c r="W305" s="144">
        <f>L313</f>
        <v>0.17381091867424373</v>
      </c>
      <c r="X305" s="144">
        <f>L314</f>
        <v>0.7393948083273576</v>
      </c>
      <c r="Y305" s="144">
        <f>L315</f>
        <v>2.6437224372541013</v>
      </c>
      <c r="Z305" s="144">
        <f>L316</f>
        <v>5.8743306767070838</v>
      </c>
      <c r="AA305" s="144"/>
      <c r="AB305">
        <f>SUM(O305:Z305)</f>
        <v>12.59173127121692</v>
      </c>
      <c r="AH305" s="857">
        <v>0.6952436746969749</v>
      </c>
      <c r="AI305" s="857">
        <v>0.68370638115710092</v>
      </c>
    </row>
    <row r="306" spans="2:35" ht="15" customHeight="1" x14ac:dyDescent="0.25">
      <c r="B306" s="706"/>
      <c r="C306" s="622"/>
      <c r="D306" s="947"/>
      <c r="E306" s="622"/>
      <c r="F306" s="622"/>
      <c r="G306" s="622"/>
      <c r="H306" s="622"/>
      <c r="I306" s="622"/>
      <c r="J306" s="808" t="s">
        <v>1499</v>
      </c>
      <c r="K306" s="811">
        <f>K89</f>
        <v>1.2992393996454998</v>
      </c>
      <c r="L306" s="811">
        <f>K306*K292/K290</f>
        <v>0.6952436746969749</v>
      </c>
      <c r="M306" s="622"/>
      <c r="AH306" s="857">
        <v>0.10194137532438742</v>
      </c>
      <c r="AI306" s="857">
        <v>0.10194137532438745</v>
      </c>
    </row>
    <row r="307" spans="2:35" x14ac:dyDescent="0.25">
      <c r="B307" s="706"/>
      <c r="C307" s="622"/>
      <c r="D307" s="947"/>
      <c r="E307" s="622"/>
      <c r="F307" s="622"/>
      <c r="G307" s="622"/>
      <c r="H307" s="622"/>
      <c r="I307" s="622"/>
      <c r="J307" s="808" t="s">
        <v>408</v>
      </c>
      <c r="K307" s="811">
        <f>K115</f>
        <v>0.19050335313474226</v>
      </c>
      <c r="L307" s="811">
        <f>K307*K292/K290</f>
        <v>0.10194137532438742</v>
      </c>
      <c r="M307" s="622"/>
      <c r="AH307" s="857">
        <v>0.17381091867424373</v>
      </c>
      <c r="AI307" s="857">
        <v>0.17092659528927523</v>
      </c>
    </row>
    <row r="308" spans="2:35" ht="15" customHeight="1" x14ac:dyDescent="0.25">
      <c r="B308" s="706"/>
      <c r="C308" s="622"/>
      <c r="D308" s="622"/>
      <c r="E308" s="622"/>
      <c r="F308" s="622"/>
      <c r="G308" s="622"/>
      <c r="H308" s="622"/>
      <c r="I308" s="622"/>
      <c r="J308" s="808" t="s">
        <v>1500</v>
      </c>
      <c r="K308" s="811">
        <f>K133</f>
        <v>0.32480984991137496</v>
      </c>
      <c r="L308" s="811">
        <f>K308*K292/K290</f>
        <v>0.17381091867424373</v>
      </c>
      <c r="M308" s="622"/>
      <c r="AH308" s="857">
        <v>1.4738162273265769</v>
      </c>
      <c r="AI308" s="857">
        <v>1.4738162273265771</v>
      </c>
    </row>
    <row r="309" spans="2:35" x14ac:dyDescent="0.25">
      <c r="B309" s="706"/>
      <c r="C309" s="622"/>
      <c r="D309" s="622"/>
      <c r="E309" s="622"/>
      <c r="F309" s="622"/>
      <c r="G309" s="622"/>
      <c r="H309" s="622"/>
      <c r="I309" s="622"/>
      <c r="J309" s="808" t="s">
        <v>496</v>
      </c>
      <c r="K309" s="811">
        <f>K149+K183</f>
        <v>2.7541999734325793</v>
      </c>
      <c r="L309" s="811">
        <f>K309*K292/K290</f>
        <v>1.4738162273265769</v>
      </c>
      <c r="M309" s="622"/>
      <c r="AH309" s="857">
        <v>0.10402181155549739</v>
      </c>
      <c r="AI309" s="857">
        <v>0.10402181155549739</v>
      </c>
    </row>
    <row r="310" spans="2:35" x14ac:dyDescent="0.25">
      <c r="B310" s="706"/>
      <c r="C310" s="622"/>
      <c r="D310" s="622"/>
      <c r="E310" s="622"/>
      <c r="F310" s="622"/>
      <c r="G310" s="622"/>
      <c r="H310" s="622"/>
      <c r="I310" s="622"/>
      <c r="J310" s="808" t="s">
        <v>488</v>
      </c>
      <c r="K310" s="811">
        <f>K169</f>
        <v>0.19439117666810435</v>
      </c>
      <c r="L310" s="811">
        <f>K310*K292/K290</f>
        <v>0.10402181155549739</v>
      </c>
      <c r="M310" s="622"/>
      <c r="AH310" s="857">
        <v>0.17381091867424373</v>
      </c>
      <c r="AI310" s="857">
        <v>0.17092659528927523</v>
      </c>
    </row>
    <row r="311" spans="2:35" ht="16.5" customHeight="1" x14ac:dyDescent="0.25">
      <c r="B311" s="706"/>
      <c r="C311" s="638"/>
      <c r="D311" s="638"/>
      <c r="E311" s="638"/>
      <c r="F311" s="638"/>
      <c r="G311" s="638"/>
      <c r="H311" s="638"/>
      <c r="I311" s="638"/>
      <c r="J311" s="805" t="s">
        <v>1493</v>
      </c>
      <c r="K311" s="811">
        <f>K200</f>
        <v>0.32480984991137496</v>
      </c>
      <c r="L311" s="811">
        <f>K311*K292/K290</f>
        <v>0.17381091867424373</v>
      </c>
      <c r="M311" s="638"/>
      <c r="AH311" s="857">
        <v>0.17381091867424373</v>
      </c>
      <c r="AI311" s="857">
        <v>0.17092659528927523</v>
      </c>
    </row>
    <row r="312" spans="2:35" x14ac:dyDescent="0.25">
      <c r="B312" s="706"/>
      <c r="C312" s="638"/>
      <c r="D312" s="638"/>
      <c r="E312" s="638"/>
      <c r="F312" s="638"/>
      <c r="G312" s="638"/>
      <c r="H312" s="638"/>
      <c r="I312" s="638"/>
      <c r="J312" s="805" t="s">
        <v>1071</v>
      </c>
      <c r="K312" s="811">
        <f>K222</f>
        <v>0.32480984991137496</v>
      </c>
      <c r="L312" s="811">
        <f>K312*K292/K290</f>
        <v>0.17381091867424373</v>
      </c>
      <c r="M312" s="638"/>
      <c r="AH312" s="857">
        <v>0.17381091867424373</v>
      </c>
      <c r="AI312" s="857">
        <v>0.17092659528927523</v>
      </c>
    </row>
    <row r="313" spans="2:35" x14ac:dyDescent="0.25">
      <c r="B313" s="706"/>
      <c r="C313" s="638"/>
      <c r="D313" s="638"/>
      <c r="E313" s="638"/>
      <c r="F313" s="638"/>
      <c r="G313" s="638"/>
      <c r="H313" s="638"/>
      <c r="I313" s="638"/>
      <c r="J313" s="805" t="s">
        <v>1072</v>
      </c>
      <c r="K313" s="811">
        <f>K249</f>
        <v>0.32480984991137496</v>
      </c>
      <c r="L313" s="811">
        <f>K313*K292/K290</f>
        <v>0.17381091867424373</v>
      </c>
      <c r="M313" s="638"/>
      <c r="AH313" s="857">
        <v>0.7393948083273576</v>
      </c>
      <c r="AI313" s="857">
        <v>0.7393948083273576</v>
      </c>
    </row>
    <row r="314" spans="2:35" x14ac:dyDescent="0.25">
      <c r="B314" s="706"/>
      <c r="C314" s="638"/>
      <c r="D314" s="638"/>
      <c r="E314" s="638"/>
      <c r="F314" s="638"/>
      <c r="G314" s="638"/>
      <c r="H314" s="638"/>
      <c r="I314" s="638"/>
      <c r="J314" s="805" t="s">
        <v>534</v>
      </c>
      <c r="K314" s="811">
        <f>K268</f>
        <v>1.3817470073222016</v>
      </c>
      <c r="L314" s="811">
        <f>K314*K292/K290</f>
        <v>0.7393948083273576</v>
      </c>
      <c r="M314" s="638"/>
      <c r="AH314" s="857">
        <v>2.6437224372541013</v>
      </c>
      <c r="AI314" s="857">
        <v>2.6437224372541017</v>
      </c>
    </row>
    <row r="315" spans="2:35" ht="18" x14ac:dyDescent="0.35">
      <c r="B315" s="706"/>
      <c r="C315" s="638"/>
      <c r="D315" s="638"/>
      <c r="E315" s="638"/>
      <c r="F315" s="638"/>
      <c r="G315" s="638"/>
      <c r="H315" s="638"/>
      <c r="I315" s="638"/>
      <c r="J315" s="805" t="s">
        <v>1369</v>
      </c>
      <c r="K315" s="811">
        <f>K283</f>
        <v>4.9404668855195863</v>
      </c>
      <c r="L315" s="811">
        <f>K315*K292/K290</f>
        <v>2.6437224372541013</v>
      </c>
      <c r="M315" s="638"/>
      <c r="AH315" s="857">
        <v>5.8743306767070838</v>
      </c>
      <c r="AI315" s="857">
        <v>5.8743306767070846</v>
      </c>
    </row>
    <row r="316" spans="2:35" x14ac:dyDescent="0.25">
      <c r="B316" s="706"/>
      <c r="C316" s="638"/>
      <c r="D316" s="638"/>
      <c r="E316" s="638"/>
      <c r="F316" s="638"/>
      <c r="G316" s="638"/>
      <c r="H316" s="638"/>
      <c r="I316" s="638"/>
      <c r="J316" s="809" t="s">
        <v>1094</v>
      </c>
      <c r="K316" s="812">
        <f>K287</f>
        <v>10.977678962775988</v>
      </c>
      <c r="L316" s="812">
        <f>K316*K292/K290</f>
        <v>5.8743306767070838</v>
      </c>
      <c r="M316" s="638"/>
    </row>
    <row r="317" spans="2:35" x14ac:dyDescent="0.25">
      <c r="B317" s="706"/>
      <c r="C317" s="638"/>
      <c r="D317" s="638"/>
      <c r="E317" s="638"/>
      <c r="F317" s="638"/>
      <c r="G317" s="638"/>
      <c r="H317" s="844"/>
      <c r="I317" s="638"/>
      <c r="J317" s="706"/>
      <c r="K317" s="830">
        <f>SUM(K305:K316)</f>
        <v>23.530848208642496</v>
      </c>
      <c r="L317" s="817">
        <f>SUM(L305:L316)</f>
        <v>12.59173127121692</v>
      </c>
      <c r="M317" s="638"/>
    </row>
    <row r="318" spans="2:35" x14ac:dyDescent="0.25">
      <c r="B318" s="706"/>
      <c r="C318" s="638"/>
      <c r="D318" s="638"/>
      <c r="E318" s="638"/>
      <c r="F318" s="638"/>
      <c r="G318" s="638"/>
      <c r="H318" s="638"/>
      <c r="I318" s="638"/>
      <c r="J318" s="706"/>
      <c r="K318" s="706"/>
      <c r="L318" s="706"/>
      <c r="M318" s="638"/>
      <c r="O318" s="144"/>
    </row>
    <row r="319" spans="2:35" x14ac:dyDescent="0.25">
      <c r="B319" s="708"/>
      <c r="C319" s="708"/>
      <c r="D319" s="708"/>
      <c r="E319" s="708"/>
      <c r="F319" s="708"/>
      <c r="G319" s="708"/>
      <c r="H319" s="708"/>
      <c r="I319" s="708"/>
      <c r="J319" s="708"/>
      <c r="K319" s="708"/>
      <c r="L319" s="708"/>
      <c r="M319" s="708"/>
    </row>
    <row r="320" spans="2:35" x14ac:dyDescent="0.25">
      <c r="B320" s="708"/>
      <c r="C320" s="708"/>
      <c r="D320" s="708"/>
      <c r="E320" s="708"/>
      <c r="F320" s="708"/>
      <c r="G320" s="708"/>
      <c r="H320" s="708"/>
      <c r="I320" s="708"/>
      <c r="J320" s="708"/>
      <c r="K320" s="708"/>
      <c r="L320" s="708"/>
      <c r="M320" s="708"/>
    </row>
    <row r="321" spans="2:24" x14ac:dyDescent="0.25">
      <c r="B321" s="708"/>
      <c r="C321" s="708"/>
      <c r="D321" s="708"/>
      <c r="E321" s="708"/>
      <c r="F321" s="708"/>
      <c r="G321" s="708"/>
      <c r="H321" s="708"/>
      <c r="I321" s="708"/>
      <c r="J321" s="708"/>
      <c r="K321" s="708"/>
      <c r="L321" s="708"/>
      <c r="M321" s="708"/>
    </row>
    <row r="322" spans="2:24" x14ac:dyDescent="0.25">
      <c r="B322" s="708"/>
      <c r="C322" s="708"/>
      <c r="D322" s="708"/>
      <c r="E322" s="708"/>
      <c r="F322" s="708"/>
      <c r="G322" s="708"/>
      <c r="H322" s="708"/>
      <c r="I322" s="708"/>
      <c r="J322" s="708"/>
      <c r="K322" s="708"/>
      <c r="L322" s="708"/>
      <c r="M322" s="708"/>
    </row>
    <row r="323" spans="2:24" x14ac:dyDescent="0.25">
      <c r="B323" s="708"/>
      <c r="C323" s="708"/>
      <c r="D323" s="708"/>
      <c r="E323" s="708"/>
      <c r="F323" s="708"/>
      <c r="G323" s="706"/>
      <c r="H323" s="706"/>
      <c r="I323" s="706"/>
      <c r="J323" s="708"/>
      <c r="K323" s="708"/>
      <c r="L323" s="708"/>
      <c r="M323" s="708"/>
    </row>
    <row r="324" spans="2:24" x14ac:dyDescent="0.25">
      <c r="B324" s="708"/>
      <c r="C324" s="708"/>
      <c r="D324" s="708"/>
      <c r="E324" s="708"/>
      <c r="F324" s="708"/>
      <c r="G324" s="706"/>
      <c r="H324" s="706"/>
      <c r="I324" s="706"/>
      <c r="J324" s="708"/>
      <c r="K324" s="708"/>
      <c r="L324" s="708"/>
      <c r="M324" s="708"/>
    </row>
    <row r="325" spans="2:24" x14ac:dyDescent="0.25">
      <c r="B325" s="708"/>
      <c r="C325" s="708"/>
      <c r="D325" s="708"/>
      <c r="E325" s="708"/>
      <c r="F325" s="708"/>
      <c r="G325" s="706"/>
      <c r="H325" s="706"/>
      <c r="I325" s="706"/>
      <c r="J325" s="708"/>
      <c r="K325" s="708"/>
      <c r="L325" s="708"/>
      <c r="M325" s="708"/>
      <c r="Q325" s="5"/>
      <c r="R325" s="5"/>
      <c r="S325" s="5"/>
      <c r="T325" s="5"/>
      <c r="U325" s="5"/>
    </row>
    <row r="326" spans="2:24" x14ac:dyDescent="0.25">
      <c r="B326" s="706"/>
      <c r="C326" s="706"/>
      <c r="D326" s="706"/>
      <c r="E326" s="706"/>
      <c r="F326" s="706"/>
      <c r="G326" s="706"/>
      <c r="H326" s="706"/>
      <c r="I326" s="706"/>
      <c r="J326" s="706"/>
      <c r="K326" s="706"/>
      <c r="L326" s="706"/>
      <c r="M326" s="706"/>
      <c r="Q326" s="29"/>
      <c r="R326" s="40"/>
      <c r="S326" s="40"/>
      <c r="T326" s="635"/>
      <c r="U326" s="635"/>
      <c r="V326" s="144"/>
      <c r="W326" s="144"/>
      <c r="X326" s="144"/>
    </row>
    <row r="327" spans="2:24" x14ac:dyDescent="0.25">
      <c r="B327" s="706"/>
      <c r="C327" s="706"/>
      <c r="D327" s="706"/>
      <c r="E327" s="706"/>
      <c r="F327" s="706"/>
      <c r="G327" s="706"/>
      <c r="H327" s="706"/>
      <c r="I327" s="706"/>
      <c r="J327" s="706"/>
      <c r="K327" s="706"/>
      <c r="L327" s="706"/>
      <c r="M327" s="706"/>
      <c r="Q327" s="29"/>
      <c r="R327" s="40"/>
      <c r="S327" s="40"/>
      <c r="T327" s="635"/>
      <c r="U327" s="40"/>
      <c r="V327" s="144"/>
      <c r="W327" s="144"/>
      <c r="X327" s="144"/>
    </row>
    <row r="328" spans="2:24" x14ac:dyDescent="0.25">
      <c r="B328" s="706"/>
      <c r="C328" s="706"/>
      <c r="D328" s="706"/>
      <c r="E328" s="706"/>
      <c r="F328" s="706"/>
      <c r="G328" s="706"/>
      <c r="H328" s="706"/>
      <c r="I328" s="706"/>
      <c r="J328" s="706"/>
      <c r="K328" s="706"/>
      <c r="L328" s="706"/>
      <c r="M328" s="706"/>
      <c r="Q328" s="5"/>
      <c r="R328" s="635"/>
      <c r="S328" s="635"/>
      <c r="T328" s="635"/>
      <c r="U328" s="635"/>
      <c r="V328" s="144"/>
      <c r="W328" s="144"/>
      <c r="X328" s="144"/>
    </row>
    <row r="329" spans="2:24" x14ac:dyDescent="0.25">
      <c r="B329" s="706"/>
      <c r="C329" s="706"/>
      <c r="D329" s="706"/>
      <c r="E329" s="706"/>
      <c r="F329" s="706"/>
      <c r="G329" s="706"/>
      <c r="H329" s="706"/>
      <c r="I329" s="706"/>
      <c r="J329" s="706"/>
      <c r="K329" s="706"/>
      <c r="L329" s="706"/>
      <c r="M329" s="706"/>
    </row>
    <row r="330" spans="2:24" x14ac:dyDescent="0.25">
      <c r="B330" s="706"/>
      <c r="C330" s="706"/>
      <c r="D330" s="706"/>
      <c r="E330" s="706"/>
      <c r="F330" s="706"/>
      <c r="G330" s="706"/>
      <c r="H330" s="706"/>
      <c r="I330" s="706"/>
      <c r="J330" s="706"/>
      <c r="K330" s="706"/>
      <c r="L330" s="706"/>
      <c r="M330" s="706"/>
    </row>
    <row r="331" spans="2:24" x14ac:dyDescent="0.25">
      <c r="B331" s="706"/>
      <c r="C331" s="706"/>
      <c r="D331" s="706"/>
      <c r="E331" s="706"/>
      <c r="F331" s="706"/>
      <c r="G331" s="706"/>
      <c r="H331" s="706"/>
      <c r="I331" s="706"/>
      <c r="J331" s="706"/>
      <c r="K331" s="706"/>
      <c r="L331" s="706"/>
      <c r="M331" s="706"/>
    </row>
    <row r="332" spans="2:24" x14ac:dyDescent="0.25">
      <c r="S332" s="179"/>
      <c r="T332" s="29"/>
      <c r="U332" s="29"/>
      <c r="V332" s="29"/>
    </row>
    <row r="338" spans="22:36" x14ac:dyDescent="0.25">
      <c r="W338" t="s">
        <v>1738</v>
      </c>
    </row>
    <row r="339" spans="22:36" x14ac:dyDescent="0.25">
      <c r="W339" t="s">
        <v>1739</v>
      </c>
    </row>
    <row r="340" spans="22:36" x14ac:dyDescent="0.25">
      <c r="W340">
        <v>0.26401658532796513</v>
      </c>
      <c r="X340">
        <v>0.6952436746969749</v>
      </c>
      <c r="Y340">
        <v>0.10194137532438742</v>
      </c>
      <c r="Z340">
        <v>0.17381091867424373</v>
      </c>
      <c r="AA340">
        <v>1.4738162273265769</v>
      </c>
      <c r="AB340">
        <v>0.10402181155549739</v>
      </c>
      <c r="AC340">
        <v>0.17381091867424373</v>
      </c>
      <c r="AD340">
        <v>0.17381091867424373</v>
      </c>
      <c r="AE340">
        <v>0.17381091867424373</v>
      </c>
      <c r="AF340">
        <v>0.7393948083273576</v>
      </c>
      <c r="AG340">
        <v>2.6437224372541013</v>
      </c>
      <c r="AH340">
        <v>5.8743306767070838</v>
      </c>
      <c r="AJ340" s="370">
        <v>12.59173127121692</v>
      </c>
    </row>
    <row r="341" spans="22:36" x14ac:dyDescent="0.25">
      <c r="AJ341" s="370"/>
    </row>
    <row r="342" spans="22:36" x14ac:dyDescent="0.25">
      <c r="W342" t="s">
        <v>1740</v>
      </c>
      <c r="AJ342" s="370"/>
    </row>
    <row r="343" spans="22:36" x14ac:dyDescent="0.25">
      <c r="V343" t="s">
        <v>1741</v>
      </c>
      <c r="W343">
        <v>0.65135138141535054</v>
      </c>
      <c r="X343">
        <v>1.7152253043937571</v>
      </c>
      <c r="Y343">
        <v>0.2514980472095642</v>
      </c>
      <c r="Z343">
        <v>0.42880632609843927</v>
      </c>
      <c r="AA343">
        <v>3.6360300411772819</v>
      </c>
      <c r="AB343">
        <v>0.2566306604179226</v>
      </c>
      <c r="AC343">
        <v>0.42880632609843927</v>
      </c>
      <c r="AD343">
        <v>0.42880632609843927</v>
      </c>
      <c r="AE343">
        <v>0.42880632609843927</v>
      </c>
      <c r="AF343">
        <v>1.8241499079200088</v>
      </c>
      <c r="AG343">
        <v>2.6437224372541017</v>
      </c>
      <c r="AH343">
        <v>5.8743306767070846</v>
      </c>
      <c r="AJ343" s="370">
        <f t="shared" ref="AJ343:AJ346" si="0">SUM(W343:AH343)</f>
        <v>18.568163760888829</v>
      </c>
    </row>
    <row r="344" spans="22:36" x14ac:dyDescent="0.25">
      <c r="V344" t="s">
        <v>1742</v>
      </c>
      <c r="W344">
        <v>0.65135138141535065</v>
      </c>
      <c r="X344">
        <v>1.7152253043937569</v>
      </c>
      <c r="Y344">
        <v>0.25149804720956415</v>
      </c>
      <c r="Z344">
        <v>0.42880632609843922</v>
      </c>
      <c r="AA344">
        <v>3.6360300411772819</v>
      </c>
      <c r="AB344">
        <v>0.25663066041792265</v>
      </c>
      <c r="AC344">
        <v>0.42880632609843922</v>
      </c>
      <c r="AD344">
        <v>0.42880632609843922</v>
      </c>
      <c r="AE344">
        <v>0.42880632609843922</v>
      </c>
      <c r="AF344">
        <v>1.8241499079200088</v>
      </c>
      <c r="AG344">
        <v>2.6437224372541017</v>
      </c>
      <c r="AH344">
        <v>1.0888664890708526</v>
      </c>
      <c r="AJ344" s="370">
        <f t="shared" si="0"/>
        <v>13.782699573252597</v>
      </c>
    </row>
    <row r="345" spans="22:36" x14ac:dyDescent="0.25">
      <c r="V345" t="s">
        <v>1743</v>
      </c>
      <c r="W345">
        <v>0.26401658532796513</v>
      </c>
      <c r="X345">
        <v>0.6952436746969749</v>
      </c>
      <c r="Y345">
        <v>0.10194137532438742</v>
      </c>
      <c r="Z345">
        <v>0.17381091867424373</v>
      </c>
      <c r="AA345">
        <v>1.4738162273265769</v>
      </c>
      <c r="AB345">
        <v>0.10402181155549739</v>
      </c>
      <c r="AC345">
        <v>0.17381091867424373</v>
      </c>
      <c r="AD345">
        <v>0.17381091867424373</v>
      </c>
      <c r="AE345">
        <v>0.17381091867424373</v>
      </c>
      <c r="AF345">
        <v>0.7393948083273576</v>
      </c>
      <c r="AG345">
        <v>2.6437224372541013</v>
      </c>
      <c r="AH345">
        <v>5.8743306767070838</v>
      </c>
      <c r="AJ345" s="370">
        <f t="shared" si="0"/>
        <v>12.59173127121692</v>
      </c>
    </row>
    <row r="346" spans="22:36" x14ac:dyDescent="0.25">
      <c r="V346" t="s">
        <v>1744</v>
      </c>
      <c r="W346">
        <v>0.26401658532796513</v>
      </c>
      <c r="X346">
        <v>0.69524367469697512</v>
      </c>
      <c r="Y346">
        <v>0.10194137532438743</v>
      </c>
      <c r="Z346">
        <v>0.17381091867424378</v>
      </c>
      <c r="AA346">
        <v>1.4738162273265771</v>
      </c>
      <c r="AB346">
        <v>0.10402181155549739</v>
      </c>
      <c r="AC346">
        <v>0.17381091867424378</v>
      </c>
      <c r="AD346">
        <v>0.17381091867424378</v>
      </c>
      <c r="AE346">
        <v>0.17381091867424378</v>
      </c>
      <c r="AF346">
        <v>0.7393948083273576</v>
      </c>
      <c r="AG346">
        <v>2.6437224372541017</v>
      </c>
      <c r="AH346">
        <v>1.0888664890708526</v>
      </c>
      <c r="AJ346" s="370">
        <f t="shared" si="0"/>
        <v>7.8062670835806891</v>
      </c>
    </row>
    <row r="347" spans="22:36" x14ac:dyDescent="0.25">
      <c r="AJ347" s="370"/>
    </row>
    <row r="348" spans="22:36" x14ac:dyDescent="0.25">
      <c r="W348" t="s">
        <v>1745</v>
      </c>
      <c r="AJ348" s="370"/>
    </row>
    <row r="349" spans="22:36" x14ac:dyDescent="0.25">
      <c r="V349" t="s">
        <v>679</v>
      </c>
      <c r="W349" s="144">
        <f>L305</f>
        <v>0.26401658532796513</v>
      </c>
      <c r="X349" s="144">
        <f>L306</f>
        <v>0.6952436746969749</v>
      </c>
      <c r="Y349" s="144">
        <f>L307</f>
        <v>0.10194137532438742</v>
      </c>
      <c r="Z349" s="144">
        <f>L308</f>
        <v>0.17381091867424373</v>
      </c>
      <c r="AA349" s="144">
        <f>L309</f>
        <v>1.4738162273265769</v>
      </c>
      <c r="AB349" s="144">
        <f>L310</f>
        <v>0.10402181155549739</v>
      </c>
      <c r="AC349" s="144">
        <f>L311</f>
        <v>0.17381091867424373</v>
      </c>
      <c r="AD349" s="144">
        <f>L312</f>
        <v>0.17381091867424373</v>
      </c>
      <c r="AE349" s="144">
        <f>L313</f>
        <v>0.17381091867424373</v>
      </c>
      <c r="AF349" s="144">
        <f>L314</f>
        <v>0.7393948083273576</v>
      </c>
      <c r="AG349" s="144">
        <f>L315</f>
        <v>2.6437224372541013</v>
      </c>
      <c r="AH349" s="144">
        <f>L316</f>
        <v>5.8743306767070838</v>
      </c>
      <c r="AJ349" s="370">
        <f>SUM(W349:AH349)</f>
        <v>12.59173127121692</v>
      </c>
    </row>
    <row r="350" spans="22:36" x14ac:dyDescent="0.25">
      <c r="V350" t="s">
        <v>716</v>
      </c>
      <c r="W350" s="144">
        <f>K305*K291/K290</f>
        <v>0.26712692636337854</v>
      </c>
      <c r="X350">
        <f>K306*K291/K290</f>
        <v>0.70343423942356342</v>
      </c>
      <c r="Y350">
        <f>K307*K291/K290</f>
        <v>0.10314233185703876</v>
      </c>
      <c r="Z350">
        <f>K308*K291/K290</f>
        <v>0.17585855985589086</v>
      </c>
      <c r="AA350">
        <f>K309*K291/K290</f>
        <v>1.4911790421846569</v>
      </c>
      <c r="AB350">
        <f>K310*K291/K290</f>
        <v>0.1052472774051416</v>
      </c>
      <c r="AC350">
        <f>K311*K291/K290</f>
        <v>0.17585855985589086</v>
      </c>
      <c r="AD350">
        <f>K312*K291/K290</f>
        <v>0.17585855985589086</v>
      </c>
      <c r="AE350">
        <f>K313*K291/K290</f>
        <v>0.17585855985589086</v>
      </c>
      <c r="AF350">
        <f>K314*K291/K290</f>
        <v>0.74810551114496793</v>
      </c>
      <c r="AG350">
        <f>K315*K291/K290</f>
        <v>2.6748677472073377</v>
      </c>
      <c r="AH350">
        <f>K316*K291/K290</f>
        <v>5.9435353129864792</v>
      </c>
      <c r="AJ350" s="370">
        <f>SUM(W350:AH350)</f>
        <v>12.740072627996128</v>
      </c>
    </row>
    <row r="351" spans="22:36" x14ac:dyDescent="0.25">
      <c r="V351" t="s">
        <v>863</v>
      </c>
      <c r="W351" s="144">
        <f>K305</f>
        <v>0.49338205049829098</v>
      </c>
      <c r="X351" s="144">
        <f>K306</f>
        <v>1.2992393996454998</v>
      </c>
      <c r="Y351" s="144">
        <f>K307</f>
        <v>0.19050335313474226</v>
      </c>
      <c r="Z351" s="144">
        <f>K308</f>
        <v>0.32480984991137496</v>
      </c>
      <c r="AA351" s="144">
        <f>K309</f>
        <v>2.7541999734325793</v>
      </c>
      <c r="AB351" s="144">
        <f>K310</f>
        <v>0.19439117666810435</v>
      </c>
      <c r="AC351" s="144">
        <f>K311</f>
        <v>0.32480984991137496</v>
      </c>
      <c r="AD351" s="144">
        <f>K312</f>
        <v>0.32480984991137496</v>
      </c>
      <c r="AE351" s="144">
        <f>K313</f>
        <v>0.32480984991137496</v>
      </c>
      <c r="AF351" s="144">
        <f>K314</f>
        <v>1.3817470073222016</v>
      </c>
      <c r="AG351" s="144">
        <f>K315</f>
        <v>4.9404668855195863</v>
      </c>
      <c r="AH351" s="144">
        <f>K316</f>
        <v>10.977678962775988</v>
      </c>
      <c r="AI351">
        <f>-FuelProd4!AH59</f>
        <v>-63.167848248524351</v>
      </c>
      <c r="AJ351" s="370">
        <f>SUM(W351:AI351)</f>
        <v>-39.637000039881855</v>
      </c>
    </row>
    <row r="354" spans="23:28" x14ac:dyDescent="0.25">
      <c r="W354" t="s">
        <v>1746</v>
      </c>
    </row>
    <row r="355" spans="23:28" x14ac:dyDescent="0.25">
      <c r="W355" s="706"/>
      <c r="X355" s="609" t="s">
        <v>719</v>
      </c>
      <c r="Y355" s="613">
        <v>0.68</v>
      </c>
      <c r="Z355" s="706">
        <v>1</v>
      </c>
      <c r="AA355" s="706">
        <v>0</v>
      </c>
      <c r="AB355" s="706">
        <v>0</v>
      </c>
    </row>
    <row r="356" spans="23:28" x14ac:dyDescent="0.25">
      <c r="W356" s="706"/>
      <c r="X356" s="609" t="s">
        <v>738</v>
      </c>
      <c r="Y356" s="613">
        <v>0.03</v>
      </c>
      <c r="Z356" s="706">
        <v>0</v>
      </c>
      <c r="AA356" s="706">
        <v>1</v>
      </c>
      <c r="AB356" s="706">
        <v>0</v>
      </c>
    </row>
    <row r="357" spans="23:28" x14ac:dyDescent="0.25">
      <c r="W357" s="706"/>
      <c r="X357" s="609" t="s">
        <v>749</v>
      </c>
      <c r="Y357" s="613">
        <v>0.28999999999999998</v>
      </c>
      <c r="Z357" s="706">
        <v>0</v>
      </c>
      <c r="AA357" s="706">
        <v>0</v>
      </c>
      <c r="AB357" s="706">
        <v>1</v>
      </c>
    </row>
    <row r="358" spans="23:28" x14ac:dyDescent="0.25">
      <c r="W358" s="706"/>
      <c r="X358" s="706"/>
      <c r="Y358" s="706"/>
      <c r="Z358" s="706"/>
      <c r="AA358" s="706"/>
      <c r="AB358" s="706"/>
    </row>
    <row r="359" spans="23:28" x14ac:dyDescent="0.25">
      <c r="W359" s="701" t="s">
        <v>11</v>
      </c>
      <c r="X359" s="701" t="s">
        <v>167</v>
      </c>
      <c r="Y359" s="833">
        <v>12.564275433425831</v>
      </c>
      <c r="Z359" s="833">
        <v>14.014627764992431</v>
      </c>
      <c r="AA359" s="833">
        <v>10.783285763188747</v>
      </c>
      <c r="AB359" s="833">
        <v>13.394888776138437</v>
      </c>
    </row>
    <row r="360" spans="23:28" x14ac:dyDescent="0.25">
      <c r="W360" s="701" t="s">
        <v>1547</v>
      </c>
      <c r="X360" s="701" t="s">
        <v>1546</v>
      </c>
      <c r="Y360" s="834">
        <v>2.7066979809097349</v>
      </c>
      <c r="Z360" s="834">
        <v>2.5139012087557067</v>
      </c>
      <c r="AA360" s="834">
        <v>3.2071204263426365</v>
      </c>
      <c r="AB360" s="834">
        <v>4.7876556222528288</v>
      </c>
    </row>
  </sheetData>
  <mergeCells count="59">
    <mergeCell ref="B10:J11"/>
    <mergeCell ref="B52:M52"/>
    <mergeCell ref="B53:H53"/>
    <mergeCell ref="B54:E54"/>
    <mergeCell ref="F54:H54"/>
    <mergeCell ref="J54:L54"/>
    <mergeCell ref="B13:J13"/>
    <mergeCell ref="B25:J25"/>
    <mergeCell ref="B23:E23"/>
    <mergeCell ref="B16:E16"/>
    <mergeCell ref="B17:E17"/>
    <mergeCell ref="B19:E19"/>
    <mergeCell ref="B20:E20"/>
    <mergeCell ref="B22:E22"/>
    <mergeCell ref="B144:C144"/>
    <mergeCell ref="B132:M132"/>
    <mergeCell ref="B140:C140"/>
    <mergeCell ref="B141:C141"/>
    <mergeCell ref="E135:E136"/>
    <mergeCell ref="B57:M57"/>
    <mergeCell ref="B56:M56"/>
    <mergeCell ref="B82:M82"/>
    <mergeCell ref="B88:M88"/>
    <mergeCell ref="E112:E113"/>
    <mergeCell ref="B2:M2"/>
    <mergeCell ref="B5:J5"/>
    <mergeCell ref="B6:J6"/>
    <mergeCell ref="B7:J7"/>
    <mergeCell ref="B9:J9"/>
    <mergeCell ref="B145:C145"/>
    <mergeCell ref="B148:M148"/>
    <mergeCell ref="B168:M168"/>
    <mergeCell ref="B267:M267"/>
    <mergeCell ref="B199:M199"/>
    <mergeCell ref="B221:M221"/>
    <mergeCell ref="E155:E156"/>
    <mergeCell ref="E175:E176"/>
    <mergeCell ref="E205:E206"/>
    <mergeCell ref="E225:E226"/>
    <mergeCell ref="E252:E253"/>
    <mergeCell ref="B114:M114"/>
    <mergeCell ref="B139:C139"/>
    <mergeCell ref="B142:C142"/>
    <mergeCell ref="E118:E119"/>
    <mergeCell ref="E110:E111"/>
    <mergeCell ref="D306:D307"/>
    <mergeCell ref="L303:L304"/>
    <mergeCell ref="K303:K304"/>
    <mergeCell ref="J303:J304"/>
    <mergeCell ref="B291:I291"/>
    <mergeCell ref="B293:I293"/>
    <mergeCell ref="B286:M286"/>
    <mergeCell ref="B248:M248"/>
    <mergeCell ref="B279:M279"/>
    <mergeCell ref="B182:M182"/>
    <mergeCell ref="B292:I292"/>
    <mergeCell ref="B290:I290"/>
    <mergeCell ref="B282:M282"/>
    <mergeCell ref="E274:E275"/>
  </mergeCells>
  <phoneticPr fontId="7"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41D9D-71CA-40EC-A63D-C988FCE5FA01}">
  <dimension ref="B2:M115"/>
  <sheetViews>
    <sheetView showGridLines="0" topLeftCell="A16" zoomScale="85" zoomScaleNormal="85" workbookViewId="0">
      <selection activeCell="W46" sqref="W46"/>
    </sheetView>
  </sheetViews>
  <sheetFormatPr defaultRowHeight="15" x14ac:dyDescent="0.25"/>
  <cols>
    <col min="3" max="3" width="12.28515625" customWidth="1"/>
    <col min="4" max="4" width="12.140625" customWidth="1"/>
    <col min="5" max="5" width="15" customWidth="1"/>
    <col min="6" max="6" width="9.140625" customWidth="1"/>
    <col min="7" max="7" width="18.7109375" customWidth="1"/>
    <col min="8" max="8" width="14.140625" customWidth="1"/>
    <col min="9" max="9" width="15.85546875" customWidth="1"/>
  </cols>
  <sheetData>
    <row r="2" spans="2:13" x14ac:dyDescent="0.25">
      <c r="B2" t="s">
        <v>245</v>
      </c>
    </row>
    <row r="3" spans="2:13" x14ac:dyDescent="0.25">
      <c r="B3" t="s">
        <v>246</v>
      </c>
    </row>
    <row r="5" spans="2:13" x14ac:dyDescent="0.25">
      <c r="B5" s="997" t="s">
        <v>247</v>
      </c>
      <c r="C5" s="997"/>
      <c r="D5" s="997"/>
      <c r="E5" s="997"/>
      <c r="F5" s="997"/>
      <c r="G5" s="997"/>
      <c r="H5" s="997"/>
      <c r="I5" s="997"/>
      <c r="J5" s="997"/>
      <c r="K5" s="997"/>
    </row>
    <row r="7" spans="2:13" x14ac:dyDescent="0.25">
      <c r="C7" s="985" t="s">
        <v>248</v>
      </c>
      <c r="D7" s="986"/>
      <c r="E7" s="986"/>
      <c r="F7" s="986"/>
      <c r="G7" s="986"/>
      <c r="H7" s="986"/>
      <c r="I7" s="987"/>
      <c r="L7" s="7"/>
      <c r="M7" t="s">
        <v>136</v>
      </c>
    </row>
    <row r="8" spans="2:13" x14ac:dyDescent="0.25">
      <c r="C8" s="982" t="s">
        <v>249</v>
      </c>
      <c r="D8" s="983"/>
      <c r="E8" s="983"/>
      <c r="F8" s="984"/>
      <c r="G8" s="982" t="s">
        <v>250</v>
      </c>
      <c r="H8" s="983"/>
      <c r="I8" s="984"/>
      <c r="L8" s="8"/>
      <c r="M8" t="s">
        <v>251</v>
      </c>
    </row>
    <row r="9" spans="2:13" x14ac:dyDescent="0.25">
      <c r="C9" s="992" t="s">
        <v>144</v>
      </c>
      <c r="D9" s="998"/>
      <c r="E9" s="998"/>
      <c r="F9" s="993"/>
      <c r="G9" s="992" t="s">
        <v>145</v>
      </c>
      <c r="H9" s="998"/>
      <c r="I9" s="993"/>
      <c r="L9" s="9"/>
      <c r="M9" t="s">
        <v>252</v>
      </c>
    </row>
    <row r="10" spans="2:13" x14ac:dyDescent="0.25">
      <c r="C10" s="999" t="s">
        <v>253</v>
      </c>
      <c r="D10" s="1000"/>
      <c r="E10" s="999" t="s">
        <v>254</v>
      </c>
      <c r="F10" s="1003"/>
      <c r="G10" s="978" t="s">
        <v>255</v>
      </c>
      <c r="H10" s="979"/>
      <c r="I10" s="122" t="s">
        <v>256</v>
      </c>
    </row>
    <row r="11" spans="2:13" x14ac:dyDescent="0.25">
      <c r="C11" s="1001"/>
      <c r="D11" s="1002"/>
      <c r="E11" s="1001"/>
      <c r="F11" s="1004"/>
      <c r="G11" s="124" t="s">
        <v>257</v>
      </c>
      <c r="H11" s="125">
        <f>FuelProd2!AS20</f>
        <v>29.680804781841001</v>
      </c>
      <c r="I11" s="1005">
        <f>FuelProd2!AW36</f>
        <v>743.29859038906102</v>
      </c>
    </row>
    <row r="12" spans="2:13" x14ac:dyDescent="0.25">
      <c r="C12" s="126" t="s">
        <v>258</v>
      </c>
      <c r="D12" s="127">
        <f>'Fuel Production'!C99</f>
        <v>6.5000000000000002E-2</v>
      </c>
      <c r="E12" s="128" t="s">
        <v>259</v>
      </c>
      <c r="F12" s="129">
        <f>'Fuel Production'!C93</f>
        <v>0.79099999999999993</v>
      </c>
      <c r="G12" s="124" t="s">
        <v>260</v>
      </c>
      <c r="H12" s="125">
        <f>FuelProd2!AS21</f>
        <v>47.741294483998971</v>
      </c>
      <c r="I12" s="906"/>
    </row>
    <row r="13" spans="2:13" x14ac:dyDescent="0.25">
      <c r="C13" s="126" t="s">
        <v>261</v>
      </c>
      <c r="D13" s="127">
        <f>'Fuel Production'!C100</f>
        <v>5.7999999999999996E-2</v>
      </c>
      <c r="E13" s="128" t="s">
        <v>262</v>
      </c>
      <c r="F13" s="130">
        <f>'Fuel Production'!C94</f>
        <v>1.7999999999999999E-2</v>
      </c>
      <c r="G13" s="124" t="s">
        <v>112</v>
      </c>
      <c r="H13" s="125">
        <f>FuelProd2!AS22</f>
        <v>6.5801784186156915</v>
      </c>
      <c r="I13" s="16"/>
    </row>
    <row r="14" spans="2:13" x14ac:dyDescent="0.25">
      <c r="C14" s="126" t="s">
        <v>263</v>
      </c>
      <c r="D14" s="127">
        <f>'Fuel Production'!C101</f>
        <v>0.27</v>
      </c>
      <c r="E14" s="128" t="s">
        <v>264</v>
      </c>
      <c r="F14" s="130">
        <f>'Fuel Production'!C95</f>
        <v>2.1999999999999999E-2</v>
      </c>
      <c r="G14" s="124" t="s">
        <v>265</v>
      </c>
      <c r="H14" s="131">
        <f>FuelProd2!AS23</f>
        <v>0</v>
      </c>
      <c r="I14" s="16"/>
    </row>
    <row r="15" spans="2:13" x14ac:dyDescent="0.25">
      <c r="C15" s="132" t="s">
        <v>266</v>
      </c>
      <c r="D15" s="133">
        <f>'Fuel Production'!C102</f>
        <v>0.6</v>
      </c>
      <c r="E15" s="128" t="s">
        <v>267</v>
      </c>
      <c r="F15" s="134">
        <f>'Fuel Production'!C96</f>
        <v>0.16900000000000001</v>
      </c>
      <c r="G15" s="124" t="s">
        <v>268</v>
      </c>
      <c r="H15" s="125">
        <f>FuelProd2!AS24</f>
        <v>3.9214603230494536</v>
      </c>
      <c r="I15" s="16"/>
    </row>
    <row r="16" spans="2:13" x14ac:dyDescent="0.25">
      <c r="C16" s="980" t="s">
        <v>269</v>
      </c>
      <c r="D16" s="981"/>
      <c r="E16" s="1006"/>
      <c r="F16" s="135">
        <f>'Fuel Production'!C58</f>
        <v>100</v>
      </c>
      <c r="G16" s="124" t="s">
        <v>270</v>
      </c>
      <c r="H16" s="125">
        <f>FuelProd2!AS25</f>
        <v>4.1756461460914691</v>
      </c>
      <c r="I16" s="16"/>
    </row>
    <row r="17" spans="3:9" x14ac:dyDescent="0.25">
      <c r="C17" s="980" t="s">
        <v>271</v>
      </c>
      <c r="D17" s="981"/>
      <c r="E17" s="981"/>
      <c r="F17" s="136">
        <f>'Fuel Production'!C59</f>
        <v>0.33</v>
      </c>
      <c r="G17" s="124" t="s">
        <v>272</v>
      </c>
      <c r="H17" s="125">
        <f>FuelProd2!AS26</f>
        <v>0</v>
      </c>
      <c r="I17" s="16"/>
    </row>
    <row r="18" spans="3:9" x14ac:dyDescent="0.25">
      <c r="C18" s="980" t="s">
        <v>273</v>
      </c>
      <c r="D18" s="981"/>
      <c r="E18" s="981"/>
      <c r="F18" s="137">
        <f>'Fuel Production'!C105</f>
        <v>5</v>
      </c>
      <c r="G18" s="124" t="s">
        <v>274</v>
      </c>
      <c r="H18" s="125">
        <f>FuelProd2!AS27</f>
        <v>10.317647259857246</v>
      </c>
      <c r="I18" s="16"/>
    </row>
    <row r="19" spans="3:9" x14ac:dyDescent="0.25">
      <c r="C19" s="980" t="s">
        <v>275</v>
      </c>
      <c r="D19" s="981"/>
      <c r="E19" s="981"/>
      <c r="F19" s="138">
        <f>'Fuel Production'!C200</f>
        <v>5</v>
      </c>
      <c r="G19" s="124" t="s">
        <v>276</v>
      </c>
      <c r="H19" s="125">
        <f>FuelProd2!AS28</f>
        <v>0.28966656745588526</v>
      </c>
      <c r="I19" s="16"/>
    </row>
    <row r="20" spans="3:9" x14ac:dyDescent="0.25">
      <c r="C20" s="36"/>
      <c r="D20" s="37"/>
      <c r="E20" s="37"/>
      <c r="F20" s="38"/>
      <c r="G20" s="124" t="s">
        <v>277</v>
      </c>
      <c r="H20" s="125">
        <f>FuelProd2!AS29</f>
        <v>7.2933020190902651</v>
      </c>
      <c r="I20" s="16"/>
    </row>
    <row r="21" spans="3:9" x14ac:dyDescent="0.25">
      <c r="C21" s="15"/>
      <c r="F21" s="16"/>
      <c r="G21" s="139" t="s">
        <v>278</v>
      </c>
      <c r="H21" s="125">
        <f>SUM(H11:H20)</f>
        <v>109.99999999999997</v>
      </c>
      <c r="I21" s="16"/>
    </row>
    <row r="22" spans="3:9" x14ac:dyDescent="0.25">
      <c r="C22" s="15"/>
      <c r="F22" s="16"/>
      <c r="G22" s="140" t="s">
        <v>279</v>
      </c>
      <c r="H22" s="141"/>
      <c r="I22" s="16"/>
    </row>
    <row r="23" spans="3:9" x14ac:dyDescent="0.25">
      <c r="C23" s="13"/>
      <c r="D23" s="11"/>
      <c r="E23" s="11"/>
      <c r="F23" s="14"/>
      <c r="G23" s="139" t="s">
        <v>280</v>
      </c>
      <c r="H23" s="125">
        <f>FuelProd2!AS32</f>
        <v>0</v>
      </c>
      <c r="I23" s="16"/>
    </row>
    <row r="24" spans="3:9" x14ac:dyDescent="0.25">
      <c r="C24" s="982" t="s">
        <v>281</v>
      </c>
      <c r="D24" s="983"/>
      <c r="E24" s="983"/>
      <c r="F24" s="984"/>
      <c r="G24" s="139" t="s">
        <v>278</v>
      </c>
      <c r="H24" s="142">
        <f>H23</f>
        <v>0</v>
      </c>
      <c r="I24" s="16"/>
    </row>
    <row r="25" spans="3:9" x14ac:dyDescent="0.25">
      <c r="C25" s="980" t="s">
        <v>282</v>
      </c>
      <c r="D25" s="981"/>
      <c r="E25" s="981"/>
      <c r="F25" s="138">
        <f>'Fuel Production'!C61</f>
        <v>43.744</v>
      </c>
      <c r="G25" s="128" t="s">
        <v>283</v>
      </c>
      <c r="H25" s="143">
        <f>H21+H24</f>
        <v>109.99999999999997</v>
      </c>
      <c r="I25" s="14"/>
    </row>
    <row r="26" spans="3:9" x14ac:dyDescent="0.25">
      <c r="H26" s="144"/>
    </row>
    <row r="27" spans="3:9" x14ac:dyDescent="0.25">
      <c r="C27" s="985" t="s">
        <v>284</v>
      </c>
      <c r="D27" s="986"/>
      <c r="E27" s="986"/>
      <c r="F27" s="986"/>
      <c r="G27" s="986"/>
      <c r="H27" s="986"/>
      <c r="I27" s="987"/>
    </row>
    <row r="28" spans="3:9" x14ac:dyDescent="0.25">
      <c r="C28" s="988" t="s">
        <v>285</v>
      </c>
      <c r="D28" s="989"/>
      <c r="E28" s="989"/>
      <c r="F28" s="989"/>
      <c r="G28" s="989"/>
      <c r="H28" s="989"/>
      <c r="I28" s="990"/>
    </row>
    <row r="29" spans="3:9" x14ac:dyDescent="0.25">
      <c r="C29" s="978" t="s">
        <v>144</v>
      </c>
      <c r="D29" s="991"/>
      <c r="E29" s="991"/>
      <c r="F29" s="991"/>
      <c r="G29" s="991"/>
      <c r="H29" s="979"/>
      <c r="I29" s="145" t="s">
        <v>145</v>
      </c>
    </row>
    <row r="30" spans="3:9" x14ac:dyDescent="0.25">
      <c r="C30" s="139" t="s">
        <v>286</v>
      </c>
      <c r="D30" s="139" t="s">
        <v>66</v>
      </c>
      <c r="E30" s="139" t="s">
        <v>68</v>
      </c>
      <c r="F30" s="139" t="s">
        <v>287</v>
      </c>
      <c r="G30" s="992" t="s">
        <v>288</v>
      </c>
      <c r="H30" s="993"/>
      <c r="I30" s="139" t="s">
        <v>289</v>
      </c>
    </row>
    <row r="31" spans="3:9" x14ac:dyDescent="0.25">
      <c r="C31" s="146" t="s">
        <v>290</v>
      </c>
      <c r="D31" s="147">
        <v>98.3</v>
      </c>
      <c r="E31" s="147">
        <f>10/1000</f>
        <v>0.01</v>
      </c>
      <c r="F31" s="147">
        <f>0.6/1000</f>
        <v>5.9999999999999995E-4</v>
      </c>
      <c r="G31" s="36" t="s">
        <v>66</v>
      </c>
      <c r="H31" s="137">
        <v>1</v>
      </c>
      <c r="I31" s="146">
        <f>D31+E31*H32+F31*H33</f>
        <v>98.728799999999993</v>
      </c>
    </row>
    <row r="32" spans="3:9" x14ac:dyDescent="0.25">
      <c r="C32" s="146" t="s">
        <v>291</v>
      </c>
      <c r="D32" s="147">
        <v>56.1</v>
      </c>
      <c r="E32" s="147">
        <f>5/1000</f>
        <v>5.0000000000000001E-3</v>
      </c>
      <c r="F32" s="147">
        <f>1.5/1000</f>
        <v>1.5E-3</v>
      </c>
      <c r="G32" s="15" t="s">
        <v>68</v>
      </c>
      <c r="H32" s="147">
        <v>25</v>
      </c>
      <c r="I32" s="146">
        <f>D32+E32*H32+F32*H33</f>
        <v>56.672000000000004</v>
      </c>
    </row>
    <row r="33" spans="3:9" x14ac:dyDescent="0.25">
      <c r="C33" s="148" t="s">
        <v>292</v>
      </c>
      <c r="D33" s="149">
        <v>74.099999999999994</v>
      </c>
      <c r="E33" s="149">
        <f>10/1000</f>
        <v>0.01</v>
      </c>
      <c r="F33" s="149">
        <f>0.1/1000</f>
        <v>1E-4</v>
      </c>
      <c r="G33" s="13" t="s">
        <v>287</v>
      </c>
      <c r="H33" s="149">
        <v>298</v>
      </c>
      <c r="I33" s="148">
        <f>D33+E33*H32+F33*H33</f>
        <v>74.379799999999989</v>
      </c>
    </row>
    <row r="35" spans="3:9" x14ac:dyDescent="0.25">
      <c r="C35" s="994" t="s">
        <v>293</v>
      </c>
      <c r="D35" s="995"/>
      <c r="E35" s="995"/>
      <c r="F35" s="995"/>
      <c r="G35" s="995"/>
      <c r="H35" s="995"/>
      <c r="I35" s="996"/>
    </row>
    <row r="36" spans="3:9" x14ac:dyDescent="0.25">
      <c r="C36" s="978" t="s">
        <v>144</v>
      </c>
      <c r="D36" s="991"/>
      <c r="E36" s="991"/>
      <c r="F36" s="991"/>
      <c r="G36" s="991"/>
      <c r="H36" s="991"/>
      <c r="I36" s="979"/>
    </row>
    <row r="37" spans="3:9" x14ac:dyDescent="0.25">
      <c r="C37" s="150"/>
      <c r="D37" s="151" t="s">
        <v>294</v>
      </c>
      <c r="E37" s="152"/>
      <c r="F37" s="982" t="s">
        <v>295</v>
      </c>
      <c r="G37" s="983"/>
      <c r="H37" s="983"/>
      <c r="I37" s="984"/>
    </row>
    <row r="38" spans="3:9" x14ac:dyDescent="0.25">
      <c r="C38" s="36" t="s">
        <v>296</v>
      </c>
      <c r="D38" s="153">
        <f>'Fuel Production'!C63</f>
        <v>21.388888888888889</v>
      </c>
      <c r="E38" s="146"/>
      <c r="F38" s="978" t="s">
        <v>297</v>
      </c>
      <c r="G38" s="979"/>
      <c r="H38" s="154" t="s">
        <v>298</v>
      </c>
      <c r="I38" s="155" t="s">
        <v>299</v>
      </c>
    </row>
    <row r="39" spans="3:9" x14ac:dyDescent="0.25">
      <c r="C39" s="15" t="s">
        <v>300</v>
      </c>
      <c r="D39" s="156">
        <v>72.61444444</v>
      </c>
      <c r="E39" s="146"/>
      <c r="F39" s="972" t="s">
        <v>175</v>
      </c>
      <c r="G39" s="973"/>
      <c r="H39" s="157">
        <v>1</v>
      </c>
      <c r="I39" s="157">
        <v>0.101516713107873</v>
      </c>
    </row>
    <row r="40" spans="3:9" x14ac:dyDescent="0.25">
      <c r="C40" s="15" t="s">
        <v>127</v>
      </c>
      <c r="D40" s="156">
        <v>107.2747222</v>
      </c>
      <c r="E40" s="146"/>
      <c r="F40" s="974" t="s">
        <v>290</v>
      </c>
      <c r="G40" s="975"/>
      <c r="H40" s="158">
        <v>0</v>
      </c>
      <c r="I40" s="158">
        <v>0.17272530624473473</v>
      </c>
    </row>
    <row r="41" spans="3:9" x14ac:dyDescent="0.25">
      <c r="C41" s="13" t="s">
        <v>301</v>
      </c>
      <c r="D41" s="159">
        <v>12.19444444</v>
      </c>
      <c r="E41" s="146"/>
      <c r="F41" s="974" t="s">
        <v>302</v>
      </c>
      <c r="G41" s="975"/>
      <c r="H41" s="158">
        <v>0</v>
      </c>
      <c r="I41" s="158">
        <v>0.71859727827415798</v>
      </c>
    </row>
    <row r="42" spans="3:9" x14ac:dyDescent="0.25">
      <c r="C42" s="160"/>
      <c r="D42" s="161"/>
      <c r="E42" s="162"/>
      <c r="F42" s="976" t="s">
        <v>303</v>
      </c>
      <c r="G42" s="977"/>
      <c r="H42" s="163">
        <v>0</v>
      </c>
      <c r="I42" s="163">
        <f>0.716070237323386%</f>
        <v>7.1607023732338602E-3</v>
      </c>
    </row>
    <row r="43" spans="3:9" x14ac:dyDescent="0.25">
      <c r="C43" s="164"/>
      <c r="D43" s="164"/>
      <c r="E43" s="164"/>
      <c r="F43" s="164"/>
      <c r="G43" s="164"/>
      <c r="H43" s="165"/>
    </row>
    <row r="44" spans="3:9" x14ac:dyDescent="0.25">
      <c r="C44" s="978" t="s">
        <v>304</v>
      </c>
      <c r="D44" s="979"/>
      <c r="E44" s="166" t="s">
        <v>128</v>
      </c>
      <c r="F44" s="164"/>
      <c r="G44" s="978" t="s">
        <v>305</v>
      </c>
      <c r="H44" s="979"/>
      <c r="I44" s="166" t="s">
        <v>298</v>
      </c>
    </row>
    <row r="45" spans="3:9" ht="15.75" thickBot="1" x14ac:dyDescent="0.3">
      <c r="C45" s="164"/>
      <c r="D45" s="164"/>
      <c r="E45" s="164"/>
      <c r="F45" s="164"/>
      <c r="G45" s="164"/>
      <c r="H45" s="165"/>
    </row>
    <row r="46" spans="3:9" ht="15.75" thickBot="1" x14ac:dyDescent="0.3">
      <c r="C46" s="968" t="s">
        <v>306</v>
      </c>
      <c r="D46" s="969"/>
      <c r="E46" s="969"/>
      <c r="F46" s="969"/>
      <c r="G46" s="969"/>
      <c r="H46" s="167">
        <f>IF(I44="Case 1",IF(E44="Finland",FuelProd2!AQ46,IF(E44="EU",FuelProd2!AU46,IF(E44="Netherlands",FuelProd2!AS46,IF(E44="Sweden",FuelProd2!AW46,0)))),IF(E44="Finland",FuelProd2!AR46,IF(E44="EU",FuelProd2!AV46,IF(E44="Netherlands",FuelProd2!AT46,IF(E44="Sweden",FuelProd2!AX46,0)))))</f>
        <v>7.7806086927807394</v>
      </c>
      <c r="I46" s="168" t="s">
        <v>167</v>
      </c>
    </row>
    <row r="47" spans="3:9" ht="18" x14ac:dyDescent="0.35">
      <c r="C47" s="971" t="s">
        <v>1495</v>
      </c>
      <c r="D47" s="971"/>
      <c r="E47" s="971"/>
      <c r="F47" s="971"/>
      <c r="G47" s="971"/>
      <c r="H47" s="971"/>
      <c r="I47" s="971"/>
    </row>
    <row r="48" spans="3:9" x14ac:dyDescent="0.25">
      <c r="H48" s="169"/>
    </row>
    <row r="49" spans="3:10" x14ac:dyDescent="0.25">
      <c r="H49" s="165"/>
    </row>
    <row r="50" spans="3:10" x14ac:dyDescent="0.25">
      <c r="C50" s="970" t="s">
        <v>1207</v>
      </c>
      <c r="D50" s="970"/>
      <c r="E50" s="970"/>
      <c r="F50" s="970"/>
      <c r="G50" s="970"/>
      <c r="H50" s="970"/>
      <c r="I50" s="970"/>
      <c r="J50" s="970"/>
    </row>
    <row r="51" spans="3:10" x14ac:dyDescent="0.25">
      <c r="C51" s="970"/>
      <c r="D51" s="970"/>
      <c r="E51" s="970"/>
      <c r="F51" s="970"/>
      <c r="G51" s="970"/>
      <c r="H51" s="970"/>
      <c r="I51" s="970"/>
      <c r="J51" s="970"/>
    </row>
    <row r="52" spans="3:10" x14ac:dyDescent="0.25">
      <c r="C52" s="967"/>
      <c r="D52" s="967"/>
      <c r="E52" s="967"/>
      <c r="F52" s="967"/>
      <c r="G52" s="967"/>
      <c r="H52" s="967"/>
      <c r="I52" s="967"/>
    </row>
    <row r="53" spans="3:10" x14ac:dyDescent="0.25">
      <c r="C53" s="966"/>
      <c r="D53" s="966"/>
      <c r="E53" s="966"/>
      <c r="F53" s="966"/>
      <c r="G53" s="966"/>
      <c r="H53" s="966"/>
      <c r="I53" s="966"/>
    </row>
    <row r="58" spans="3:10" x14ac:dyDescent="0.25">
      <c r="C58" s="967"/>
      <c r="D58" s="967"/>
      <c r="E58" s="967"/>
      <c r="F58" s="967"/>
      <c r="G58" s="967"/>
      <c r="H58" s="967"/>
      <c r="I58" s="967"/>
    </row>
    <row r="59" spans="3:10" x14ac:dyDescent="0.25">
      <c r="C59" s="966"/>
      <c r="D59" s="966"/>
      <c r="E59" s="966"/>
      <c r="F59" s="966"/>
      <c r="G59" s="966"/>
      <c r="H59" s="966"/>
      <c r="I59" s="966"/>
    </row>
    <row r="64" spans="3:10" x14ac:dyDescent="0.25">
      <c r="C64" s="967"/>
      <c r="D64" s="967"/>
      <c r="E64" s="967"/>
      <c r="F64" s="967"/>
      <c r="G64" s="967"/>
      <c r="H64" s="967"/>
      <c r="I64" s="967"/>
    </row>
    <row r="65" spans="3:13" x14ac:dyDescent="0.25">
      <c r="C65" s="966"/>
      <c r="D65" s="966"/>
      <c r="E65" s="966"/>
      <c r="F65" s="966"/>
      <c r="G65" s="966"/>
      <c r="H65" s="966"/>
      <c r="I65" s="966"/>
    </row>
    <row r="70" spans="3:13" x14ac:dyDescent="0.25">
      <c r="C70" s="967"/>
      <c r="D70" s="967"/>
      <c r="E70" s="967"/>
      <c r="F70" s="967"/>
      <c r="G70" s="967"/>
      <c r="H70" s="967"/>
      <c r="I70" s="967"/>
    </row>
    <row r="71" spans="3:13" x14ac:dyDescent="0.25">
      <c r="C71" s="966"/>
      <c r="D71" s="966"/>
      <c r="E71" s="966"/>
      <c r="F71" s="966"/>
      <c r="G71" s="966"/>
      <c r="H71" s="966"/>
      <c r="I71" s="966"/>
    </row>
    <row r="75" spans="3:13" x14ac:dyDescent="0.25">
      <c r="M75" s="170"/>
    </row>
    <row r="79" spans="3:13" x14ac:dyDescent="0.25">
      <c r="C79" s="967"/>
      <c r="D79" s="967"/>
      <c r="E79" s="967"/>
      <c r="F79" s="967"/>
      <c r="G79" s="967"/>
      <c r="H79" s="967"/>
      <c r="I79" s="967"/>
    </row>
    <row r="80" spans="3:13" x14ac:dyDescent="0.25">
      <c r="C80" s="966"/>
      <c r="D80" s="966"/>
      <c r="E80" s="966"/>
      <c r="F80" s="966"/>
      <c r="G80" s="966"/>
      <c r="H80" s="966"/>
      <c r="I80" s="966"/>
    </row>
    <row r="115" spans="2:2" x14ac:dyDescent="0.25">
      <c r="B115" s="1"/>
    </row>
  </sheetData>
  <mergeCells count="48">
    <mergeCell ref="C17:E17"/>
    <mergeCell ref="B5:K5"/>
    <mergeCell ref="C7:I7"/>
    <mergeCell ref="C8:F8"/>
    <mergeCell ref="G8:I8"/>
    <mergeCell ref="C9:F9"/>
    <mergeCell ref="G9:I9"/>
    <mergeCell ref="C10:D11"/>
    <mergeCell ref="E10:F11"/>
    <mergeCell ref="G10:H10"/>
    <mergeCell ref="I11:I12"/>
    <mergeCell ref="C16:E16"/>
    <mergeCell ref="F38:G38"/>
    <mergeCell ref="C18:E18"/>
    <mergeCell ref="C19:E19"/>
    <mergeCell ref="C24:F24"/>
    <mergeCell ref="C25:E25"/>
    <mergeCell ref="C27:I27"/>
    <mergeCell ref="C28:I28"/>
    <mergeCell ref="C29:H29"/>
    <mergeCell ref="G30:H30"/>
    <mergeCell ref="C35:I35"/>
    <mergeCell ref="C36:I36"/>
    <mergeCell ref="F37:I37"/>
    <mergeCell ref="F39:G39"/>
    <mergeCell ref="F40:G40"/>
    <mergeCell ref="F41:G41"/>
    <mergeCell ref="F42:G42"/>
    <mergeCell ref="C44:D44"/>
    <mergeCell ref="G44:H44"/>
    <mergeCell ref="C70:I70"/>
    <mergeCell ref="C46:G46"/>
    <mergeCell ref="C52:I52"/>
    <mergeCell ref="C53:F53"/>
    <mergeCell ref="G53:I53"/>
    <mergeCell ref="C58:I58"/>
    <mergeCell ref="C59:F59"/>
    <mergeCell ref="G59:I59"/>
    <mergeCell ref="C64:I64"/>
    <mergeCell ref="C65:F65"/>
    <mergeCell ref="G65:I65"/>
    <mergeCell ref="C50:J51"/>
    <mergeCell ref="C47:I47"/>
    <mergeCell ref="C71:F71"/>
    <mergeCell ref="G71:I71"/>
    <mergeCell ref="C79:I79"/>
    <mergeCell ref="C80:F80"/>
    <mergeCell ref="G80:I80"/>
  </mergeCells>
  <dataValidations count="2">
    <dataValidation type="list" allowBlank="1" showInputMessage="1" showErrorMessage="1" sqref="E44" xr:uid="{E856B684-C054-4061-B169-935ABBA8B062}">
      <formula1>"Finland, Netherlands, Sweden, EU"</formula1>
    </dataValidation>
    <dataValidation type="list" allowBlank="1" showInputMessage="1" showErrorMessage="1" sqref="I44" xr:uid="{77D3F324-D6B7-4C2B-BD2D-2A08F9B4CFC4}">
      <formula1>"Case 1, Case 2"</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CCF9-016F-4F50-ADC7-A912C9FB4085}">
  <dimension ref="B2:CH171"/>
  <sheetViews>
    <sheetView topLeftCell="AB1" zoomScaleNormal="100" workbookViewId="0">
      <selection activeCell="AK19" sqref="AK19"/>
    </sheetView>
  </sheetViews>
  <sheetFormatPr defaultRowHeight="15" x14ac:dyDescent="0.25"/>
  <cols>
    <col min="12" max="12" width="15.28515625" customWidth="1"/>
    <col min="13" max="15" width="10.28515625" customWidth="1"/>
    <col min="16" max="16" width="17.85546875" bestFit="1" customWidth="1"/>
    <col min="17" max="17" width="10.28515625" customWidth="1"/>
    <col min="18" max="18" width="14.7109375" customWidth="1"/>
    <col min="19" max="19" width="10.28515625" customWidth="1"/>
    <col min="20" max="20" width="12.28515625" customWidth="1"/>
    <col min="21" max="21" width="11.28515625" customWidth="1"/>
    <col min="22" max="22" width="10.28515625" customWidth="1"/>
    <col min="23" max="23" width="12.7109375" bestFit="1" customWidth="1"/>
    <col min="24" max="24" width="15.140625" customWidth="1"/>
    <col min="25" max="25" width="12.28515625" customWidth="1"/>
    <col min="26" max="26" width="24.5703125" customWidth="1"/>
    <col min="27" max="27" width="11.85546875" customWidth="1"/>
    <col min="28" max="28" width="12.28515625" bestFit="1" customWidth="1"/>
    <col min="29" max="29" width="12.42578125" customWidth="1"/>
    <col min="30" max="30" width="12.140625" customWidth="1"/>
    <col min="31" max="31" width="12.28515625" bestFit="1" customWidth="1"/>
    <col min="32" max="33" width="10.28515625" customWidth="1"/>
    <col min="34" max="34" width="12.7109375" customWidth="1"/>
    <col min="35" max="35" width="17.85546875" customWidth="1"/>
    <col min="36" max="36" width="13.5703125" customWidth="1"/>
    <col min="37" max="37" width="14.7109375" customWidth="1"/>
    <col min="38" max="38" width="11.7109375" customWidth="1"/>
    <col min="39" max="39" width="10.28515625" customWidth="1"/>
    <col min="40" max="40" width="12.140625" customWidth="1"/>
    <col min="41" max="43" width="10.28515625" customWidth="1"/>
    <col min="44" max="44" width="17.28515625" customWidth="1"/>
    <col min="45" max="45" width="12.42578125" customWidth="1"/>
    <col min="46" max="46" width="13.28515625" customWidth="1"/>
    <col min="47" max="47" width="19.85546875" customWidth="1"/>
    <col min="48" max="48" width="19.5703125" customWidth="1"/>
    <col min="49" max="49" width="20.42578125" customWidth="1"/>
    <col min="50" max="50" width="10.28515625" customWidth="1"/>
    <col min="51" max="51" width="9.7109375" bestFit="1" customWidth="1"/>
    <col min="52" max="52" width="14" bestFit="1" customWidth="1"/>
    <col min="55" max="55" width="9.42578125" bestFit="1" customWidth="1"/>
    <col min="56" max="56" width="10.42578125" bestFit="1" customWidth="1"/>
    <col min="61" max="61" width="10.140625" bestFit="1" customWidth="1"/>
    <col min="84" max="84" width="13" customWidth="1"/>
    <col min="85" max="85" width="13.28515625" customWidth="1"/>
  </cols>
  <sheetData>
    <row r="2" spans="2:59" ht="15.75" thickBot="1" x14ac:dyDescent="0.3"/>
    <row r="3" spans="2:59" ht="24" thickBot="1" x14ac:dyDescent="0.4">
      <c r="B3" s="1104" t="s">
        <v>307</v>
      </c>
      <c r="C3" s="1105"/>
      <c r="D3" s="1105"/>
      <c r="E3" s="1105"/>
      <c r="F3" s="1105"/>
      <c r="G3" s="1105"/>
      <c r="H3" s="1105"/>
      <c r="I3" s="1105"/>
      <c r="J3" s="1105"/>
      <c r="K3" s="1105"/>
      <c r="L3" s="1105"/>
      <c r="M3" s="1105"/>
      <c r="N3" s="1105"/>
      <c r="O3" s="1105"/>
      <c r="P3" s="1105"/>
      <c r="Q3" s="1105"/>
      <c r="R3" s="1105"/>
      <c r="S3" s="1105"/>
      <c r="T3" s="1105"/>
      <c r="U3" s="1105"/>
      <c r="V3" s="1105"/>
      <c r="W3" s="1105"/>
      <c r="X3" s="1105"/>
      <c r="Y3" s="1105"/>
      <c r="Z3" s="1105"/>
      <c r="AA3" s="1105"/>
      <c r="AB3" s="1105"/>
      <c r="AC3" s="1105"/>
      <c r="AD3" s="1105"/>
      <c r="AE3" s="1105"/>
      <c r="AF3" s="1105"/>
      <c r="AG3" s="1105"/>
      <c r="AH3" s="1105"/>
      <c r="AI3" s="1105"/>
      <c r="AJ3" s="1105"/>
      <c r="AK3" s="1105"/>
      <c r="AL3" s="1105"/>
      <c r="AM3" s="1105"/>
      <c r="AN3" s="1105"/>
      <c r="AO3" s="1105"/>
      <c r="AP3" s="1105"/>
      <c r="AQ3" s="1105"/>
      <c r="AR3" s="1105"/>
      <c r="AS3" s="1105"/>
      <c r="AT3" s="1105"/>
      <c r="AU3" s="1105"/>
      <c r="AV3" s="1105"/>
      <c r="AW3" s="1105"/>
      <c r="AX3" s="1105"/>
      <c r="AY3" s="1106"/>
    </row>
    <row r="4" spans="2:59" x14ac:dyDescent="0.25">
      <c r="B4" s="171"/>
      <c r="AY4" s="172"/>
      <c r="BA4" s="1107" t="s">
        <v>308</v>
      </c>
      <c r="BB4" s="1108"/>
      <c r="BC4" s="1108"/>
      <c r="BD4" s="1108"/>
      <c r="BE4" s="1108"/>
      <c r="BF4" s="1108"/>
      <c r="BG4" s="1109"/>
    </row>
    <row r="5" spans="2:59" ht="15.75" thickBot="1" x14ac:dyDescent="0.3">
      <c r="B5" s="171"/>
      <c r="AY5" s="172"/>
      <c r="BA5" s="173"/>
      <c r="BB5" s="174"/>
      <c r="BC5" s="1110" t="s">
        <v>309</v>
      </c>
      <c r="BD5" s="915"/>
      <c r="BE5" s="893" t="s">
        <v>310</v>
      </c>
      <c r="BF5" s="893"/>
      <c r="BG5" s="1111"/>
    </row>
    <row r="6" spans="2:59" ht="16.5" thickBot="1" x14ac:dyDescent="0.3">
      <c r="B6" s="171"/>
      <c r="Y6" s="1036">
        <v>2</v>
      </c>
      <c r="Z6" s="1112" t="s">
        <v>311</v>
      </c>
      <c r="AA6" s="1113"/>
      <c r="AB6" s="1113"/>
      <c r="AC6" s="1113"/>
      <c r="AD6" s="1113"/>
      <c r="AE6" s="1113"/>
      <c r="AF6" s="1114"/>
      <c r="AI6" s="1115" t="s">
        <v>271</v>
      </c>
      <c r="AJ6" s="1116"/>
      <c r="AK6" s="175">
        <f>'Fuel Production'!C59</f>
        <v>0.33</v>
      </c>
      <c r="AQ6" s="1117" t="s">
        <v>312</v>
      </c>
      <c r="AR6" s="1118"/>
      <c r="AS6" s="1118"/>
      <c r="AT6" s="1118"/>
      <c r="AU6" s="1118"/>
      <c r="AV6" s="1118"/>
      <c r="AW6" s="1119"/>
      <c r="AX6" s="1120"/>
      <c r="AY6" s="172"/>
      <c r="BA6" s="176" t="s">
        <v>313</v>
      </c>
      <c r="BB6" s="177" t="s">
        <v>314</v>
      </c>
      <c r="BC6" s="177" t="s">
        <v>315</v>
      </c>
      <c r="BD6" s="177" t="s">
        <v>316</v>
      </c>
      <c r="BE6" s="893" t="s">
        <v>317</v>
      </c>
      <c r="BF6" s="893"/>
      <c r="BG6" s="1111"/>
    </row>
    <row r="7" spans="2:59" ht="16.5" thickBot="1" x14ac:dyDescent="0.3">
      <c r="B7" s="171"/>
      <c r="K7" s="1036">
        <v>1</v>
      </c>
      <c r="L7" s="1050" t="s">
        <v>318</v>
      </c>
      <c r="M7" s="1126"/>
      <c r="N7" s="1126"/>
      <c r="O7" s="1126"/>
      <c r="P7" s="1126"/>
      <c r="Q7" s="1051"/>
      <c r="Y7" s="1037"/>
      <c r="Z7" s="1127" t="s">
        <v>319</v>
      </c>
      <c r="AA7" s="1128"/>
      <c r="AB7" s="1129"/>
      <c r="AC7" s="1130"/>
      <c r="AD7" s="1131" t="s">
        <v>320</v>
      </c>
      <c r="AE7" s="1132"/>
      <c r="AF7" s="1133"/>
      <c r="AQ7" s="1047" t="s">
        <v>144</v>
      </c>
      <c r="AR7" s="991"/>
      <c r="AS7" s="991"/>
      <c r="AT7" s="991"/>
      <c r="AU7" s="991"/>
      <c r="AV7" s="979"/>
      <c r="AW7" s="1134"/>
      <c r="AX7" s="1135"/>
      <c r="AY7" s="172"/>
      <c r="BA7" s="178" t="s">
        <v>258</v>
      </c>
      <c r="BB7" s="179" t="s">
        <v>321</v>
      </c>
      <c r="BC7" s="179">
        <v>256.39999999999998</v>
      </c>
      <c r="BD7" s="180">
        <v>807.3</v>
      </c>
      <c r="BE7" s="1123">
        <f>FuelProd1!D12</f>
        <v>6.5000000000000002E-2</v>
      </c>
      <c r="BF7" s="1124"/>
      <c r="BG7" s="1125"/>
    </row>
    <row r="8" spans="2:59" ht="15.75" thickBot="1" x14ac:dyDescent="0.3">
      <c r="B8" s="171"/>
      <c r="K8" s="1037"/>
      <c r="L8" s="1044" t="s">
        <v>319</v>
      </c>
      <c r="M8" s="892"/>
      <c r="N8" s="892"/>
      <c r="O8" s="892" t="s">
        <v>320</v>
      </c>
      <c r="P8" s="892"/>
      <c r="Q8" s="1045"/>
      <c r="Y8" s="181" t="s">
        <v>180</v>
      </c>
      <c r="Z8" s="182" t="s">
        <v>322</v>
      </c>
      <c r="AA8" s="183" t="s">
        <v>323</v>
      </c>
      <c r="AB8" s="145" t="s">
        <v>324</v>
      </c>
      <c r="AC8" s="145" t="s">
        <v>325</v>
      </c>
      <c r="AD8" s="184"/>
      <c r="AE8" s="185" t="s">
        <v>323</v>
      </c>
      <c r="AF8" s="186" t="s">
        <v>326</v>
      </c>
      <c r="AQ8" s="1047" t="s">
        <v>145</v>
      </c>
      <c r="AR8" s="991"/>
      <c r="AS8" s="991"/>
      <c r="AT8" s="991"/>
      <c r="AU8" s="991"/>
      <c r="AV8" s="979"/>
      <c r="AW8" s="1121"/>
      <c r="AX8" s="1122"/>
      <c r="AY8" s="172"/>
      <c r="BA8" s="178" t="s">
        <v>261</v>
      </c>
      <c r="BB8" s="179" t="s">
        <v>327</v>
      </c>
      <c r="BC8" s="179">
        <v>284.5</v>
      </c>
      <c r="BD8" s="180">
        <v>891.5</v>
      </c>
      <c r="BE8" s="1123">
        <f>FuelProd1!D13</f>
        <v>5.7999999999999996E-2</v>
      </c>
      <c r="BF8" s="1124"/>
      <c r="BG8" s="1125"/>
    </row>
    <row r="9" spans="2:59" ht="15.75" thickBot="1" x14ac:dyDescent="0.3">
      <c r="B9" s="171"/>
      <c r="K9" s="187" t="s">
        <v>180</v>
      </c>
      <c r="L9" s="188" t="s">
        <v>322</v>
      </c>
      <c r="M9" s="145" t="s">
        <v>323</v>
      </c>
      <c r="N9" s="145" t="s">
        <v>326</v>
      </c>
      <c r="O9" s="145"/>
      <c r="P9" s="145" t="s">
        <v>323</v>
      </c>
      <c r="Q9" s="189" t="s">
        <v>326</v>
      </c>
      <c r="Y9" s="190">
        <v>1</v>
      </c>
      <c r="Z9" s="191" t="s">
        <v>259</v>
      </c>
      <c r="AA9" s="192">
        <f>M10</f>
        <v>79.099999999999994</v>
      </c>
      <c r="AB9" s="193"/>
      <c r="AC9" s="194">
        <f>AA9/AA20</f>
        <v>0.79099999999999993</v>
      </c>
      <c r="AD9" s="195" t="s">
        <v>328</v>
      </c>
      <c r="AE9" s="196">
        <f>AF9*AA20</f>
        <v>11.690000000000001</v>
      </c>
      <c r="AF9" s="197">
        <v>0.1169</v>
      </c>
      <c r="AQ9" s="1047" t="s">
        <v>329</v>
      </c>
      <c r="AR9" s="991"/>
      <c r="AS9" s="991"/>
      <c r="AT9" s="991"/>
      <c r="AU9" s="991"/>
      <c r="AV9" s="979"/>
      <c r="AW9" s="1146"/>
      <c r="AX9" s="1147"/>
      <c r="AY9" s="172"/>
      <c r="BA9" s="178" t="s">
        <v>263</v>
      </c>
      <c r="BB9" s="179" t="s">
        <v>330</v>
      </c>
      <c r="BC9" s="179">
        <v>282.5</v>
      </c>
      <c r="BD9" s="180">
        <v>885.4</v>
      </c>
      <c r="BE9" s="1123">
        <f>FuelProd1!D14</f>
        <v>0.27</v>
      </c>
      <c r="BF9" s="1124"/>
      <c r="BG9" s="1125"/>
    </row>
    <row r="10" spans="2:59" ht="16.5" thickBot="1" x14ac:dyDescent="0.3">
      <c r="B10" s="171"/>
      <c r="K10" s="198">
        <v>2.1</v>
      </c>
      <c r="L10" s="155" t="s">
        <v>259</v>
      </c>
      <c r="M10" s="199">
        <f>N10*M19</f>
        <v>79.099999999999994</v>
      </c>
      <c r="N10" s="200">
        <f>FuelProd1!F12</f>
        <v>0.79099999999999993</v>
      </c>
      <c r="O10" s="139" t="s">
        <v>328</v>
      </c>
      <c r="P10" s="196">
        <f>Q10*M19</f>
        <v>11.690000000000001</v>
      </c>
      <c r="Q10" s="201">
        <v>0.1169</v>
      </c>
      <c r="U10" s="1015" t="s">
        <v>331</v>
      </c>
      <c r="V10" s="1136"/>
      <c r="Y10" s="198">
        <v>2.1</v>
      </c>
      <c r="Z10" s="202" t="s">
        <v>332</v>
      </c>
      <c r="AA10" s="203">
        <f>(BE9+BE8)*AA9</f>
        <v>25.944800000000001</v>
      </c>
      <c r="AB10" s="204">
        <f>AA10/AA9</f>
        <v>0.32800000000000001</v>
      </c>
      <c r="AC10" s="197">
        <f>AA10/AA9</f>
        <v>0.32800000000000001</v>
      </c>
      <c r="AD10" s="195" t="s">
        <v>333</v>
      </c>
      <c r="AE10" s="196">
        <f>AF10*AA20</f>
        <v>77.91</v>
      </c>
      <c r="AF10" s="201">
        <v>0.77910000000000001</v>
      </c>
      <c r="AJ10" t="s">
        <v>62</v>
      </c>
      <c r="AK10" t="s">
        <v>661</v>
      </c>
      <c r="AQ10" s="1137" t="s">
        <v>334</v>
      </c>
      <c r="AR10" s="1138"/>
      <c r="AS10" s="1138"/>
      <c r="AT10" s="1138"/>
      <c r="AU10" s="1138"/>
      <c r="AV10" s="1139"/>
      <c r="AW10" s="1140"/>
      <c r="AX10" s="1141"/>
      <c r="AY10" s="172"/>
      <c r="BA10" s="205" t="s">
        <v>266</v>
      </c>
      <c r="BB10" s="206" t="s">
        <v>335</v>
      </c>
      <c r="BC10" s="206">
        <v>280.39999999999998</v>
      </c>
      <c r="BD10" s="207">
        <v>879.4</v>
      </c>
      <c r="BE10" s="1142">
        <f>FuelProd1!D15</f>
        <v>0.6</v>
      </c>
      <c r="BF10" s="1143"/>
      <c r="BG10" s="1144"/>
    </row>
    <row r="11" spans="2:59" ht="16.5" thickBot="1" x14ac:dyDescent="0.3">
      <c r="B11" s="171"/>
      <c r="K11" s="208"/>
      <c r="L11" s="209"/>
      <c r="M11" s="210"/>
      <c r="N11" s="145"/>
      <c r="O11" s="139" t="s">
        <v>333</v>
      </c>
      <c r="P11" s="196">
        <f>Q11*M19</f>
        <v>77.91</v>
      </c>
      <c r="Q11" s="201">
        <v>0.77910000000000001</v>
      </c>
      <c r="U11" s="211" t="s">
        <v>336</v>
      </c>
      <c r="V11" s="212">
        <f>V13*(1/AK6)</f>
        <v>48173.456060606048</v>
      </c>
      <c r="Y11" s="198">
        <v>2.1</v>
      </c>
      <c r="Z11" s="209" t="s">
        <v>337</v>
      </c>
      <c r="AA11" s="213">
        <f>BE7*AA9</f>
        <v>5.1414999999999997</v>
      </c>
      <c r="AB11" s="204">
        <f>AA11/AA9</f>
        <v>6.5000000000000002E-2</v>
      </c>
      <c r="AC11" s="201">
        <f>AA11/AA9</f>
        <v>6.5000000000000002E-2</v>
      </c>
      <c r="AD11" s="195" t="s">
        <v>338</v>
      </c>
      <c r="AE11" s="196">
        <f>AF11*AA20</f>
        <v>0.04</v>
      </c>
      <c r="AF11" s="201">
        <v>4.0000000000000002E-4</v>
      </c>
      <c r="AI11" t="s">
        <v>328</v>
      </c>
      <c r="AJ11" s="370">
        <f>AE9</f>
        <v>11.690000000000001</v>
      </c>
      <c r="AK11">
        <f>AJ11/0.001</f>
        <v>11690.000000000002</v>
      </c>
      <c r="AQ11" s="1047" t="s">
        <v>339</v>
      </c>
      <c r="AR11" s="991"/>
      <c r="AS11" s="991"/>
      <c r="AT11" s="991"/>
      <c r="AU11" s="991"/>
      <c r="AV11" s="979"/>
      <c r="AW11" s="1087"/>
      <c r="AX11" s="1088"/>
      <c r="AY11" s="172"/>
      <c r="BE11" s="1145">
        <f>SUM(BE7:BG10)</f>
        <v>0.99299999999999999</v>
      </c>
      <c r="BF11" s="1145"/>
      <c r="BG11" s="1145"/>
    </row>
    <row r="12" spans="2:59" ht="16.5" thickBot="1" x14ac:dyDescent="0.3">
      <c r="B12" s="171"/>
      <c r="K12" s="214"/>
      <c r="L12" s="209"/>
      <c r="M12" s="210"/>
      <c r="N12" s="145"/>
      <c r="O12" s="139" t="s">
        <v>338</v>
      </c>
      <c r="P12" s="196">
        <f>Q12*M19</f>
        <v>0.04</v>
      </c>
      <c r="Q12" s="201">
        <v>4.0000000000000002E-4</v>
      </c>
      <c r="T12" s="215" t="s">
        <v>180</v>
      </c>
      <c r="U12" s="1048" t="s">
        <v>340</v>
      </c>
      <c r="V12" s="1098"/>
      <c r="Y12" s="198">
        <v>2.1</v>
      </c>
      <c r="Z12" s="216" t="s">
        <v>341</v>
      </c>
      <c r="AA12" s="213">
        <f>BE10*AA9</f>
        <v>47.459999999999994</v>
      </c>
      <c r="AB12" s="204">
        <f>AA12/AA9</f>
        <v>0.6</v>
      </c>
      <c r="AC12" s="201">
        <f>AA12/AA9</f>
        <v>0.6</v>
      </c>
      <c r="AD12" s="195" t="s">
        <v>342</v>
      </c>
      <c r="AE12" s="196">
        <f>AF12*AA20</f>
        <v>10.36</v>
      </c>
      <c r="AF12" s="201">
        <v>0.1036</v>
      </c>
      <c r="AI12" t="s">
        <v>333</v>
      </c>
      <c r="AJ12" s="370">
        <f>AE10</f>
        <v>77.91</v>
      </c>
      <c r="AK12">
        <f>AJ12/0.012</f>
        <v>6492.5</v>
      </c>
      <c r="AQ12" s="1047" t="s">
        <v>343</v>
      </c>
      <c r="AR12" s="991"/>
      <c r="AS12" s="991"/>
      <c r="AT12" s="991"/>
      <c r="AU12" s="991"/>
      <c r="AV12" s="979"/>
      <c r="AW12" s="1099"/>
      <c r="AX12" s="1100"/>
      <c r="AY12" s="172"/>
    </row>
    <row r="13" spans="2:59" ht="15.75" thickBot="1" x14ac:dyDescent="0.3">
      <c r="B13" s="171"/>
      <c r="K13" s="214"/>
      <c r="L13" s="209"/>
      <c r="M13" s="210"/>
      <c r="N13" s="145"/>
      <c r="O13" s="139" t="s">
        <v>342</v>
      </c>
      <c r="P13" s="196">
        <f>Q13*M19</f>
        <v>10.36</v>
      </c>
      <c r="Q13" s="201">
        <v>0.1036</v>
      </c>
      <c r="T13" s="217">
        <v>1</v>
      </c>
      <c r="U13" s="218" t="s">
        <v>336</v>
      </c>
      <c r="V13" s="775">
        <f>FuelProd3!BG36</f>
        <v>15897.240499999996</v>
      </c>
      <c r="Y13" s="214"/>
      <c r="Z13" s="219" t="s">
        <v>278</v>
      </c>
      <c r="AA13" s="220">
        <f>SUM(AA10:AA12)</f>
        <v>78.546300000000002</v>
      </c>
      <c r="AB13" s="204">
        <f>AA13/AA9</f>
        <v>0.9930000000000001</v>
      </c>
      <c r="AC13" s="221">
        <f>AA13/AA9</f>
        <v>0.9930000000000001</v>
      </c>
      <c r="AD13" s="222" t="s">
        <v>344</v>
      </c>
      <c r="AE13" s="223">
        <v>0</v>
      </c>
      <c r="AF13" s="224">
        <v>0</v>
      </c>
      <c r="AI13" t="s">
        <v>342</v>
      </c>
      <c r="AJ13" s="370">
        <f>AE12</f>
        <v>10.36</v>
      </c>
      <c r="AK13">
        <f>AJ13/0.016</f>
        <v>647.5</v>
      </c>
      <c r="AQ13" s="1047" t="s">
        <v>345</v>
      </c>
      <c r="AR13" s="991"/>
      <c r="AS13" s="991"/>
      <c r="AT13" s="991"/>
      <c r="AU13" s="991"/>
      <c r="AV13" s="979"/>
      <c r="AW13" s="1101"/>
      <c r="AX13" s="1102"/>
      <c r="AY13" s="172"/>
      <c r="BA13" s="1089" t="s">
        <v>346</v>
      </c>
      <c r="BB13" s="1090"/>
      <c r="BC13" s="1090"/>
      <c r="BD13" s="1090"/>
      <c r="BE13" s="1103"/>
    </row>
    <row r="14" spans="2:59" ht="15.75" thickBot="1" x14ac:dyDescent="0.3">
      <c r="B14" s="171"/>
      <c r="K14" s="214"/>
      <c r="L14" s="216"/>
      <c r="M14" s="225"/>
      <c r="N14" s="139"/>
      <c r="O14" s="226" t="s">
        <v>344</v>
      </c>
      <c r="P14" s="227">
        <v>0</v>
      </c>
      <c r="Q14" s="228"/>
      <c r="Y14" s="214">
        <v>1</v>
      </c>
      <c r="Z14" s="229" t="s">
        <v>279</v>
      </c>
      <c r="AA14" s="230"/>
      <c r="AB14" s="231"/>
      <c r="AC14" s="168"/>
      <c r="AD14" s="232"/>
      <c r="AE14" s="139"/>
      <c r="AF14" s="233"/>
      <c r="AK14" t="s">
        <v>173</v>
      </c>
      <c r="AY14" s="172"/>
      <c r="BA14" s="234" t="s">
        <v>55</v>
      </c>
      <c r="BB14" s="1085" t="s">
        <v>347</v>
      </c>
      <c r="BC14" s="1085"/>
      <c r="BD14" s="1085"/>
      <c r="BE14" s="1080"/>
    </row>
    <row r="15" spans="2:59" ht="15.75" thickBot="1" x14ac:dyDescent="0.3">
      <c r="B15" s="171"/>
      <c r="K15" s="198">
        <v>2.1</v>
      </c>
      <c r="L15" s="155" t="s">
        <v>262</v>
      </c>
      <c r="M15" s="199">
        <f>N15*M19</f>
        <v>1.7999999999999998</v>
      </c>
      <c r="N15" s="200">
        <f>FuelProd1!F13</f>
        <v>1.7999999999999999E-2</v>
      </c>
      <c r="O15" s="139"/>
      <c r="P15" s="139"/>
      <c r="Q15" s="233"/>
      <c r="Y15" s="235"/>
      <c r="Z15" s="236" t="s">
        <v>259</v>
      </c>
      <c r="AA15" s="237">
        <f>AA9-AA13</f>
        <v>0.55369999999999209</v>
      </c>
      <c r="AB15" s="204">
        <f>AA15/AA19</f>
        <v>2.5809067899709246E-2</v>
      </c>
      <c r="AC15" s="197">
        <f>AA15/AA20</f>
        <v>5.5369999999999205E-3</v>
      </c>
      <c r="AD15" s="232"/>
      <c r="AE15" s="139"/>
      <c r="AF15" s="233"/>
      <c r="AI15" t="s">
        <v>1748</v>
      </c>
      <c r="AJ15">
        <f>AK11/AK12</f>
        <v>1.8005390835579518</v>
      </c>
      <c r="AL15">
        <f>AK12/AK13</f>
        <v>10.027027027027026</v>
      </c>
      <c r="AY15" s="172"/>
      <c r="BA15" s="234" t="s">
        <v>138</v>
      </c>
      <c r="BB15" s="1085" t="s">
        <v>348</v>
      </c>
      <c r="BC15" s="1085"/>
      <c r="BD15" s="1085"/>
      <c r="BE15" s="1080"/>
    </row>
    <row r="16" spans="2:59" ht="15.75" thickBot="1" x14ac:dyDescent="0.3">
      <c r="B16" s="171"/>
      <c r="K16" s="198">
        <v>2.1</v>
      </c>
      <c r="L16" s="155" t="s">
        <v>264</v>
      </c>
      <c r="M16" s="199">
        <f>N16*M19</f>
        <v>2.1999999999999997</v>
      </c>
      <c r="N16" s="200">
        <f>FuelProd1!F14</f>
        <v>2.1999999999999999E-2</v>
      </c>
      <c r="O16" s="139"/>
      <c r="P16" s="139"/>
      <c r="Q16" s="233"/>
      <c r="Y16" s="198">
        <v>2.1</v>
      </c>
      <c r="Z16" s="191" t="s">
        <v>262</v>
      </c>
      <c r="AA16" s="192">
        <f>M15</f>
        <v>1.7999999999999998</v>
      </c>
      <c r="AB16" s="204">
        <f>AA16/AA19</f>
        <v>8.390161137705851E-2</v>
      </c>
      <c r="AC16" s="194">
        <v>1.7999999999999999E-2</v>
      </c>
      <c r="AD16" s="232"/>
      <c r="AE16" s="139"/>
      <c r="AF16" s="233"/>
      <c r="AL16">
        <f>AK18/AJ18</f>
        <v>9.9730458221024262E-2</v>
      </c>
      <c r="AY16" s="172"/>
      <c r="BA16" s="238" t="s">
        <v>139</v>
      </c>
      <c r="BB16" s="1094" t="s">
        <v>349</v>
      </c>
      <c r="BC16" s="1094"/>
      <c r="BD16" s="1094"/>
      <c r="BE16" s="1076"/>
    </row>
    <row r="17" spans="2:78" ht="16.5" thickBot="1" x14ac:dyDescent="0.3">
      <c r="B17" s="171"/>
      <c r="K17" s="239">
        <v>2.1</v>
      </c>
      <c r="L17" s="155" t="s">
        <v>267</v>
      </c>
      <c r="M17" s="199">
        <f>N17*M19</f>
        <v>16.900000000000002</v>
      </c>
      <c r="N17" s="200">
        <f>FuelProd1!F15</f>
        <v>0.16900000000000001</v>
      </c>
      <c r="O17" s="139"/>
      <c r="P17" s="139"/>
      <c r="Q17" s="233"/>
      <c r="Y17" s="198">
        <v>2.1</v>
      </c>
      <c r="Z17" s="191" t="s">
        <v>264</v>
      </c>
      <c r="AA17" s="192">
        <f>M16</f>
        <v>2.1999999999999997</v>
      </c>
      <c r="AB17" s="204">
        <f>AA17/AA19</f>
        <v>0.10254641390529375</v>
      </c>
      <c r="AC17" s="194">
        <v>2.1999999999999999E-2</v>
      </c>
      <c r="AD17" s="232"/>
      <c r="AE17" s="139"/>
      <c r="AF17" s="233"/>
      <c r="AI17" t="s">
        <v>1750</v>
      </c>
      <c r="AJ17" t="s">
        <v>1751</v>
      </c>
      <c r="AK17" t="s">
        <v>342</v>
      </c>
      <c r="AQ17" s="1036">
        <v>10</v>
      </c>
      <c r="AR17" s="1095" t="s">
        <v>350</v>
      </c>
      <c r="AS17" s="1096"/>
      <c r="AT17" s="1096"/>
      <c r="AU17" s="1096"/>
      <c r="AV17" s="1096"/>
      <c r="AW17" s="1096"/>
      <c r="AX17" s="1097"/>
      <c r="AY17" s="172"/>
      <c r="BB17" s="240"/>
      <c r="BC17" s="240"/>
      <c r="BD17" s="240"/>
      <c r="BE17" s="240"/>
    </row>
    <row r="18" spans="2:78" ht="15.75" thickBot="1" x14ac:dyDescent="0.3">
      <c r="B18" s="171"/>
      <c r="L18" s="241"/>
      <c r="M18" s="226"/>
      <c r="N18" s="242"/>
      <c r="O18" s="139"/>
      <c r="P18" s="139"/>
      <c r="Q18" s="233"/>
      <c r="Y18" s="198">
        <v>2.1</v>
      </c>
      <c r="Z18" s="191" t="s">
        <v>267</v>
      </c>
      <c r="AA18" s="192">
        <f>M17</f>
        <v>16.900000000000002</v>
      </c>
      <c r="AB18" s="204">
        <f>AA18/AA19</f>
        <v>0.78774290681793846</v>
      </c>
      <c r="AC18" s="194">
        <v>0.16900000000000001</v>
      </c>
      <c r="AD18" s="241"/>
      <c r="AE18" s="226"/>
      <c r="AF18" s="243"/>
      <c r="AI18">
        <f>AK11/AK12</f>
        <v>1.8005390835579518</v>
      </c>
      <c r="AJ18">
        <v>1</v>
      </c>
      <c r="AK18">
        <f>AK13/AK12</f>
        <v>9.9730458221024262E-2</v>
      </c>
      <c r="AQ18" s="1037"/>
      <c r="AR18" s="1044" t="s">
        <v>319</v>
      </c>
      <c r="AS18" s="892"/>
      <c r="AT18" s="892"/>
      <c r="AV18" s="892" t="s">
        <v>320</v>
      </c>
      <c r="AW18" s="892"/>
      <c r="AX18" s="1045"/>
      <c r="AY18" s="172"/>
      <c r="BA18" s="244" t="s">
        <v>82</v>
      </c>
      <c r="BB18" s="245"/>
      <c r="BC18" s="245"/>
      <c r="BD18" s="245"/>
      <c r="BE18" s="245"/>
      <c r="BF18" s="245"/>
      <c r="BG18" s="245"/>
      <c r="BH18" s="245"/>
      <c r="BI18" s="245"/>
      <c r="BJ18" s="245"/>
      <c r="BK18" s="245"/>
      <c r="BL18" s="245"/>
      <c r="BM18" s="245"/>
      <c r="BN18" s="245"/>
      <c r="BO18" s="245"/>
      <c r="BP18" s="245"/>
      <c r="BQ18" s="245"/>
      <c r="BR18" s="245"/>
      <c r="BS18" s="245"/>
      <c r="BT18" s="245"/>
      <c r="BU18" s="245"/>
      <c r="BV18" s="245"/>
      <c r="BW18" s="245"/>
      <c r="BX18" s="245"/>
      <c r="BY18" s="246"/>
    </row>
    <row r="19" spans="2:78" ht="15.75" thickBot="1" x14ac:dyDescent="0.3">
      <c r="B19" s="171"/>
      <c r="L19" s="218" t="s">
        <v>278</v>
      </c>
      <c r="M19" s="247">
        <f>FuelProd1!F16</f>
        <v>100</v>
      </c>
      <c r="N19" s="248">
        <f>SUM(N10:N17)</f>
        <v>1</v>
      </c>
      <c r="O19" s="249" t="s">
        <v>278</v>
      </c>
      <c r="P19" s="249">
        <f>SUM(P10:P13)</f>
        <v>100</v>
      </c>
      <c r="Q19" s="250">
        <f>SUM(Q10:Q13)</f>
        <v>1</v>
      </c>
      <c r="Y19" s="251"/>
      <c r="Z19" s="16" t="s">
        <v>278</v>
      </c>
      <c r="AA19" s="144">
        <f>SUM(AA15:AA18)</f>
        <v>21.453699999999994</v>
      </c>
      <c r="AD19" s="241"/>
      <c r="AE19" s="226"/>
      <c r="AF19" s="243"/>
      <c r="AQ19" s="181" t="s">
        <v>180</v>
      </c>
      <c r="AR19" s="188" t="s">
        <v>322</v>
      </c>
      <c r="AS19" s="145" t="s">
        <v>323</v>
      </c>
      <c r="AT19" s="145" t="s">
        <v>324</v>
      </c>
      <c r="AU19" s="145" t="s">
        <v>325</v>
      </c>
      <c r="AV19" s="145"/>
      <c r="AW19" s="145" t="s">
        <v>323</v>
      </c>
      <c r="AX19" s="189" t="s">
        <v>326</v>
      </c>
      <c r="AY19" s="172"/>
      <c r="BA19" s="234" t="s">
        <v>55</v>
      </c>
      <c r="BB19" t="s">
        <v>351</v>
      </c>
      <c r="BY19" s="252"/>
    </row>
    <row r="20" spans="2:78" ht="15.75" thickBot="1" x14ac:dyDescent="0.3">
      <c r="B20" s="171"/>
      <c r="Y20" s="253"/>
      <c r="Z20" s="254" t="s">
        <v>352</v>
      </c>
      <c r="AA20" s="255">
        <f>AA13+AA19</f>
        <v>100</v>
      </c>
      <c r="AB20" s="256"/>
      <c r="AC20" s="250">
        <f>SUM(AC16:AC18)+AC9</f>
        <v>1</v>
      </c>
      <c r="AD20" s="218" t="s">
        <v>278</v>
      </c>
      <c r="AE20" s="249">
        <f>SUM(AE9:AE13)</f>
        <v>100</v>
      </c>
      <c r="AF20" s="250">
        <f>SUM(AF9:AF13)</f>
        <v>1</v>
      </c>
      <c r="AK20" s="257" t="s">
        <v>353</v>
      </c>
      <c r="AL20" s="245"/>
      <c r="AM20" s="246"/>
      <c r="AQ20" s="258">
        <v>1</v>
      </c>
      <c r="AR20" s="259" t="s">
        <v>354</v>
      </c>
      <c r="AS20" s="260">
        <f>M151</f>
        <v>29.680804781841001</v>
      </c>
      <c r="AT20" s="261">
        <f>AS20/AS30</f>
        <v>0.26982549801673644</v>
      </c>
      <c r="AU20" s="261">
        <f>AS20/AS34</f>
        <v>0.26982549801673644</v>
      </c>
      <c r="AV20" s="139" t="s">
        <v>328</v>
      </c>
      <c r="AW20" s="225">
        <f>Q146+T158+AC158+AL158+AN98+AV77+M115</f>
        <v>21.118565163029306</v>
      </c>
      <c r="AX20" s="201">
        <f>AW20/AW30</f>
        <v>0.21057115723778169</v>
      </c>
      <c r="AY20" s="172"/>
      <c r="BA20" s="234" t="s">
        <v>355</v>
      </c>
      <c r="BB20" s="1085" t="s">
        <v>356</v>
      </c>
      <c r="BC20" s="1085"/>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262"/>
    </row>
    <row r="21" spans="2:78" ht="19.5" thickBot="1" x14ac:dyDescent="0.4">
      <c r="B21" s="171"/>
      <c r="Y21" s="215" t="s">
        <v>180</v>
      </c>
      <c r="Z21" s="1013" t="s">
        <v>357</v>
      </c>
      <c r="AA21" s="1014"/>
      <c r="AB21" s="1015" t="s">
        <v>331</v>
      </c>
      <c r="AC21" s="1016"/>
      <c r="AH21" s="1052" t="s">
        <v>358</v>
      </c>
      <c r="AI21" s="1053"/>
      <c r="AK21" s="1052" t="s">
        <v>359</v>
      </c>
      <c r="AL21" s="1053"/>
      <c r="AM21" s="263"/>
      <c r="AQ21" s="258">
        <v>1</v>
      </c>
      <c r="AR21" s="259" t="s">
        <v>260</v>
      </c>
      <c r="AS21" s="260">
        <f>Q168</f>
        <v>47.741294483998971</v>
      </c>
      <c r="AT21" s="261">
        <f>AS21/AS30</f>
        <v>0.43401176803635438</v>
      </c>
      <c r="AU21" s="261">
        <f>AS21/AS34</f>
        <v>0.43401176803635438</v>
      </c>
      <c r="AV21" s="139" t="s">
        <v>333</v>
      </c>
      <c r="AW21" s="225">
        <f>Q147+T159+AC159+AL159+AN99+AV78+M116</f>
        <v>70.207817136791959</v>
      </c>
      <c r="AX21" s="201">
        <f>AW21/AW30</f>
        <v>0.70003530957271831</v>
      </c>
      <c r="AY21" s="172"/>
      <c r="BA21" s="234" t="s">
        <v>360</v>
      </c>
      <c r="BB21" s="1085" t="s">
        <v>361</v>
      </c>
      <c r="BC21" s="1085"/>
      <c r="BD21" s="1085"/>
      <c r="BE21" s="1085"/>
      <c r="BF21" s="1085"/>
      <c r="BG21" s="1085"/>
      <c r="BH21" s="1085"/>
      <c r="BI21" s="1085"/>
      <c r="BJ21" s="1085"/>
      <c r="BK21" s="1085"/>
      <c r="BL21" s="1085"/>
      <c r="BM21" s="1085"/>
      <c r="BN21" s="1085"/>
      <c r="BO21" s="1085"/>
      <c r="BP21" s="1085"/>
      <c r="BQ21" s="1085"/>
      <c r="BR21" s="1085"/>
      <c r="BS21" s="1085"/>
      <c r="BT21" s="1085"/>
      <c r="BU21" s="1085"/>
      <c r="BV21" s="1085"/>
      <c r="BW21" s="1085"/>
      <c r="BX21" s="1085"/>
      <c r="BY21" s="1080"/>
    </row>
    <row r="22" spans="2:78" ht="16.5" thickBot="1" x14ac:dyDescent="0.3">
      <c r="B22" s="171"/>
      <c r="Q22" s="1036" t="s">
        <v>362</v>
      </c>
      <c r="R22" s="1038" t="s">
        <v>363</v>
      </c>
      <c r="S22" s="1039"/>
      <c r="T22" s="1039"/>
      <c r="U22" s="1039"/>
      <c r="V22" s="1039"/>
      <c r="W22" s="1040"/>
      <c r="Y22" s="264"/>
      <c r="Z22" s="218" t="s">
        <v>336</v>
      </c>
      <c r="AA22" s="265">
        <f>FuelProd3!BN30</f>
        <v>83725.466633333315</v>
      </c>
      <c r="AB22" s="211" t="s">
        <v>336</v>
      </c>
      <c r="AC22" s="266">
        <f>AA22*(1/AK6)</f>
        <v>253713.53525252521</v>
      </c>
      <c r="AH22" s="218" t="s">
        <v>323</v>
      </c>
      <c r="AI22" s="265">
        <f>FuelProd1!F18</f>
        <v>5</v>
      </c>
      <c r="AK22" s="218" t="s">
        <v>323</v>
      </c>
      <c r="AL22" s="267"/>
      <c r="AM22" s="252"/>
      <c r="AQ22" s="258">
        <v>1</v>
      </c>
      <c r="AR22" s="259" t="s">
        <v>112</v>
      </c>
      <c r="AS22" s="260">
        <f>Z163</f>
        <v>6.5801784186156915</v>
      </c>
      <c r="AT22" s="261">
        <f>AS22/AS30</f>
        <v>5.9819803805597212E-2</v>
      </c>
      <c r="AU22" s="261">
        <f>AS22/AS34</f>
        <v>5.9819803805597212E-2</v>
      </c>
      <c r="AV22" s="139" t="s">
        <v>338</v>
      </c>
      <c r="AW22" s="225">
        <f>Q148+T160+AC160+AL160+AN100+AV79</f>
        <v>0</v>
      </c>
      <c r="AX22" s="201">
        <f>AW22/AW30</f>
        <v>0</v>
      </c>
      <c r="AY22" s="172"/>
      <c r="BA22" s="234" t="s">
        <v>364</v>
      </c>
      <c r="BB22" s="1085" t="s">
        <v>365</v>
      </c>
      <c r="BC22" s="1085"/>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0"/>
    </row>
    <row r="23" spans="2:78" ht="16.5" thickBot="1" x14ac:dyDescent="0.3">
      <c r="B23" s="171"/>
      <c r="Q23" s="1037"/>
      <c r="R23" s="1044" t="s">
        <v>319</v>
      </c>
      <c r="S23" s="892"/>
      <c r="T23" s="892"/>
      <c r="U23" s="892" t="s">
        <v>320</v>
      </c>
      <c r="V23" s="892"/>
      <c r="W23" s="1045"/>
      <c r="Z23" s="1009" t="s">
        <v>366</v>
      </c>
      <c r="AA23" s="1010"/>
      <c r="AK23" s="268"/>
      <c r="AM23" s="252"/>
      <c r="AQ23" s="258">
        <v>1</v>
      </c>
      <c r="AR23" s="259" t="s">
        <v>265</v>
      </c>
      <c r="AS23" s="269">
        <f>AI163</f>
        <v>0</v>
      </c>
      <c r="AT23" s="261">
        <f>AS23/AS30</f>
        <v>0</v>
      </c>
      <c r="AU23" s="261">
        <f>AS23/AS34</f>
        <v>0</v>
      </c>
      <c r="AV23" s="139" t="s">
        <v>342</v>
      </c>
      <c r="AW23" s="225">
        <f>Q149+T161+AC161+AL161+AN101+AV80</f>
        <v>8.9654403793016257</v>
      </c>
      <c r="AX23" s="201">
        <f>AW23/AW30</f>
        <v>8.9393533189500052E-2</v>
      </c>
      <c r="AY23" s="172"/>
      <c r="BA23" s="238" t="s">
        <v>367</v>
      </c>
      <c r="BB23" s="1094" t="s">
        <v>368</v>
      </c>
      <c r="BC23" s="1094"/>
      <c r="BD23" s="1094"/>
      <c r="BE23" s="1094"/>
      <c r="BF23" s="1094"/>
      <c r="BG23" s="1094"/>
      <c r="BH23" s="1094"/>
      <c r="BI23" s="1094"/>
      <c r="BJ23" s="1094"/>
      <c r="BK23" s="1094"/>
      <c r="BL23" s="1094"/>
      <c r="BM23" s="1094"/>
      <c r="BN23" s="1094"/>
      <c r="BO23" s="1094"/>
      <c r="BP23" s="1094"/>
      <c r="BQ23" s="1094"/>
      <c r="BR23" s="1094"/>
      <c r="BS23" s="1094"/>
      <c r="BT23" s="1094"/>
      <c r="BU23" s="1094"/>
      <c r="BV23" s="1094"/>
      <c r="BW23" s="1094"/>
      <c r="BX23" s="1094"/>
      <c r="BY23" s="1076"/>
    </row>
    <row r="24" spans="2:78" ht="15.75" thickBot="1" x14ac:dyDescent="0.3">
      <c r="B24" s="171"/>
      <c r="Q24" s="215" t="s">
        <v>180</v>
      </c>
      <c r="R24" s="270" t="s">
        <v>322</v>
      </c>
      <c r="S24" s="145" t="s">
        <v>323</v>
      </c>
      <c r="T24" s="145" t="s">
        <v>326</v>
      </c>
      <c r="U24" s="145"/>
      <c r="V24" s="145" t="s">
        <v>323</v>
      </c>
      <c r="W24" s="189" t="s">
        <v>326</v>
      </c>
      <c r="AK24" s="271" t="s">
        <v>369</v>
      </c>
      <c r="AL24" s="272"/>
      <c r="AM24" s="273"/>
      <c r="AQ24" s="258">
        <v>1</v>
      </c>
      <c r="AR24" s="274" t="s">
        <v>268</v>
      </c>
      <c r="AS24" s="260">
        <f>AS82</f>
        <v>3.9214603230494536</v>
      </c>
      <c r="AT24" s="261">
        <f>AS24/AS30</f>
        <v>3.5649639300449586E-2</v>
      </c>
      <c r="AU24" s="261">
        <f>AS24/AS34</f>
        <v>3.5649639300449586E-2</v>
      </c>
      <c r="AV24" s="226" t="s">
        <v>344</v>
      </c>
      <c r="AW24" s="225">
        <f>Q150+T162+AC162+AL162+AN102+AV81</f>
        <v>0</v>
      </c>
      <c r="AX24" s="201">
        <f>AW24/AW30</f>
        <v>0</v>
      </c>
      <c r="AY24" s="172"/>
    </row>
    <row r="25" spans="2:78" ht="15.75" thickBot="1" x14ac:dyDescent="0.3">
      <c r="B25" s="171"/>
      <c r="Q25" s="181"/>
      <c r="R25" s="155"/>
      <c r="S25" s="139"/>
      <c r="T25" s="139"/>
      <c r="U25" s="139" t="s">
        <v>328</v>
      </c>
      <c r="V25" s="139"/>
      <c r="W25" s="233"/>
      <c r="AQ25" s="258">
        <v>1</v>
      </c>
      <c r="AR25" s="259" t="s">
        <v>270</v>
      </c>
      <c r="AS25" s="260">
        <f>AJ98</f>
        <v>4.1756461460914691</v>
      </c>
      <c r="AT25" s="261">
        <f>AS25/AS30</f>
        <v>3.7960419509922454E-2</v>
      </c>
      <c r="AU25" s="261">
        <f>AS25/AS34</f>
        <v>3.7960419509922454E-2</v>
      </c>
      <c r="AV25" s="139"/>
      <c r="AW25" s="139"/>
      <c r="AX25" s="233"/>
      <c r="AY25" s="172"/>
      <c r="BA25" s="1089" t="s">
        <v>137</v>
      </c>
      <c r="BB25" s="1090"/>
      <c r="BC25" s="1090"/>
      <c r="BD25" s="1090"/>
      <c r="BE25" s="1090"/>
      <c r="BF25" s="1090"/>
      <c r="BG25" s="1090"/>
      <c r="BH25" s="1090"/>
      <c r="BI25" s="1090"/>
      <c r="BJ25" s="1090"/>
      <c r="BK25" s="1090"/>
      <c r="BL25" s="1090"/>
      <c r="BM25" s="245"/>
      <c r="BN25" s="245"/>
      <c r="BO25" s="245"/>
      <c r="BP25" s="245"/>
      <c r="BQ25" s="245"/>
      <c r="BR25" s="245"/>
      <c r="BS25" s="245"/>
      <c r="BT25" s="245"/>
      <c r="BU25" s="245"/>
      <c r="BV25" s="245"/>
      <c r="BW25" s="245"/>
      <c r="BX25" s="245"/>
      <c r="BY25" s="245"/>
      <c r="BZ25" s="246"/>
    </row>
    <row r="26" spans="2:78" ht="15.75" thickBot="1" x14ac:dyDescent="0.3">
      <c r="B26" s="171"/>
      <c r="Q26" s="214"/>
      <c r="R26" s="155"/>
      <c r="S26" s="139"/>
      <c r="T26" s="139"/>
      <c r="U26" s="139" t="s">
        <v>333</v>
      </c>
      <c r="V26" s="139"/>
      <c r="W26" s="233"/>
      <c r="AE26" s="1062" t="s">
        <v>370</v>
      </c>
      <c r="AF26" s="1063"/>
      <c r="AQ26" s="258">
        <v>1</v>
      </c>
      <c r="AR26" s="274" t="s">
        <v>272</v>
      </c>
      <c r="AS26" s="260">
        <f>AJ99+D141</f>
        <v>0</v>
      </c>
      <c r="AT26" s="261">
        <f>AS26/AS30</f>
        <v>0</v>
      </c>
      <c r="AU26" s="261">
        <f>AS26/AS34</f>
        <v>0</v>
      </c>
      <c r="AV26" s="139"/>
      <c r="AW26" s="139"/>
      <c r="AX26" s="233"/>
      <c r="AY26" s="172"/>
      <c r="BA26" s="275" t="s">
        <v>371</v>
      </c>
      <c r="BB26" s="1085" t="s">
        <v>372</v>
      </c>
      <c r="BC26" s="1085"/>
      <c r="BD26" s="1085"/>
      <c r="BE26" s="1085"/>
      <c r="BF26" s="1085"/>
      <c r="BG26" s="1085"/>
      <c r="BH26" s="1085"/>
      <c r="BI26" s="1085"/>
      <c r="BJ26" s="1085"/>
      <c r="BK26" s="1085"/>
      <c r="BL26" s="1085"/>
      <c r="BM26" s="1085"/>
      <c r="BN26" s="1085"/>
      <c r="BO26" s="1085"/>
      <c r="BP26" s="1085"/>
      <c r="BZ26" s="252"/>
    </row>
    <row r="27" spans="2:78" ht="15.75" x14ac:dyDescent="0.25">
      <c r="B27" s="171"/>
      <c r="Q27" s="214"/>
      <c r="R27" s="155"/>
      <c r="S27" s="139"/>
      <c r="T27" s="139"/>
      <c r="U27" s="139" t="s">
        <v>338</v>
      </c>
      <c r="V27" s="139"/>
      <c r="W27" s="233"/>
      <c r="Y27" s="1036">
        <v>3</v>
      </c>
      <c r="Z27" s="1091" t="s">
        <v>373</v>
      </c>
      <c r="AA27" s="1092"/>
      <c r="AB27" s="1092"/>
      <c r="AC27" s="1092"/>
      <c r="AD27" s="1092"/>
      <c r="AE27" s="1092"/>
      <c r="AF27" s="1093"/>
      <c r="AQ27" s="258">
        <v>1</v>
      </c>
      <c r="AR27" s="259" t="s">
        <v>274</v>
      </c>
      <c r="AS27" s="260">
        <f>AJ101</f>
        <v>10.317647259857246</v>
      </c>
      <c r="AT27" s="261">
        <f>AS27/AS30</f>
        <v>9.3796793271429535E-2</v>
      </c>
      <c r="AU27" s="261">
        <f>AS27/AS34</f>
        <v>9.3796793271429535E-2</v>
      </c>
      <c r="AV27" s="139"/>
      <c r="AW27" s="139"/>
      <c r="AX27" s="233"/>
      <c r="AY27" s="172"/>
      <c r="BA27" s="276"/>
      <c r="BB27" s="1085" t="s">
        <v>374</v>
      </c>
      <c r="BC27" s="1085"/>
      <c r="BD27" s="1085"/>
      <c r="BE27" s="1085"/>
      <c r="BF27" s="1085"/>
      <c r="BG27" s="1085"/>
      <c r="BH27" s="1085"/>
      <c r="BI27" s="1085"/>
      <c r="BJ27" s="1085"/>
      <c r="BK27" s="1085"/>
      <c r="BL27" s="1085"/>
      <c r="BM27" s="1085"/>
      <c r="BN27" s="1085"/>
      <c r="BO27" s="1085"/>
      <c r="BP27" s="1085"/>
      <c r="BZ27" s="252"/>
    </row>
    <row r="28" spans="2:78" ht="15.75" thickBot="1" x14ac:dyDescent="0.3">
      <c r="B28" s="171"/>
      <c r="Q28" s="214"/>
      <c r="R28" s="155"/>
      <c r="S28" s="139"/>
      <c r="T28" s="139"/>
      <c r="U28" s="139" t="s">
        <v>342</v>
      </c>
      <c r="V28" s="139"/>
      <c r="W28" s="233"/>
      <c r="Y28" s="1037"/>
      <c r="Z28" s="1044" t="s">
        <v>319</v>
      </c>
      <c r="AA28" s="892"/>
      <c r="AB28" s="892"/>
      <c r="AC28" s="892"/>
      <c r="AD28" s="892" t="s">
        <v>320</v>
      </c>
      <c r="AE28" s="892"/>
      <c r="AF28" s="1045"/>
      <c r="AQ28" s="258">
        <v>1</v>
      </c>
      <c r="AR28" s="259" t="s">
        <v>276</v>
      </c>
      <c r="AS28" s="277">
        <f>AJ102</f>
        <v>0.28966656745588526</v>
      </c>
      <c r="AT28" s="261">
        <f>AS28/AS30</f>
        <v>2.6333324314171394E-3</v>
      </c>
      <c r="AU28" s="261">
        <f>AS28/AS34</f>
        <v>2.6333324314171394E-3</v>
      </c>
      <c r="AV28" s="139"/>
      <c r="AW28" s="139"/>
      <c r="AX28" s="233"/>
      <c r="AY28" s="172"/>
      <c r="BA28" s="276"/>
      <c r="BB28" s="1085" t="s">
        <v>375</v>
      </c>
      <c r="BC28" s="1085"/>
      <c r="BD28" s="1085"/>
      <c r="BE28" s="1085"/>
      <c r="BF28" s="1085"/>
      <c r="BG28" s="1085"/>
      <c r="BH28" s="1085"/>
      <c r="BI28" s="1085"/>
      <c r="BJ28" s="1085"/>
      <c r="BK28" s="1085"/>
      <c r="BL28" s="1085"/>
      <c r="BM28" s="1085"/>
      <c r="BN28" s="1085"/>
      <c r="BO28" s="1085"/>
      <c r="BP28" s="1085"/>
      <c r="BZ28" s="252"/>
    </row>
    <row r="29" spans="2:78" ht="15.75" thickBot="1" x14ac:dyDescent="0.3">
      <c r="B29" s="171"/>
      <c r="Q29" s="214"/>
      <c r="R29" s="38"/>
      <c r="S29" s="226"/>
      <c r="T29" s="226"/>
      <c r="U29" s="226" t="s">
        <v>344</v>
      </c>
      <c r="V29" s="226"/>
      <c r="W29" s="243"/>
      <c r="Y29" s="215" t="s">
        <v>180</v>
      </c>
      <c r="Z29" s="270" t="s">
        <v>322</v>
      </c>
      <c r="AA29" s="145" t="s">
        <v>323</v>
      </c>
      <c r="AB29" s="145" t="s">
        <v>324</v>
      </c>
      <c r="AC29" s="145" t="s">
        <v>325</v>
      </c>
      <c r="AD29" s="145"/>
      <c r="AE29" s="145" t="s">
        <v>323</v>
      </c>
      <c r="AF29" s="189" t="s">
        <v>326</v>
      </c>
      <c r="AQ29" s="278">
        <v>1</v>
      </c>
      <c r="AR29" s="279" t="s">
        <v>376</v>
      </c>
      <c r="AS29" s="260">
        <f>AJ100+H115</f>
        <v>7.2933020190902651</v>
      </c>
      <c r="AT29" s="261">
        <f>AS29/AS30</f>
        <v>6.6302745628093337E-2</v>
      </c>
      <c r="AU29" s="261">
        <f>AS29/AS34</f>
        <v>6.6302745628093337E-2</v>
      </c>
      <c r="AV29" s="139"/>
      <c r="AW29" s="139"/>
      <c r="AX29" s="233"/>
      <c r="AY29" s="172"/>
      <c r="BA29" s="276"/>
      <c r="BZ29" s="252"/>
    </row>
    <row r="30" spans="2:78" ht="15.75" thickBot="1" x14ac:dyDescent="0.3">
      <c r="B30" s="171"/>
      <c r="Q30" s="280"/>
      <c r="R30" s="254" t="s">
        <v>278</v>
      </c>
      <c r="S30" s="249"/>
      <c r="T30" s="249"/>
      <c r="U30" s="249" t="s">
        <v>278</v>
      </c>
      <c r="V30" s="249"/>
      <c r="W30" s="267"/>
      <c r="Y30" s="281">
        <v>1</v>
      </c>
      <c r="Z30" s="155" t="s">
        <v>270</v>
      </c>
      <c r="AA30" s="282">
        <f>FuelProd3!O14+FuelProd3!Y14+FuelProd3!AI14</f>
        <v>3.9504530220718319</v>
      </c>
      <c r="AB30" s="283">
        <f>AA30/AA36</f>
        <v>4.7284595751958286E-2</v>
      </c>
      <c r="AC30" s="201">
        <f>AA30/AA44</f>
        <v>3.7623362114969833E-2</v>
      </c>
      <c r="AD30" s="139" t="s">
        <v>328</v>
      </c>
      <c r="AE30" s="284">
        <f>FuelProd3!AV42</f>
        <v>13.867190468007504</v>
      </c>
      <c r="AF30" s="201">
        <f>AE30/AE36</f>
        <v>0.16598210175684028</v>
      </c>
      <c r="AQ30" s="214"/>
      <c r="AR30" s="38" t="s">
        <v>278</v>
      </c>
      <c r="AS30" s="285">
        <f>SUM(AS20:AS29)</f>
        <v>109.99999999999997</v>
      </c>
      <c r="AT30" s="242">
        <f>SUM(AT20:AT29)</f>
        <v>1.0000000000000002</v>
      </c>
      <c r="AU30" s="242">
        <f>AS30/AS34</f>
        <v>1</v>
      </c>
      <c r="AV30" s="226"/>
      <c r="AW30" s="286">
        <f>SUM(AW20:AW24)</f>
        <v>100.29182267912289</v>
      </c>
      <c r="AX30" s="228">
        <f>SUM(AX20:AX24)</f>
        <v>1</v>
      </c>
      <c r="AY30" s="172"/>
      <c r="BA30" s="275" t="s">
        <v>377</v>
      </c>
      <c r="BB30" s="1085" t="s">
        <v>378</v>
      </c>
      <c r="BC30" s="1085"/>
      <c r="BD30" s="1085"/>
      <c r="BE30" s="1085"/>
      <c r="BF30" s="1085"/>
      <c r="BG30" s="1085"/>
      <c r="BH30" s="1085"/>
      <c r="BI30" s="1085"/>
      <c r="BJ30" s="1085"/>
      <c r="BK30" s="1085"/>
      <c r="BL30" s="1085"/>
      <c r="BM30" s="1085"/>
      <c r="BN30" s="1085"/>
      <c r="BO30" s="1085"/>
      <c r="BP30" s="1085"/>
      <c r="BQ30" s="1085"/>
      <c r="BR30" s="1085"/>
      <c r="BS30" s="1085"/>
      <c r="BT30" s="1085"/>
    </row>
    <row r="31" spans="2:78" x14ac:dyDescent="0.25">
      <c r="B31" s="171"/>
      <c r="X31" s="319">
        <f>AA31/SUM(AA31:AA34)</f>
        <v>0.27794410240719358</v>
      </c>
      <c r="Y31" s="287">
        <v>1</v>
      </c>
      <c r="Z31" s="155" t="s">
        <v>379</v>
      </c>
      <c r="AA31" s="282">
        <f>FuelProd3!P14*(1-FuelProd3!F4)</f>
        <v>21.105096923076925</v>
      </c>
      <c r="AB31" s="283">
        <f>AA31/AA36</f>
        <v>0.25261557870398721</v>
      </c>
      <c r="AC31" s="201">
        <f>AA31/AA44</f>
        <v>0.20100092307692313</v>
      </c>
      <c r="AD31" s="139" t="s">
        <v>333</v>
      </c>
      <c r="AE31" s="284">
        <f>FuelProd3!AV43</f>
        <v>61.046050045756026</v>
      </c>
      <c r="AF31" s="201">
        <f>AE31/AE36</f>
        <v>0.73068526129530609</v>
      </c>
      <c r="AQ31" s="214"/>
      <c r="AR31" s="288" t="s">
        <v>279</v>
      </c>
      <c r="AS31" s="289"/>
      <c r="AT31" s="290"/>
      <c r="AU31" s="290"/>
      <c r="AV31" s="291"/>
      <c r="AW31" s="291"/>
      <c r="AX31" s="292"/>
      <c r="AY31" s="172"/>
      <c r="BA31" s="276"/>
      <c r="BB31" s="1086" t="s">
        <v>380</v>
      </c>
      <c r="BC31" s="1086"/>
      <c r="BD31" s="1086"/>
      <c r="BE31" s="1086"/>
      <c r="BF31" s="1086"/>
      <c r="BG31" s="1086"/>
      <c r="BH31" s="1086"/>
      <c r="BI31" s="1086"/>
      <c r="BJ31" s="1086"/>
      <c r="BK31" s="1086"/>
      <c r="BL31" s="1086"/>
      <c r="BM31" s="1086"/>
      <c r="BN31" s="1086"/>
      <c r="BO31" s="1086"/>
      <c r="BP31" s="1086"/>
      <c r="BQ31" s="1086"/>
      <c r="BR31" s="1086"/>
      <c r="BS31" s="1086"/>
    </row>
    <row r="32" spans="2:78" ht="15.75" thickBot="1" x14ac:dyDescent="0.3">
      <c r="B32" s="171"/>
      <c r="X32" s="319">
        <f>AA32/SUM(AA31:AA34)</f>
        <v>6.4518777642774458E-2</v>
      </c>
      <c r="Y32" s="287">
        <v>1</v>
      </c>
      <c r="Z32" s="155" t="s">
        <v>381</v>
      </c>
      <c r="AA32" s="282">
        <f>FuelProd3!AJ14</f>
        <v>4.8990967741935485</v>
      </c>
      <c r="AB32" s="283">
        <f>AA32/AA36</f>
        <v>5.863930268837219E-2</v>
      </c>
      <c r="AC32" s="201">
        <f>AA32/AA44</f>
        <v>4.6658064516129041E-2</v>
      </c>
      <c r="AD32" s="139" t="s">
        <v>338</v>
      </c>
      <c r="AE32" s="284">
        <f>FuelProd3!AV44</f>
        <v>0</v>
      </c>
      <c r="AF32" s="201">
        <f>AE32/AE36</f>
        <v>0</v>
      </c>
      <c r="AQ32" s="293">
        <v>1</v>
      </c>
      <c r="AR32" s="155" t="s">
        <v>280</v>
      </c>
      <c r="AS32" s="141">
        <f>AJ105</f>
        <v>0</v>
      </c>
      <c r="AT32" s="261"/>
      <c r="AU32" s="248">
        <f>AS33/AS34</f>
        <v>0</v>
      </c>
      <c r="AV32" s="139"/>
      <c r="AW32" s="139"/>
      <c r="AX32" s="233"/>
      <c r="AY32" s="172"/>
      <c r="BA32" s="276"/>
    </row>
    <row r="33" spans="2:71" ht="15.75" thickBot="1" x14ac:dyDescent="0.3">
      <c r="B33" s="171"/>
      <c r="X33" s="319">
        <f>AA33/SUM(AA31:AA34)</f>
        <v>0</v>
      </c>
      <c r="Y33" s="287">
        <v>1</v>
      </c>
      <c r="Z33" s="155" t="s">
        <v>382</v>
      </c>
      <c r="AA33" s="282">
        <v>0</v>
      </c>
      <c r="AB33" s="283">
        <f>AA33/AA36</f>
        <v>0</v>
      </c>
      <c r="AC33" s="201">
        <f>AA33/AA44</f>
        <v>0</v>
      </c>
      <c r="AD33" s="139" t="s">
        <v>342</v>
      </c>
      <c r="AE33" s="284">
        <f>FuelProd3!AV45</f>
        <v>8.6330594862364567</v>
      </c>
      <c r="AF33" s="201">
        <f>AE33/AE36</f>
        <v>0.10333263694785357</v>
      </c>
      <c r="AL33" s="144"/>
      <c r="AR33" s="294" t="s">
        <v>278</v>
      </c>
      <c r="AS33" s="295">
        <f>AS32</f>
        <v>0</v>
      </c>
      <c r="AT33" s="248"/>
      <c r="AU33" s="248"/>
      <c r="AV33" s="249"/>
      <c r="AW33" s="255"/>
      <c r="AX33" s="267"/>
      <c r="AY33" s="172"/>
      <c r="BA33" s="276"/>
      <c r="BB33" s="1085" t="s">
        <v>383</v>
      </c>
      <c r="BC33" s="1085"/>
      <c r="BD33" s="1085"/>
      <c r="BE33" s="1085"/>
      <c r="BF33" s="1085"/>
      <c r="BG33" s="1085"/>
      <c r="BH33" s="1085"/>
      <c r="BI33" s="1085"/>
      <c r="BJ33" s="1085"/>
      <c r="BK33" s="1085"/>
      <c r="BL33" s="1085"/>
      <c r="BM33" s="1085"/>
      <c r="BN33" s="1085"/>
      <c r="BO33" s="1085"/>
      <c r="BP33" s="1085"/>
      <c r="BQ33" s="1085"/>
      <c r="BR33" s="1085"/>
      <c r="BS33" s="1085"/>
    </row>
    <row r="34" spans="2:71" ht="15.75" thickBot="1" x14ac:dyDescent="0.3">
      <c r="B34" s="171"/>
      <c r="X34" s="319">
        <f>AA34/SUM(AA31:AA34)</f>
        <v>0.65753711995003183</v>
      </c>
      <c r="Y34" s="287">
        <v>1</v>
      </c>
      <c r="Z34" s="155" t="s">
        <v>384</v>
      </c>
      <c r="AA34" s="282">
        <f>FuelProd3!O38+FuelProd3!Y38</f>
        <v>49.928688994939122</v>
      </c>
      <c r="AB34" s="283">
        <f>AA34/AA36</f>
        <v>0.59761699793933576</v>
      </c>
      <c r="AC34" s="201">
        <f>AA34/AA44</f>
        <v>0.47551132376132504</v>
      </c>
      <c r="AD34" s="226" t="s">
        <v>344</v>
      </c>
      <c r="AE34" s="296">
        <f>FuelProd3!AV46</f>
        <v>0</v>
      </c>
      <c r="AF34" s="201">
        <f>AE34/AE36</f>
        <v>0</v>
      </c>
      <c r="AR34" s="294" t="s">
        <v>283</v>
      </c>
      <c r="AS34" s="295">
        <f>AS30+AS33</f>
        <v>109.99999999999997</v>
      </c>
      <c r="AT34" s="297"/>
      <c r="AU34" s="297"/>
      <c r="AV34" s="297"/>
      <c r="AW34" s="295"/>
      <c r="AX34" s="298"/>
      <c r="AY34" s="172"/>
      <c r="BA34" s="276"/>
      <c r="BB34" s="1085" t="s">
        <v>385</v>
      </c>
      <c r="BC34" s="1085"/>
      <c r="BD34" s="1085"/>
      <c r="BE34" s="1085"/>
      <c r="BF34" s="1085"/>
      <c r="BG34" s="1085"/>
      <c r="BH34" s="1085"/>
      <c r="BI34" s="1085"/>
      <c r="BJ34" s="1085"/>
      <c r="BK34" s="1085"/>
      <c r="BL34" s="1085"/>
      <c r="BM34" s="1085"/>
      <c r="BN34" s="1085"/>
      <c r="BO34" s="1085"/>
      <c r="BP34" s="1085"/>
      <c r="BQ34" s="1085"/>
      <c r="BR34" s="1085"/>
      <c r="BS34" s="1085"/>
    </row>
    <row r="35" spans="2:71" ht="16.5" thickBot="1" x14ac:dyDescent="0.3">
      <c r="B35" s="171"/>
      <c r="Y35" s="299">
        <v>1</v>
      </c>
      <c r="Z35" s="155" t="s">
        <v>376</v>
      </c>
      <c r="AA35" s="282">
        <f>FuelProd3!C54</f>
        <v>3.6629642857185609</v>
      </c>
      <c r="AB35" s="283">
        <f>AA35/AA36</f>
        <v>4.3843524916346521E-2</v>
      </c>
      <c r="AC35" s="201">
        <f>AA35/AA44</f>
        <v>3.4885374149700582E-2</v>
      </c>
      <c r="AD35" s="226"/>
      <c r="AE35" s="226"/>
      <c r="AF35" s="243"/>
      <c r="AT35" s="1009" t="s">
        <v>386</v>
      </c>
      <c r="AU35" s="1010"/>
      <c r="AV35" s="1087" t="s">
        <v>387</v>
      </c>
      <c r="AW35" s="1088"/>
      <c r="AY35" s="172"/>
      <c r="BA35" s="276"/>
      <c r="BC35" t="s">
        <v>388</v>
      </c>
    </row>
    <row r="36" spans="2:71" ht="15.75" thickBot="1" x14ac:dyDescent="0.3">
      <c r="B36" s="171"/>
      <c r="Y36" s="300"/>
      <c r="Z36" s="254" t="s">
        <v>278</v>
      </c>
      <c r="AA36" s="255">
        <f>SUM(AA30:AA35)</f>
        <v>83.546299999999988</v>
      </c>
      <c r="AB36" s="301"/>
      <c r="AC36" s="250">
        <f>SUM(AC30:AC35)</f>
        <v>0.79567904761904762</v>
      </c>
      <c r="AD36" s="249" t="s">
        <v>278</v>
      </c>
      <c r="AE36" s="255">
        <f>SUM(AE30:AE34)</f>
        <v>83.546299999999988</v>
      </c>
      <c r="AF36" s="250">
        <f>SUM(AF30:AF34)</f>
        <v>0.99999999999999989</v>
      </c>
      <c r="AT36" s="218" t="s">
        <v>389</v>
      </c>
      <c r="AU36" s="302">
        <f>(AA22+AK169+AJ92+Z141+L140+U122+U91+AB93+AA67+AA47+V13)/1000</f>
        <v>219.50669657653182</v>
      </c>
      <c r="AV36" s="218" t="s">
        <v>389</v>
      </c>
      <c r="AW36" s="302">
        <f>(AM169+AB141+N140+AL92+U125+W91+AC67+AD93+AC47+AC22+V11+AU92)/1000</f>
        <v>743.29859038906102</v>
      </c>
      <c r="AX36" s="144"/>
      <c r="AY36" s="172"/>
      <c r="BA36" s="276"/>
      <c r="BB36" t="s">
        <v>390</v>
      </c>
    </row>
    <row r="37" spans="2:71" ht="15.75" thickBot="1" x14ac:dyDescent="0.3">
      <c r="B37" s="171"/>
      <c r="Y37" s="300"/>
      <c r="Z37" s="219" t="s">
        <v>279</v>
      </c>
      <c r="AA37" s="255"/>
      <c r="AB37" s="301"/>
      <c r="AC37" s="250"/>
      <c r="AD37" s="232"/>
      <c r="AE37" s="139"/>
      <c r="AF37" s="233"/>
      <c r="AY37" s="172"/>
      <c r="BA37" s="276"/>
      <c r="BB37" t="s">
        <v>391</v>
      </c>
    </row>
    <row r="38" spans="2:71" ht="15.75" thickBot="1" x14ac:dyDescent="0.3">
      <c r="B38" s="171"/>
      <c r="Y38" s="287">
        <v>1</v>
      </c>
      <c r="Z38" s="236" t="s">
        <v>392</v>
      </c>
      <c r="AA38" s="303">
        <f>AA15*(1-(AA30/SUM(AA30:AA34)))</f>
        <v>0.52631799574638038</v>
      </c>
      <c r="AB38" s="304">
        <f>AA38/AA43</f>
        <v>2.4532737744369527E-2</v>
      </c>
      <c r="AC38" s="197">
        <f>AA38/AA44</f>
        <v>5.0125523404417182E-3</v>
      </c>
      <c r="AD38" s="232"/>
      <c r="AE38" s="139"/>
      <c r="AF38" s="233"/>
      <c r="AY38" s="172"/>
      <c r="BA38" s="276"/>
      <c r="BC38" t="s">
        <v>388</v>
      </c>
    </row>
    <row r="39" spans="2:71" ht="15.75" thickBot="1" x14ac:dyDescent="0.3">
      <c r="B39" s="171"/>
      <c r="Y39" s="287">
        <v>1</v>
      </c>
      <c r="Z39" s="191" t="s">
        <v>393</v>
      </c>
      <c r="AA39" s="305">
        <f>AA16*(1-(AA30/SUM(AA30:AA34)))</f>
        <v>1.7109849961052885</v>
      </c>
      <c r="AB39" s="204">
        <f>AA39/AA43</f>
        <v>7.9752443452891064E-2</v>
      </c>
      <c r="AC39" s="194">
        <f>AA39/AA44</f>
        <v>1.6295095201002752E-2</v>
      </c>
      <c r="AD39" s="232"/>
      <c r="AE39" s="139"/>
      <c r="AF39" s="233"/>
      <c r="AO39" s="1081" t="s">
        <v>394</v>
      </c>
      <c r="AP39" s="1082"/>
      <c r="AQ39" s="866" t="s">
        <v>128</v>
      </c>
      <c r="AR39" s="866"/>
      <c r="AS39" s="865" t="s">
        <v>127</v>
      </c>
      <c r="AT39" s="867"/>
      <c r="AU39" s="866" t="s">
        <v>300</v>
      </c>
      <c r="AV39" s="866"/>
      <c r="AW39" s="865" t="s">
        <v>395</v>
      </c>
      <c r="AX39" s="867"/>
      <c r="AY39" s="172"/>
      <c r="BA39" s="276"/>
      <c r="BB39" t="s">
        <v>396</v>
      </c>
    </row>
    <row r="40" spans="2:71" ht="15.75" thickBot="1" x14ac:dyDescent="0.3">
      <c r="B40" s="171"/>
      <c r="Y40" s="287">
        <v>1</v>
      </c>
      <c r="Z40" s="191" t="s">
        <v>397</v>
      </c>
      <c r="AA40" s="305">
        <f>AA17*(1-(AA30/SUM(AA30:AA34)))</f>
        <v>2.091203884128686</v>
      </c>
      <c r="AB40" s="204">
        <f>AA40/AA43</f>
        <v>9.7475208664644625E-2</v>
      </c>
      <c r="AC40" s="194">
        <f>AA40/AA44</f>
        <v>1.9916227467892251E-2</v>
      </c>
      <c r="AD40" s="232"/>
      <c r="AE40" s="139"/>
      <c r="AF40" s="233"/>
      <c r="AO40" s="1083"/>
      <c r="AP40" s="1084"/>
      <c r="AQ40" s="865" t="s">
        <v>398</v>
      </c>
      <c r="AR40" s="867"/>
      <c r="AS40" s="865" t="s">
        <v>398</v>
      </c>
      <c r="AT40" s="867"/>
      <c r="AU40" s="865" t="s">
        <v>398</v>
      </c>
      <c r="AV40" s="867"/>
      <c r="AW40" s="865" t="s">
        <v>398</v>
      </c>
      <c r="AX40" s="867"/>
      <c r="AY40" s="172"/>
      <c r="BA40" s="276"/>
      <c r="BB40" t="s">
        <v>399</v>
      </c>
    </row>
    <row r="41" spans="2:71" ht="15.75" thickBot="1" x14ac:dyDescent="0.3">
      <c r="B41" s="171"/>
      <c r="W41" s="144"/>
      <c r="Y41" s="287">
        <v>1</v>
      </c>
      <c r="Z41" s="191" t="s">
        <v>267</v>
      </c>
      <c r="AA41" s="305">
        <f>AA18</f>
        <v>16.900000000000002</v>
      </c>
      <c r="AB41" s="204">
        <f>AA41/AA43</f>
        <v>0.78774290681793846</v>
      </c>
      <c r="AC41" s="194">
        <f>AA41/AA44</f>
        <v>0.16095238095238099</v>
      </c>
      <c r="AD41" s="241"/>
      <c r="AE41" s="226"/>
      <c r="AF41" s="243"/>
      <c r="AO41" s="1077" t="s">
        <v>175</v>
      </c>
      <c r="AP41" s="1078"/>
      <c r="AQ41" s="306">
        <f>FuelProd1!H39</f>
        <v>1</v>
      </c>
      <c r="AR41" s="307">
        <f>FuelProd1!G39</f>
        <v>0</v>
      </c>
      <c r="AS41" s="308">
        <f>FuelProd1!H39</f>
        <v>1</v>
      </c>
      <c r="AT41" s="307">
        <f>FuelProd1!I39</f>
        <v>0.101516713107873</v>
      </c>
      <c r="AU41" s="306">
        <f>FuelProd1!H39</f>
        <v>1</v>
      </c>
      <c r="AV41" s="306">
        <f>FuelProd1!I39</f>
        <v>0.101516713107873</v>
      </c>
      <c r="AW41" s="308">
        <v>1</v>
      </c>
      <c r="AX41" s="307">
        <f>FuelProd1!M39</f>
        <v>0</v>
      </c>
      <c r="AY41" s="172"/>
      <c r="BA41" s="276"/>
      <c r="BC41" t="s">
        <v>400</v>
      </c>
    </row>
    <row r="42" spans="2:71" ht="15.75" thickBot="1" x14ac:dyDescent="0.3">
      <c r="B42" s="171"/>
      <c r="Y42" s="287">
        <v>1</v>
      </c>
      <c r="Z42" s="236" t="s">
        <v>401</v>
      </c>
      <c r="AA42" s="303">
        <f>AA15*(AA30/SUM(AA30:AA34))+AA16*(AA30/SUM(AA30:AA34))+AA17*(AA30/SUM(AA30:AA34))</f>
        <v>0.22519312401963693</v>
      </c>
      <c r="AB42" s="309">
        <f>AA42/AA43</f>
        <v>1.049670332015629E-2</v>
      </c>
      <c r="AC42" s="221">
        <f>AA42/AA44</f>
        <v>2.1446964192346376E-3</v>
      </c>
      <c r="AD42" s="241"/>
      <c r="AE42" s="226"/>
      <c r="AF42" s="243"/>
      <c r="AO42" s="1079" t="s">
        <v>290</v>
      </c>
      <c r="AP42" s="1080"/>
      <c r="AQ42">
        <f>FuelProd1!H40</f>
        <v>0</v>
      </c>
      <c r="AR42" s="307">
        <f>FuelProd1!G40</f>
        <v>0</v>
      </c>
      <c r="AS42" s="308">
        <f>FuelProd1!H40</f>
        <v>0</v>
      </c>
      <c r="AT42" s="307">
        <f>FuelProd1!I40</f>
        <v>0.17272530624473473</v>
      </c>
      <c r="AU42" s="306">
        <f>FuelProd1!H40</f>
        <v>0</v>
      </c>
      <c r="AV42" s="306">
        <f>FuelProd1!I40</f>
        <v>0.17272530624473473</v>
      </c>
      <c r="AW42" s="268"/>
      <c r="AX42" s="307">
        <f>FuelProd1!M40</f>
        <v>0</v>
      </c>
      <c r="AY42" s="172"/>
      <c r="BA42" s="276"/>
    </row>
    <row r="43" spans="2:71" ht="15.75" thickBot="1" x14ac:dyDescent="0.3">
      <c r="B43" s="171"/>
      <c r="Y43" s="251"/>
      <c r="Z43" s="254" t="s">
        <v>278</v>
      </c>
      <c r="AA43" s="255">
        <f>SUM(AA38:AA42)</f>
        <v>21.453699999999994</v>
      </c>
      <c r="AB43" s="301"/>
      <c r="AC43" s="250">
        <f>SUM(AC38:AC42)</f>
        <v>0.20432095238095235</v>
      </c>
      <c r="AD43" s="249" t="s">
        <v>278</v>
      </c>
      <c r="AE43" s="255">
        <f>SUM(AE37:AE41)</f>
        <v>0</v>
      </c>
      <c r="AF43" s="250">
        <f>SUM(AF37:AF41)</f>
        <v>0</v>
      </c>
      <c r="AO43" s="1079" t="s">
        <v>302</v>
      </c>
      <c r="AP43" s="1080"/>
      <c r="AQ43">
        <f>FuelProd1!H41</f>
        <v>0</v>
      </c>
      <c r="AR43" s="307">
        <f>FuelProd1!G41</f>
        <v>0</v>
      </c>
      <c r="AS43" s="308">
        <f>FuelProd1!H41</f>
        <v>0</v>
      </c>
      <c r="AT43" s="307">
        <f>FuelProd1!I41</f>
        <v>0.71859727827415798</v>
      </c>
      <c r="AU43" s="306">
        <f>FuelProd1!H41</f>
        <v>0</v>
      </c>
      <c r="AV43" s="306">
        <f>FuelProd1!I41</f>
        <v>0.71859727827415798</v>
      </c>
      <c r="AW43" s="268"/>
      <c r="AX43" s="307">
        <f>FuelProd1!M41</f>
        <v>0</v>
      </c>
      <c r="AY43" s="172"/>
      <c r="BA43" s="275" t="s">
        <v>402</v>
      </c>
      <c r="BB43" t="s">
        <v>403</v>
      </c>
    </row>
    <row r="44" spans="2:71" ht="15.75" thickBot="1" x14ac:dyDescent="0.3">
      <c r="B44" s="171"/>
      <c r="Y44" s="251"/>
      <c r="Z44" s="254" t="s">
        <v>352</v>
      </c>
      <c r="AA44" s="255">
        <f>SUM(AA38:AA42)+AA36</f>
        <v>104.99999999999999</v>
      </c>
      <c r="AB44" s="301"/>
      <c r="AC44" s="250">
        <f>AC36+AC43</f>
        <v>1</v>
      </c>
      <c r="AD44" s="218"/>
      <c r="AE44" s="249"/>
      <c r="AF44" s="250"/>
      <c r="AO44" s="1079" t="s">
        <v>303</v>
      </c>
      <c r="AP44" s="1080"/>
      <c r="AQ44">
        <f>FuelProd1!H42</f>
        <v>0</v>
      </c>
      <c r="AR44" s="307">
        <f>FuelProd1!G42</f>
        <v>0</v>
      </c>
      <c r="AS44" s="308">
        <f>FuelProd1!H42</f>
        <v>0</v>
      </c>
      <c r="AT44" s="307">
        <f>FuelProd1!I42</f>
        <v>7.1607023732338602E-3</v>
      </c>
      <c r="AU44" s="306">
        <f>FuelProd1!H42</f>
        <v>0</v>
      </c>
      <c r="AV44" s="306">
        <f>FuelProd1!I42</f>
        <v>7.1607023732338602E-3</v>
      </c>
      <c r="AW44" s="268"/>
      <c r="AX44" s="307">
        <f>FuelProd1!M42</f>
        <v>0</v>
      </c>
      <c r="AY44" s="172"/>
      <c r="BA44" s="276"/>
    </row>
    <row r="45" spans="2:71" ht="16.5" thickBot="1" x14ac:dyDescent="0.3">
      <c r="B45" s="171"/>
      <c r="Y45" s="251"/>
      <c r="Z45" s="1013" t="s">
        <v>404</v>
      </c>
      <c r="AA45" s="1014"/>
      <c r="AO45" s="1079" t="s">
        <v>405</v>
      </c>
      <c r="AP45" s="1080"/>
      <c r="AQ45" s="144"/>
      <c r="AR45" s="144"/>
      <c r="AS45" s="310"/>
      <c r="AT45" s="311"/>
      <c r="AU45" s="144"/>
      <c r="AV45" s="144"/>
      <c r="AW45" s="268"/>
      <c r="AX45" s="252"/>
      <c r="AY45" s="172"/>
      <c r="BA45" s="276"/>
      <c r="BB45" t="s">
        <v>406</v>
      </c>
      <c r="BQ45" t="s">
        <v>407</v>
      </c>
    </row>
    <row r="46" spans="2:71" ht="16.5" thickBot="1" x14ac:dyDescent="0.3">
      <c r="B46" s="171"/>
      <c r="Y46" s="280">
        <v>2.2999999999999998</v>
      </c>
      <c r="Z46" s="1074" t="s">
        <v>408</v>
      </c>
      <c r="AA46" s="1049"/>
      <c r="AB46" s="1015" t="s">
        <v>331</v>
      </c>
      <c r="AC46" s="1016"/>
      <c r="AO46" s="1075" t="s">
        <v>409</v>
      </c>
      <c r="AP46" s="1076"/>
      <c r="AQ46" s="312">
        <f>(AW36/Q168*FuelProd3!CA17)/FuelProd3!CB9</f>
        <v>7.7806086927807394</v>
      </c>
      <c r="AR46" s="312">
        <f>((AW36/Q168*FuelProd3!CA17)/FuelProd3!CB9)*FuelProd1!I39+((AW36/Q168*FuelProd3!CB11)/FuelProd3!CB9)*FuelProd1!I40+((AW36/Q168*FuelProd3!CB12)/FuelProd3!CB9)*FuelProd1!I41+((AW36/Q168*FuelProd3!CB13)/FuelProd3!CB9)*FuelProd1!I42</f>
        <v>22.001186227787478</v>
      </c>
      <c r="AS46" s="313">
        <f>(AW36/Q168*FuelProd3!CC17)/FuelProd3!CB9</f>
        <v>39.023188179660416</v>
      </c>
      <c r="AT46" s="314">
        <f>((AW36/Q168*FuelProd3!CC17)/FuelProd3!CB9)*AT41+((AW36/Q168*FuelProd3!CB11)/FuelProd3!CB9)*AT42+((AW36/Q168*FuelProd3!CB12)/FuelProd3!CB9)*AT43+((AW36/Q168*FuelProd3!CB13)/FuelProd3!CB9)*AT44</f>
        <v>25.172830206306958</v>
      </c>
      <c r="AU46" s="312">
        <f>(AW36/Q168*FuelProd3!CB17)/FuelProd3!CB9</f>
        <v>26.414863369775443</v>
      </c>
      <c r="AV46" s="312">
        <f>((AW36/Q168*FuelProd3!CB17)/FuelProd3!CB9)*AV41+((AW36/Q168*FuelProd3!CB11)/FuelProd3!CB9)*AV42+((AW36/Q168*FuelProd3!CB12)/FuelProd3!CB9)*AV43+((AW36/Q168*FuelProd3!CB13)/FuelProd3!CB9)*AV44</f>
        <v>23.892874513810991</v>
      </c>
      <c r="AW46" s="313">
        <f>(AW36/Q168*FuelProd3!CD17)/FuelProd3!CB9</f>
        <v>4.4359574219296718</v>
      </c>
      <c r="AX46" s="314">
        <f>((AW36/Q168*FuelProd3!CD17)/FuelProd3!CB9)*AV41+((AW36/Q168*FuelProd3!CB11)/FuelProd3!CB9)*AV42+((AW36/Q168*FuelProd3!CB12)/FuelProd3!CB9)*AV43+((AW36/Q168*FuelProd3!CB13)/FuelProd3!CB9)*AV44</f>
        <v>21.661648224278608</v>
      </c>
      <c r="AY46" s="172"/>
      <c r="BA46" s="276"/>
      <c r="BB46" t="s">
        <v>410</v>
      </c>
      <c r="BQ46" t="s">
        <v>410</v>
      </c>
    </row>
    <row r="47" spans="2:71" ht="15.75" thickBot="1" x14ac:dyDescent="0.3">
      <c r="B47" s="171"/>
      <c r="Z47" s="254" t="s">
        <v>336</v>
      </c>
      <c r="AA47" s="315">
        <f>FuelProd3!BM53</f>
        <v>6138.1998347544595</v>
      </c>
      <c r="AB47" s="211" t="s">
        <v>336</v>
      </c>
      <c r="AC47" s="266">
        <f>AA47*(1/AK6)</f>
        <v>18600.605559861997</v>
      </c>
      <c r="AR47">
        <f>((AW36/Q168*'Fuel Production'!C63)/'Fuel Production'!C61)*'Fuel Production'!C70+((AW36/Q168*'Fuel Production'!C64)/'Fuel Production'!C61)*'Fuel Production'!C71+((AW36/Q168*'Fuel Production'!C65)/'Fuel Production'!C61)*'Fuel Production'!C72+((AW36/Q168*'Fuel Production'!C66)/'Fuel Production'!C61)*'Fuel Production'!C73</f>
        <v>7.6127023603469191</v>
      </c>
      <c r="AY47" s="172"/>
      <c r="BA47" s="276"/>
      <c r="BB47" t="s">
        <v>411</v>
      </c>
      <c r="BQ47" t="s">
        <v>412</v>
      </c>
    </row>
    <row r="48" spans="2:71" ht="15.75" thickBot="1" x14ac:dyDescent="0.3">
      <c r="B48" s="171"/>
      <c r="AR48">
        <f>((AW36/Q168*'Fuel Production'!C63)/'Fuel Production'!C61)</f>
        <v>7.6127023603469191</v>
      </c>
      <c r="AY48" s="172"/>
      <c r="BA48" s="276"/>
      <c r="BB48" s="36" t="s">
        <v>413</v>
      </c>
      <c r="BC48" s="37"/>
      <c r="BD48" s="37"/>
      <c r="BE48" s="37"/>
      <c r="BF48" s="37"/>
      <c r="BG48" s="37"/>
      <c r="BH48" s="37"/>
      <c r="BI48" s="37"/>
      <c r="BJ48" s="37"/>
      <c r="BK48" s="37"/>
      <c r="BL48" s="37"/>
      <c r="BM48" s="38"/>
      <c r="BQ48" t="s">
        <v>411</v>
      </c>
    </row>
    <row r="49" spans="2:86" ht="16.5" thickBot="1" x14ac:dyDescent="0.3">
      <c r="B49" s="171"/>
      <c r="AE49" s="1062" t="s">
        <v>414</v>
      </c>
      <c r="AF49" s="1063"/>
      <c r="AN49" s="1034" t="s">
        <v>415</v>
      </c>
      <c r="AO49" s="1035"/>
      <c r="AR49" t="s">
        <v>1068</v>
      </c>
      <c r="AY49" s="172"/>
      <c r="BA49" s="276"/>
      <c r="BB49" s="15" t="s">
        <v>416</v>
      </c>
      <c r="BM49" s="16"/>
      <c r="BQ49" s="36" t="s">
        <v>417</v>
      </c>
      <c r="BR49" s="37"/>
      <c r="BS49" s="37"/>
      <c r="BT49" s="37"/>
      <c r="BU49" s="37"/>
      <c r="BV49" s="37"/>
      <c r="BW49" s="37"/>
      <c r="BX49" s="37"/>
      <c r="BY49" s="37"/>
      <c r="BZ49" s="37"/>
      <c r="CA49" s="37"/>
      <c r="CB49" s="38"/>
    </row>
    <row r="50" spans="2:86" ht="15.75" x14ac:dyDescent="0.25">
      <c r="B50" s="171"/>
      <c r="Y50" s="1036">
        <v>4</v>
      </c>
      <c r="Z50" s="1064" t="s">
        <v>418</v>
      </c>
      <c r="AA50" s="1065"/>
      <c r="AB50" s="1065"/>
      <c r="AC50" s="1065"/>
      <c r="AD50" s="1065"/>
      <c r="AE50" s="1065"/>
      <c r="AF50" s="1066"/>
      <c r="AH50" s="1036" t="s">
        <v>419</v>
      </c>
      <c r="AI50" s="1038" t="s">
        <v>363</v>
      </c>
      <c r="AJ50" s="1039"/>
      <c r="AK50" s="1039"/>
      <c r="AL50" s="1039"/>
      <c r="AM50" s="1039"/>
      <c r="AN50" s="1039"/>
      <c r="AO50" s="1040"/>
      <c r="AS50">
        <f>((AW36/Q168)/'Fuel Production'!C61)</f>
        <v>0.35591855191232347</v>
      </c>
      <c r="AY50" s="172"/>
      <c r="BA50" s="276"/>
      <c r="BB50" s="36" t="s">
        <v>420</v>
      </c>
      <c r="BC50" s="37"/>
      <c r="BD50" s="37"/>
      <c r="BE50" s="37"/>
      <c r="BF50" s="37"/>
      <c r="BG50" s="37"/>
      <c r="BH50" s="37"/>
      <c r="BI50" s="37"/>
      <c r="BJ50" s="37"/>
      <c r="BK50" s="37"/>
      <c r="BL50" s="37"/>
      <c r="BM50" s="38"/>
      <c r="BQ50" s="13" t="s">
        <v>421</v>
      </c>
      <c r="BR50" s="11"/>
      <c r="BS50" s="11"/>
      <c r="BT50" s="11"/>
      <c r="BU50" s="11"/>
      <c r="BV50" s="11"/>
      <c r="BW50" s="11"/>
      <c r="BX50" s="11"/>
      <c r="BY50" s="11"/>
      <c r="BZ50" s="11"/>
      <c r="CA50" s="11"/>
      <c r="CB50" s="14"/>
    </row>
    <row r="51" spans="2:86" ht="58.5" customHeight="1" thickBot="1" x14ac:dyDescent="0.3">
      <c r="B51" s="171"/>
      <c r="Y51" s="1037"/>
      <c r="Z51" s="1047" t="s">
        <v>319</v>
      </c>
      <c r="AA51" s="991"/>
      <c r="AB51" s="991"/>
      <c r="AC51" s="979"/>
      <c r="AD51" s="978" t="s">
        <v>320</v>
      </c>
      <c r="AE51" s="991"/>
      <c r="AF51" s="1046"/>
      <c r="AH51" s="1037"/>
      <c r="AI51" s="1044" t="s">
        <v>319</v>
      </c>
      <c r="AJ51" s="892"/>
      <c r="AK51" s="892"/>
      <c r="AL51" s="892" t="s">
        <v>320</v>
      </c>
      <c r="AM51" s="892"/>
      <c r="AN51" s="892"/>
      <c r="AO51" s="1045"/>
      <c r="AS51" s="1031" t="s">
        <v>1070</v>
      </c>
      <c r="AT51" s="909" t="s">
        <v>1069</v>
      </c>
      <c r="AU51" s="948" t="s">
        <v>1541</v>
      </c>
      <c r="AV51" s="948" t="s">
        <v>1541</v>
      </c>
      <c r="AW51" s="1019" t="s">
        <v>1542</v>
      </c>
      <c r="AX51" s="1020"/>
      <c r="AY51" s="172"/>
      <c r="BA51" s="276"/>
      <c r="BB51" s="15" t="s">
        <v>422</v>
      </c>
      <c r="BM51" s="16"/>
      <c r="BQ51" s="36" t="s">
        <v>423</v>
      </c>
      <c r="BR51" s="37"/>
      <c r="BS51" s="37"/>
      <c r="BT51" s="37"/>
      <c r="BU51" s="37"/>
      <c r="BV51" s="37"/>
      <c r="BW51" s="37"/>
      <c r="BX51" s="37"/>
      <c r="BY51" s="37"/>
      <c r="BZ51" s="37"/>
      <c r="CA51" s="37"/>
      <c r="CB51" s="38"/>
      <c r="CF51" s="497" t="s">
        <v>1539</v>
      </c>
      <c r="CG51" s="497" t="s">
        <v>1540</v>
      </c>
      <c r="CH51" t="s">
        <v>1530</v>
      </c>
    </row>
    <row r="52" spans="2:86" ht="16.5" thickBot="1" x14ac:dyDescent="0.3">
      <c r="B52" s="171"/>
      <c r="Y52" s="187" t="s">
        <v>180</v>
      </c>
      <c r="Z52" s="188" t="s">
        <v>322</v>
      </c>
      <c r="AA52" s="145" t="s">
        <v>323</v>
      </c>
      <c r="AB52" s="145" t="s">
        <v>324</v>
      </c>
      <c r="AC52" s="145" t="s">
        <v>325</v>
      </c>
      <c r="AD52" s="145"/>
      <c r="AE52" s="145" t="s">
        <v>323</v>
      </c>
      <c r="AF52" s="189" t="s">
        <v>326</v>
      </c>
      <c r="AH52" s="181" t="s">
        <v>180</v>
      </c>
      <c r="AI52" s="270" t="s">
        <v>322</v>
      </c>
      <c r="AJ52" s="145" t="s">
        <v>323</v>
      </c>
      <c r="AK52" s="145" t="s">
        <v>326</v>
      </c>
      <c r="AL52" s="145"/>
      <c r="AM52" s="145"/>
      <c r="AN52" s="145" t="s">
        <v>323</v>
      </c>
      <c r="AO52" s="189" t="s">
        <v>326</v>
      </c>
      <c r="AS52" s="1031"/>
      <c r="AT52" s="909"/>
      <c r="AU52" s="1030"/>
      <c r="AV52" s="1030"/>
      <c r="AW52" s="1021"/>
      <c r="AX52" s="1022"/>
      <c r="AY52" s="172"/>
      <c r="BA52" s="276"/>
      <c r="BB52" s="15" t="s">
        <v>424</v>
      </c>
      <c r="BM52" s="16"/>
      <c r="BQ52" s="15" t="s">
        <v>425</v>
      </c>
      <c r="CB52" s="16"/>
      <c r="CD52" s="1032" t="s">
        <v>340</v>
      </c>
      <c r="CE52" s="1033"/>
      <c r="CF52">
        <f>AT54</f>
        <v>48.17345606060605</v>
      </c>
      <c r="CG52">
        <f>CF52*'Fuel Production'!C63</f>
        <v>1030.3766990740739</v>
      </c>
      <c r="CH52">
        <f>CG52/'Fuel Production'!C61</f>
        <v>23.554697765958164</v>
      </c>
    </row>
    <row r="53" spans="2:86" ht="15.75" x14ac:dyDescent="0.25">
      <c r="B53" s="171"/>
      <c r="Y53" s="316">
        <v>1</v>
      </c>
      <c r="Z53" s="155" t="s">
        <v>379</v>
      </c>
      <c r="AA53" s="282">
        <f>AA31</f>
        <v>21.105096923076925</v>
      </c>
      <c r="AB53" s="283">
        <f>AA53/AA58</f>
        <v>0.26678085696055615</v>
      </c>
      <c r="AC53" s="201">
        <f>AA53/AA63</f>
        <v>0.21027064824566186</v>
      </c>
      <c r="AD53" s="139" t="s">
        <v>328</v>
      </c>
      <c r="AE53" s="284">
        <f>FuelProd3!AV59</f>
        <v>13.14892628217626</v>
      </c>
      <c r="AF53" s="201">
        <f>AE53/AE58</f>
        <v>0.16519613499209881</v>
      </c>
      <c r="AH53" s="317">
        <v>1</v>
      </c>
      <c r="AI53" s="155" t="s">
        <v>270</v>
      </c>
      <c r="AJ53" s="225">
        <f>AA30</f>
        <v>3.9504530220718319</v>
      </c>
      <c r="AK53" s="139"/>
      <c r="AL53" s="139" t="s">
        <v>328</v>
      </c>
      <c r="AM53" s="139"/>
      <c r="AN53" s="139"/>
      <c r="AO53" s="233"/>
      <c r="AQ53" s="1028" t="s">
        <v>1067</v>
      </c>
      <c r="AR53" s="1029"/>
      <c r="AS53" s="1031"/>
      <c r="AT53" s="909"/>
      <c r="AU53" s="829" t="s">
        <v>1543</v>
      </c>
      <c r="AV53" s="829" t="s">
        <v>1544</v>
      </c>
      <c r="AW53" s="1023" t="s">
        <v>167</v>
      </c>
      <c r="AX53" s="1024"/>
      <c r="AY53" s="172" t="s">
        <v>150</v>
      </c>
      <c r="BA53" s="276"/>
      <c r="BB53" s="15" t="s">
        <v>426</v>
      </c>
      <c r="BM53" s="16"/>
      <c r="BQ53" s="13" t="s">
        <v>427</v>
      </c>
      <c r="BR53" s="11"/>
      <c r="BS53" s="11"/>
      <c r="BT53" s="11"/>
      <c r="BU53" s="11"/>
      <c r="BV53" s="11"/>
      <c r="BW53" s="11"/>
      <c r="BX53" s="11"/>
      <c r="BY53" s="11"/>
      <c r="BZ53" s="11"/>
      <c r="CA53" s="11"/>
      <c r="CB53" s="14"/>
      <c r="CD53" s="1007" t="s">
        <v>1518</v>
      </c>
      <c r="CE53" s="1008"/>
      <c r="CF53">
        <f t="shared" ref="CF53:CF65" si="0">AT55</f>
        <v>126.85676762626261</v>
      </c>
      <c r="CG53">
        <f>CF53*'Fuel Production'!C63</f>
        <v>2713.3253075617281</v>
      </c>
      <c r="CH53">
        <f>CG53/'Fuel Production'!C61</f>
        <v>62.027370783689832</v>
      </c>
    </row>
    <row r="54" spans="2:86" ht="15" customHeight="1" x14ac:dyDescent="0.25">
      <c r="B54" s="171"/>
      <c r="Y54" s="316">
        <v>1</v>
      </c>
      <c r="Z54" s="155" t="s">
        <v>381</v>
      </c>
      <c r="AA54" s="282">
        <f>AA32</f>
        <v>4.8990967741935485</v>
      </c>
      <c r="AB54" s="283">
        <f>AA54/AA58</f>
        <v>6.1927469014508789E-2</v>
      </c>
      <c r="AC54" s="201">
        <f>AA54/AA63</f>
        <v>4.8809832917731236E-2</v>
      </c>
      <c r="AD54" s="139" t="s">
        <v>333</v>
      </c>
      <c r="AE54" s="284">
        <f>FuelProd3!AV60</f>
        <v>57.813861209515437</v>
      </c>
      <c r="AF54" s="201">
        <f>AE54/AE58</f>
        <v>0.72634268500902011</v>
      </c>
      <c r="AH54" s="258">
        <v>1</v>
      </c>
      <c r="AI54" s="155" t="s">
        <v>401</v>
      </c>
      <c r="AJ54" s="225">
        <f>AA42</f>
        <v>0.22519312401963693</v>
      </c>
      <c r="AK54" s="139"/>
      <c r="AL54" s="139" t="s">
        <v>333</v>
      </c>
      <c r="AM54" s="139"/>
      <c r="AN54" s="139"/>
      <c r="AO54" s="233"/>
      <c r="AQ54" s="1032" t="s">
        <v>340</v>
      </c>
      <c r="AR54" s="1033"/>
      <c r="AS54" s="595">
        <f>V11</f>
        <v>48173.456060606048</v>
      </c>
      <c r="AT54" s="594">
        <f t="shared" ref="AT54:AT64" si="1">AS54/1000</f>
        <v>48.17345606060605</v>
      </c>
      <c r="AU54" s="597">
        <f>AT54/(Q168*'Fuel Production'!C61)</f>
        <v>2.3067212750569454E-2</v>
      </c>
      <c r="AV54" s="597">
        <f>AT54/'Fuel Production'!G61/'Fuel Production'!C61</f>
        <v>2.3067212750569447E-2</v>
      </c>
      <c r="AW54" s="1025">
        <f>((AV54*'Fuel Production'!C63))*'Fuel Production'!C70+((AV54*'Fuel Production'!C64))*'Fuel Production'!C71+((AV54*'Fuel Production'!C65))*'Fuel Production'!C72+((AV54*'Fuel Production'!C66))*'Fuel Production'!C73</f>
        <v>0.49338205049829098</v>
      </c>
      <c r="AX54" s="1025"/>
      <c r="AY54" s="172">
        <f>((AT54*'Fuel Production'!C63))*'Fuel Production'!C70+((AT54*'Fuel Production'!C64))*'Fuel Production'!C71+((AT54*'Fuel Production'!C65))*'Fuel Production'!C72+((AT54*'Fuel Production'!C66))*'Fuel Production'!C73</f>
        <v>1030.3766990740739</v>
      </c>
      <c r="BA54" s="276"/>
      <c r="BB54" s="15" t="s">
        <v>428</v>
      </c>
      <c r="BM54" s="16"/>
      <c r="BQ54" s="36" t="s">
        <v>429</v>
      </c>
      <c r="BR54" s="37"/>
      <c r="BS54" s="37"/>
      <c r="BT54" s="37"/>
      <c r="BU54" s="37"/>
      <c r="BV54" s="37"/>
      <c r="BW54" s="37"/>
      <c r="BX54" s="37"/>
      <c r="BY54" s="37"/>
      <c r="BZ54" s="37"/>
      <c r="CA54" s="37"/>
      <c r="CB54" s="38"/>
      <c r="CD54" s="1007" t="s">
        <v>408</v>
      </c>
      <c r="CE54" s="1008"/>
      <c r="CF54">
        <f t="shared" si="0"/>
        <v>18.600605559861997</v>
      </c>
      <c r="CG54">
        <f>CF54*'Fuel Production'!C63</f>
        <v>397.84628558593715</v>
      </c>
      <c r="CH54">
        <f>CG54/'Fuel Production'!C61</f>
        <v>9.0948766821949789</v>
      </c>
    </row>
    <row r="55" spans="2:86" ht="15.75" x14ac:dyDescent="0.25">
      <c r="B55" s="171"/>
      <c r="Y55" s="316">
        <v>1</v>
      </c>
      <c r="Z55" s="155" t="s">
        <v>382</v>
      </c>
      <c r="AA55" s="282">
        <f>AA33</f>
        <v>0</v>
      </c>
      <c r="AB55" s="283">
        <f>AA55/AA58</f>
        <v>0</v>
      </c>
      <c r="AC55" s="201">
        <f>AA55/AA63</f>
        <v>0</v>
      </c>
      <c r="AD55" s="139" t="s">
        <v>338</v>
      </c>
      <c r="AE55" s="284">
        <f>FuelProd3!AV61</f>
        <v>0</v>
      </c>
      <c r="AF55" s="201">
        <f>AE55/AE58</f>
        <v>0</v>
      </c>
      <c r="AH55" s="251"/>
      <c r="AI55" s="155"/>
      <c r="AJ55" s="225"/>
      <c r="AK55" s="139"/>
      <c r="AL55" s="139" t="s">
        <v>338</v>
      </c>
      <c r="AM55" s="139"/>
      <c r="AN55" s="139"/>
      <c r="AO55" s="233"/>
      <c r="AQ55" s="1007" t="s">
        <v>1518</v>
      </c>
      <c r="AR55" s="1008"/>
      <c r="AS55" s="595">
        <f>AC22/2+FuelProd3!CE66</f>
        <v>126856.7676262626</v>
      </c>
      <c r="AT55" s="595">
        <f t="shared" si="1"/>
        <v>126.85676762626261</v>
      </c>
      <c r="AU55" s="596">
        <f>AT55/(Q168*'Fuel Production'!C61)</f>
        <v>6.0743660243166228E-2</v>
      </c>
      <c r="AV55" s="596">
        <f>AT55/'Fuel Production'!G61/'Fuel Production'!C61</f>
        <v>6.0743660243166221E-2</v>
      </c>
      <c r="AW55" s="1017">
        <f>((AV55*'Fuel Production'!C63))*'Fuel Production'!C70+((AV55*'Fuel Production'!C64))*'Fuel Production'!C71+((AV55*'Fuel Production'!C65))*'Fuel Production'!C72+((AV55*'Fuel Production'!C66))*'Fuel Production'!C73</f>
        <v>1.2992393996454998</v>
      </c>
      <c r="AX55" s="1017"/>
      <c r="AY55" s="172">
        <f>((AT55*'Fuel Production'!C63))*'Fuel Production'!C70+((AT55*'Fuel Production'!C64))*'Fuel Production'!C71+((AT55*'Fuel Production'!C65))*'Fuel Production'!C72+((AT55*'Fuel Production'!C66))*'Fuel Production'!C73</f>
        <v>2713.3253075617281</v>
      </c>
      <c r="BA55" s="276"/>
      <c r="BB55" s="15" t="s">
        <v>430</v>
      </c>
      <c r="BM55" s="16"/>
      <c r="BQ55" s="13" t="s">
        <v>431</v>
      </c>
      <c r="BR55" s="11"/>
      <c r="BS55" s="11"/>
      <c r="BT55" s="11"/>
      <c r="BU55" s="11"/>
      <c r="BV55" s="11"/>
      <c r="BW55" s="11"/>
      <c r="BX55" s="11"/>
      <c r="BY55" s="11"/>
      <c r="BZ55" s="11"/>
      <c r="CA55" s="11"/>
      <c r="CB55" s="14"/>
      <c r="CD55" s="1007" t="s">
        <v>447</v>
      </c>
      <c r="CE55" s="1008"/>
      <c r="CF55">
        <f t="shared" si="0"/>
        <v>31.714191906565652</v>
      </c>
      <c r="CG55">
        <f>CF55*'Fuel Production'!C63</f>
        <v>678.33132689043202</v>
      </c>
      <c r="CH55">
        <f>CG55/'Fuel Production'!C61</f>
        <v>15.506842695922458</v>
      </c>
    </row>
    <row r="56" spans="2:86" ht="15.75" x14ac:dyDescent="0.25">
      <c r="B56" s="171"/>
      <c r="Y56" s="316">
        <v>1</v>
      </c>
      <c r="Z56" s="38" t="s">
        <v>384</v>
      </c>
      <c r="AA56" s="282">
        <f>AA34</f>
        <v>49.928688994939122</v>
      </c>
      <c r="AB56" s="283">
        <f>AA56/AA58</f>
        <v>0.63112803914311577</v>
      </c>
      <c r="AC56" s="201">
        <f>AA56/AA63</f>
        <v>0.49744087124008829</v>
      </c>
      <c r="AD56" s="139" t="s">
        <v>342</v>
      </c>
      <c r="AE56" s="284">
        <f>FuelProd3!AV62</f>
        <v>8.6330594862364567</v>
      </c>
      <c r="AF56" s="201">
        <f>AE56/AE58</f>
        <v>0.10846117999888102</v>
      </c>
      <c r="AH56" s="251"/>
      <c r="AI56" s="155"/>
      <c r="AJ56" s="225"/>
      <c r="AK56" s="139"/>
      <c r="AL56" s="139" t="s">
        <v>342</v>
      </c>
      <c r="AM56" s="139"/>
      <c r="AN56" s="139"/>
      <c r="AO56" s="233"/>
      <c r="AQ56" s="1007" t="s">
        <v>408</v>
      </c>
      <c r="AR56" s="1008"/>
      <c r="AS56" s="595">
        <f>AC47+FuelProd3!CG66</f>
        <v>18600.605559861997</v>
      </c>
      <c r="AT56" s="595">
        <f t="shared" si="1"/>
        <v>18.600605559861997</v>
      </c>
      <c r="AU56" s="596">
        <f>AT56/(Q168*'Fuel Production'!C61)</f>
        <v>8.9066502764295098E-3</v>
      </c>
      <c r="AV56" s="596">
        <f>AT56/'Fuel Production'!G61/'Fuel Production'!C61</f>
        <v>8.9066502764295081E-3</v>
      </c>
      <c r="AW56" s="1017">
        <f>((AV56*'Fuel Production'!C63))*'Fuel Production'!C70+((AV56*'Fuel Production'!C64))*'Fuel Production'!C71+((AV56*'Fuel Production'!C65))*'Fuel Production'!C72+((AV56*'Fuel Production'!C66))*'Fuel Production'!C73</f>
        <v>0.19050335313474226</v>
      </c>
      <c r="AX56" s="1017"/>
      <c r="AY56" s="172">
        <f>((AT56*'Fuel Production'!C63))*'Fuel Production'!C70+((AT56*'Fuel Production'!C64))*'Fuel Production'!C71+((AT56*'Fuel Production'!C65))*'Fuel Production'!C72+((AT56*'Fuel Production'!C66))*'Fuel Production'!C73</f>
        <v>397.84628558593715</v>
      </c>
      <c r="BA56" s="276"/>
      <c r="BB56" s="36" t="s">
        <v>432</v>
      </c>
      <c r="BC56" s="37"/>
      <c r="BD56" s="37"/>
      <c r="BE56" s="37"/>
      <c r="BF56" s="37"/>
      <c r="BG56" s="37"/>
      <c r="BH56" s="37"/>
      <c r="BI56" s="37"/>
      <c r="BJ56" s="37"/>
      <c r="BK56" s="37"/>
      <c r="BL56" s="37"/>
      <c r="BM56" s="38"/>
      <c r="BQ56" s="36" t="s">
        <v>433</v>
      </c>
      <c r="BR56" s="37"/>
      <c r="BS56" s="37"/>
      <c r="BT56" s="37"/>
      <c r="BU56" s="37"/>
      <c r="BV56" s="37"/>
      <c r="BW56" s="37"/>
      <c r="BX56" s="37"/>
      <c r="BY56" s="37"/>
      <c r="BZ56" s="37"/>
      <c r="CA56" s="37"/>
      <c r="CB56" s="38"/>
      <c r="CD56" s="1007" t="s">
        <v>496</v>
      </c>
      <c r="CE56" s="1008"/>
      <c r="CF56">
        <f t="shared" si="0"/>
        <v>190.79125217134956</v>
      </c>
      <c r="CG56">
        <f>CF56*'Fuel Production'!C63</f>
        <v>4080.8128936649769</v>
      </c>
      <c r="CH56">
        <f>CG56/'Fuel Production'!C61</f>
        <v>93.288517137549761</v>
      </c>
    </row>
    <row r="57" spans="2:86" ht="15.75" x14ac:dyDescent="0.25">
      <c r="B57" s="171"/>
      <c r="Y57" s="198">
        <v>1</v>
      </c>
      <c r="Z57" s="155" t="s">
        <v>376</v>
      </c>
      <c r="AA57" s="282">
        <f>FuelProd3!C56</f>
        <v>3.17735468961776</v>
      </c>
      <c r="AB57" s="318">
        <f>AA57/AA58</f>
        <v>4.0163634881819218E-2</v>
      </c>
      <c r="AC57" s="228">
        <f>AA57/AA63</f>
        <v>3.1656070224524546E-2</v>
      </c>
      <c r="AD57" s="226" t="s">
        <v>344</v>
      </c>
      <c r="AE57" s="296">
        <f>FuelProd3!AV63</f>
        <v>0</v>
      </c>
      <c r="AF57" s="228">
        <f>AE57/AE58</f>
        <v>0</v>
      </c>
      <c r="AH57" s="251"/>
      <c r="AI57" s="38"/>
      <c r="AJ57" s="286"/>
      <c r="AK57" s="226"/>
      <c r="AL57" s="226" t="s">
        <v>344</v>
      </c>
      <c r="AM57" s="226"/>
      <c r="AN57" s="226"/>
      <c r="AO57" s="243"/>
      <c r="AQ57" s="1007" t="s">
        <v>447</v>
      </c>
      <c r="AR57" s="1008"/>
      <c r="AS57" s="595">
        <f>AC67+(AC22/2)*1/4+FuelProd3!CI66</f>
        <v>31714.191906565651</v>
      </c>
      <c r="AT57" s="595">
        <f t="shared" si="1"/>
        <v>31.714191906565652</v>
      </c>
      <c r="AU57" s="596">
        <f>AT57/(Q168*'Fuel Production'!C61)</f>
        <v>1.5185915060791557E-2</v>
      </c>
      <c r="AV57" s="596">
        <f>AT57/'Fuel Production'!G61/'Fuel Production'!C61</f>
        <v>1.5185915060791555E-2</v>
      </c>
      <c r="AW57" s="1017">
        <f>((AV57*'Fuel Production'!C63))*'Fuel Production'!C70+((AV57*'Fuel Production'!C64))*'Fuel Production'!C71+((AV57*'Fuel Production'!C65))*'Fuel Production'!C72+((AV57*'Fuel Production'!C66))*'Fuel Production'!C73</f>
        <v>0.32480984991137496</v>
      </c>
      <c r="AX57" s="1017"/>
      <c r="AY57" s="172">
        <f>((AT57*'Fuel Production'!C63))*'Fuel Production'!C70+((AT57*'Fuel Production'!C64))*'Fuel Production'!C71+((AT57*'Fuel Production'!C65))*'Fuel Production'!C72+((AT57*'Fuel Production'!C66))*'Fuel Production'!C73</f>
        <v>678.33132689043202</v>
      </c>
      <c r="BA57" s="276"/>
      <c r="BB57" s="15" t="s">
        <v>434</v>
      </c>
      <c r="BM57" s="16"/>
      <c r="BQ57" s="13" t="s">
        <v>435</v>
      </c>
      <c r="BR57" s="11"/>
      <c r="BS57" s="11"/>
      <c r="BT57" s="11"/>
      <c r="BU57" s="11"/>
      <c r="BV57" s="11"/>
      <c r="BW57" s="11"/>
      <c r="BX57" s="11"/>
      <c r="BY57" s="11"/>
      <c r="BZ57" s="11"/>
      <c r="CA57" s="11"/>
      <c r="CB57" s="14"/>
      <c r="CD57" s="1007" t="s">
        <v>488</v>
      </c>
      <c r="CE57" s="1008"/>
      <c r="CF57">
        <f t="shared" si="0"/>
        <v>18.980209754961223</v>
      </c>
      <c r="CG57">
        <f>CF57*'Fuel Production'!C63</f>
        <v>405.9655975366706</v>
      </c>
      <c r="CH57">
        <f>CG57/'Fuel Production'!C61</f>
        <v>9.2804864104030411</v>
      </c>
    </row>
    <row r="58" spans="2:86" ht="16.5" thickBot="1" x14ac:dyDescent="0.3">
      <c r="B58" s="171"/>
      <c r="Y58" s="214"/>
      <c r="Z58" s="254" t="s">
        <v>278</v>
      </c>
      <c r="AA58" s="255">
        <f>SUM(AA53:AA57)</f>
        <v>79.110237381827361</v>
      </c>
      <c r="AB58" s="301"/>
      <c r="AC58" s="250">
        <f>SUM(AC53:AC57)</f>
        <v>0.78817742262800594</v>
      </c>
      <c r="AD58" s="249" t="s">
        <v>278</v>
      </c>
      <c r="AE58" s="255">
        <f>SUM(AE53:AE57)</f>
        <v>79.595846977928161</v>
      </c>
      <c r="AF58" s="250">
        <f>SUM(AF53:AF57)</f>
        <v>1</v>
      </c>
      <c r="AH58" s="253"/>
      <c r="AI58" s="254" t="s">
        <v>278</v>
      </c>
      <c r="AJ58" s="255">
        <f>SUM(AJ53:AJ54)</f>
        <v>4.1756461460914691</v>
      </c>
      <c r="AK58" s="249"/>
      <c r="AL58" s="249" t="s">
        <v>278</v>
      </c>
      <c r="AM58" s="249"/>
      <c r="AN58" s="249"/>
      <c r="AO58" s="267"/>
      <c r="AQ58" s="1007" t="s">
        <v>496</v>
      </c>
      <c r="AR58" s="1008"/>
      <c r="AS58" s="595">
        <f>AD93+FuelProd3!CK66</f>
        <v>190791.25217134957</v>
      </c>
      <c r="AT58" s="595">
        <f t="shared" si="1"/>
        <v>190.79125217134956</v>
      </c>
      <c r="AU58" s="596">
        <f>AT58/(Q168*'Fuel Production'!C61)</f>
        <v>9.1357829906312499E-2</v>
      </c>
      <c r="AV58" s="596">
        <f>AT58/'Fuel Production'!G61/'Fuel Production'!C61</f>
        <v>9.1357829906312485E-2</v>
      </c>
      <c r="AW58" s="1017">
        <f>((AV58*'Fuel Production'!C63))*'Fuel Production'!C70+((AV58*'Fuel Production'!C64))*'Fuel Production'!C71+((AV58*'Fuel Production'!C65))*'Fuel Production'!C72+((AV58*'Fuel Production'!C66))*'Fuel Production'!C73</f>
        <v>1.9540424729961281</v>
      </c>
      <c r="AX58" s="1017"/>
      <c r="AY58" s="172">
        <f>((AT58*'Fuel Production'!C63))*'Fuel Production'!C70+((AT58*'Fuel Production'!C64))*'Fuel Production'!C71+((AT58*'Fuel Production'!C65))*'Fuel Production'!C72+((AT58*'Fuel Production'!C66))*'Fuel Production'!C73</f>
        <v>4080.8128936649769</v>
      </c>
      <c r="BA58" s="275"/>
      <c r="BB58" s="36" t="s">
        <v>436</v>
      </c>
      <c r="BC58" s="37"/>
      <c r="BD58" s="37"/>
      <c r="BE58" s="37"/>
      <c r="BF58" s="37"/>
      <c r="BG58" s="37"/>
      <c r="BH58" s="37"/>
      <c r="BI58" s="37"/>
      <c r="BJ58" s="37"/>
      <c r="BK58" s="37"/>
      <c r="BL58" s="37"/>
      <c r="BM58" s="38"/>
      <c r="BQ58" s="36" t="s">
        <v>437</v>
      </c>
      <c r="BR58" s="37"/>
      <c r="BS58" s="37"/>
      <c r="BT58" s="37"/>
      <c r="BU58" s="37"/>
      <c r="BV58" s="37"/>
      <c r="BW58" s="37"/>
      <c r="BX58" s="37"/>
      <c r="BY58" s="37"/>
      <c r="BZ58" s="37"/>
      <c r="CA58" s="37"/>
      <c r="CB58" s="38"/>
      <c r="CD58" s="1007" t="s">
        <v>534</v>
      </c>
      <c r="CE58" s="1008"/>
      <c r="CF58">
        <f t="shared" si="0"/>
        <v>134.91274900836819</v>
      </c>
      <c r="CG58">
        <f>CF58*'Fuel Production'!C63</f>
        <v>2885.6337982345422</v>
      </c>
      <c r="CH58">
        <f>CG58/'Fuel Production'!C61</f>
        <v>65.96639077895351</v>
      </c>
    </row>
    <row r="59" spans="2:86" ht="16.5" thickBot="1" x14ac:dyDescent="0.3">
      <c r="B59" s="171"/>
      <c r="Y59" s="214"/>
      <c r="Z59" s="216" t="s">
        <v>279</v>
      </c>
      <c r="AB59" s="319"/>
      <c r="AD59" s="232"/>
      <c r="AE59" s="139"/>
      <c r="AF59" s="233"/>
      <c r="AI59" s="144"/>
      <c r="AQ59" s="1007" t="s">
        <v>488</v>
      </c>
      <c r="AR59" s="1008"/>
      <c r="AS59" s="594">
        <f>AL92+FuelProd3!CM66</f>
        <v>18980.209754961223</v>
      </c>
      <c r="AT59" s="595">
        <f t="shared" si="1"/>
        <v>18.980209754961223</v>
      </c>
      <c r="AU59" s="596">
        <f>AT59/(Q168*'Fuel Production'!C61)</f>
        <v>9.0884186494178676E-3</v>
      </c>
      <c r="AV59" s="596">
        <f>AT59/'Fuel Production'!G61/'Fuel Production'!C61</f>
        <v>9.0884186494178659E-3</v>
      </c>
      <c r="AW59" s="1017">
        <f>((AV59*'Fuel Production'!C63))*'Fuel Production'!C70+((AV59*'Fuel Production'!C64))*'Fuel Production'!C71+((AV59*'Fuel Production'!C65))*'Fuel Production'!C72+((AV59*'Fuel Production'!C66))*'Fuel Production'!C73</f>
        <v>0.19439117666810435</v>
      </c>
      <c r="AX59" s="1017"/>
      <c r="AY59" s="172">
        <f>((AT59*'Fuel Production'!C63))*'Fuel Production'!C70+((AT59*'Fuel Production'!C64))*'Fuel Production'!C71+((AT59*'Fuel Production'!C65))*'Fuel Production'!C72+((AT59*'Fuel Production'!C66))*'Fuel Production'!C73</f>
        <v>405.9655975366706</v>
      </c>
      <c r="BA59" s="275"/>
      <c r="BB59" s="15" t="s">
        <v>438</v>
      </c>
      <c r="BM59" s="16"/>
      <c r="BQ59" s="13" t="s">
        <v>439</v>
      </c>
      <c r="BR59" s="11"/>
      <c r="BS59" s="11"/>
      <c r="BT59" s="11"/>
      <c r="BU59" s="11"/>
      <c r="BV59" s="11"/>
      <c r="BW59" s="11"/>
      <c r="BX59" s="11"/>
      <c r="BY59" s="11"/>
      <c r="BZ59" s="11"/>
      <c r="CA59" s="11"/>
      <c r="CB59" s="14"/>
      <c r="CD59" s="1007" t="s">
        <v>357</v>
      </c>
      <c r="CE59" s="1008"/>
      <c r="CF59">
        <f t="shared" si="0"/>
        <v>31.714191906565652</v>
      </c>
      <c r="CG59">
        <f>CF59*'Fuel Production'!C63</f>
        <v>678.33132689043202</v>
      </c>
      <c r="CH59">
        <f>CG59/'Fuel Production'!C61</f>
        <v>15.506842695922458</v>
      </c>
    </row>
    <row r="60" spans="2:86" ht="16.5" thickBot="1" x14ac:dyDescent="0.3">
      <c r="B60" s="171"/>
      <c r="Y60" s="316">
        <v>1</v>
      </c>
      <c r="Z60" s="191" t="s">
        <v>267</v>
      </c>
      <c r="AA60" s="320">
        <f>SUM(AA38:AA41)</f>
        <v>21.228506875980358</v>
      </c>
      <c r="AB60" s="204">
        <f>AA60/AA60</f>
        <v>1</v>
      </c>
      <c r="AC60" s="194">
        <f>AA60/AA63</f>
        <v>0.21150018492542935</v>
      </c>
      <c r="AD60" s="232"/>
      <c r="AE60" s="139"/>
      <c r="AF60" s="233"/>
      <c r="AI60" s="144"/>
      <c r="AQ60" s="1007" t="s">
        <v>534</v>
      </c>
      <c r="AR60" s="1008"/>
      <c r="AS60" s="594">
        <f>N140+FuelProd3!CO66</f>
        <v>134912.74900836821</v>
      </c>
      <c r="AT60" s="595">
        <f t="shared" si="1"/>
        <v>134.91274900836819</v>
      </c>
      <c r="AU60" s="596">
        <f>AT60/(Q168*'Fuel Production'!C61)</f>
        <v>6.4601158783895135E-2</v>
      </c>
      <c r="AV60" s="596">
        <f>AT60/'Fuel Production'!G61/'Fuel Production'!C61</f>
        <v>6.4601158783895135E-2</v>
      </c>
      <c r="AW60" s="1017">
        <f>((AV60*'Fuel Production'!C63))*'Fuel Production'!C70+((AV60*'Fuel Production'!C64))*'Fuel Production'!C71+((AV60*'Fuel Production'!C65))*'Fuel Production'!C72+((AV60*'Fuel Production'!C66))*'Fuel Production'!C73</f>
        <v>1.3817470073222016</v>
      </c>
      <c r="AX60" s="1017"/>
      <c r="AY60" s="172">
        <f>((AT60*'Fuel Production'!C63))*'Fuel Production'!C70+((AT60*'Fuel Production'!C64))*'Fuel Production'!C71+((AT60*'Fuel Production'!C65))*'Fuel Production'!C72+((AT60*'Fuel Production'!C66))*'Fuel Production'!C73</f>
        <v>2885.6337982345422</v>
      </c>
      <c r="BA60" s="275"/>
      <c r="BB60" s="36" t="s">
        <v>440</v>
      </c>
      <c r="BC60" s="37"/>
      <c r="BD60" s="37"/>
      <c r="BE60" s="37"/>
      <c r="BF60" s="37"/>
      <c r="BG60" s="37"/>
      <c r="BH60" s="37"/>
      <c r="BI60" s="37"/>
      <c r="BJ60" s="37"/>
      <c r="BK60" s="37"/>
      <c r="BL60" s="37"/>
      <c r="BM60" s="38"/>
      <c r="CD60" s="1007" t="s">
        <v>527</v>
      </c>
      <c r="CE60" s="1008"/>
      <c r="CF60">
        <f t="shared" si="0"/>
        <v>31.714191906565652</v>
      </c>
      <c r="CG60">
        <f>CF60*'Fuel Production'!C63</f>
        <v>678.33132689043202</v>
      </c>
      <c r="CH60">
        <f>CG60/'Fuel Production'!C61</f>
        <v>15.506842695922458</v>
      </c>
    </row>
    <row r="61" spans="2:86" ht="16.5" thickBot="1" x14ac:dyDescent="0.3">
      <c r="B61" s="171"/>
      <c r="Y61" s="198">
        <v>1</v>
      </c>
      <c r="Z61" s="236" t="s">
        <v>1339</v>
      </c>
      <c r="AA61" s="303">
        <f>FuelProd3!C45</f>
        <v>3.2358885506771809E-2</v>
      </c>
      <c r="AB61" s="321"/>
      <c r="AC61" s="221"/>
      <c r="AD61" s="241"/>
      <c r="AE61" s="226"/>
      <c r="AF61" s="243"/>
      <c r="AH61" s="144"/>
      <c r="AI61" s="144"/>
      <c r="AQ61" s="1007" t="s">
        <v>357</v>
      </c>
      <c r="AR61" s="1008"/>
      <c r="AS61" s="595">
        <f>W91+(AC22/2)*1/4</f>
        <v>31714.191906565651</v>
      </c>
      <c r="AT61" s="595">
        <f t="shared" si="1"/>
        <v>31.714191906565652</v>
      </c>
      <c r="AU61" s="596">
        <f>AT61/(Q168*'Fuel Production'!C61)</f>
        <v>1.5185915060791557E-2</v>
      </c>
      <c r="AV61" s="596">
        <f>AT61/'Fuel Production'!G61/'Fuel Production'!C61</f>
        <v>1.5185915060791555E-2</v>
      </c>
      <c r="AW61" s="1017">
        <f>((AV61*'Fuel Production'!C63))*'Fuel Production'!C70+((AV61*'Fuel Production'!C64))*'Fuel Production'!C71+((AV61*'Fuel Production'!C65))*'Fuel Production'!C72+((AV61*'Fuel Production'!C66))*'Fuel Production'!C73</f>
        <v>0.32480984991137496</v>
      </c>
      <c r="AX61" s="1017"/>
      <c r="AY61" s="172">
        <f>((AT61*'Fuel Production'!C63))*'Fuel Production'!C70+((AT61*'Fuel Production'!C64))*'Fuel Production'!C71+((AT61*'Fuel Production'!C65))*'Fuel Production'!C72+((AT61*'Fuel Production'!C66))*'Fuel Production'!C73</f>
        <v>678.33132689043202</v>
      </c>
      <c r="BA61" s="275"/>
      <c r="BB61" s="13" t="s">
        <v>442</v>
      </c>
      <c r="BC61" s="11"/>
      <c r="BD61" s="11"/>
      <c r="BE61" s="11"/>
      <c r="BF61" s="11"/>
      <c r="BG61" s="11"/>
      <c r="BH61" s="11"/>
      <c r="BI61" s="11"/>
      <c r="BJ61" s="11"/>
      <c r="BK61" s="11"/>
      <c r="BL61" s="11"/>
      <c r="BM61" s="14"/>
      <c r="CD61" s="1007" t="s">
        <v>527</v>
      </c>
      <c r="CE61" s="1008"/>
      <c r="CF61">
        <f t="shared" si="0"/>
        <v>31.714191906565652</v>
      </c>
      <c r="CG61">
        <f>CF61*'Fuel Production'!C63</f>
        <v>678.33132689043202</v>
      </c>
      <c r="CH61">
        <f>CG61/'Fuel Production'!C61</f>
        <v>15.506842695922458</v>
      </c>
    </row>
    <row r="62" spans="2:86" ht="16.5" thickBot="1" x14ac:dyDescent="0.3">
      <c r="B62" s="171"/>
      <c r="Y62" s="214">
        <v>1</v>
      </c>
      <c r="Z62" s="16"/>
      <c r="AA62" s="286"/>
      <c r="AB62" s="322"/>
      <c r="AC62" s="224"/>
      <c r="AD62" s="241"/>
      <c r="AE62" s="226"/>
      <c r="AF62" s="243"/>
      <c r="AI62" s="144"/>
      <c r="AQ62" s="1007" t="s">
        <v>527</v>
      </c>
      <c r="AR62" s="1008"/>
      <c r="AS62" s="595">
        <f>FuelProd3!CS66+(AC22/2)*1/4</f>
        <v>31714.191906565651</v>
      </c>
      <c r="AT62" s="595">
        <f t="shared" si="1"/>
        <v>31.714191906565652</v>
      </c>
      <c r="AU62" s="596">
        <f>AT62/(Q168*'Fuel Production'!C61)</f>
        <v>1.5185915060791557E-2</v>
      </c>
      <c r="AV62" s="596">
        <f>AT62/'Fuel Production'!G61/'Fuel Production'!C61</f>
        <v>1.5185915060791555E-2</v>
      </c>
      <c r="AW62" s="1017">
        <f>((AV62*'Fuel Production'!C63))*'Fuel Production'!C70+((AV62*'Fuel Production'!C64))*'Fuel Production'!C71+((AV62*'Fuel Production'!C65))*'Fuel Production'!C72+((AV62*'Fuel Production'!C66))*'Fuel Production'!C73</f>
        <v>0.32480984991137496</v>
      </c>
      <c r="AX62" s="1017"/>
      <c r="AY62" s="172">
        <f>((AT62*'Fuel Production'!C63))*'Fuel Production'!C70+((AT62*'Fuel Production'!C64))*'Fuel Production'!C71+((AV62*'Fuel Production'!C65))*'Fuel Production'!C72+((AV62*'Fuel Production'!C66))*'Fuel Production'!C73</f>
        <v>678.33132689043202</v>
      </c>
      <c r="BA62" s="275"/>
      <c r="BB62" s="15" t="s">
        <v>443</v>
      </c>
      <c r="BM62" s="16"/>
      <c r="CD62" s="1007" t="s">
        <v>542</v>
      </c>
      <c r="CE62" s="1008"/>
      <c r="CF62">
        <f t="shared" si="0"/>
        <v>0</v>
      </c>
      <c r="CG62">
        <f>CF62*'Fuel Production'!C63</f>
        <v>0</v>
      </c>
      <c r="CH62">
        <f>CG62/'Fuel Production'!C61</f>
        <v>0</v>
      </c>
    </row>
    <row r="63" spans="2:86" ht="16.5" thickBot="1" x14ac:dyDescent="0.3">
      <c r="B63" s="171"/>
      <c r="Y63" s="253"/>
      <c r="Z63" s="191" t="s">
        <v>352</v>
      </c>
      <c r="AA63" s="323">
        <f>AA60+AA58+AA61</f>
        <v>100.37110314331449</v>
      </c>
      <c r="AB63" s="324"/>
      <c r="AC63" s="194">
        <f>AC58+AC60</f>
        <v>0.99967760755343527</v>
      </c>
      <c r="AD63" s="218" t="s">
        <v>278</v>
      </c>
      <c r="AE63" s="255"/>
      <c r="AF63" s="250"/>
      <c r="AI63" s="144"/>
      <c r="AQ63" s="1007" t="s">
        <v>527</v>
      </c>
      <c r="AR63" s="1008"/>
      <c r="AS63" s="595">
        <f>FuelProd3!CU66+(AC22/2)*1/4</f>
        <v>31714.191906565651</v>
      </c>
      <c r="AT63" s="595">
        <f t="shared" si="1"/>
        <v>31.714191906565652</v>
      </c>
      <c r="AU63" s="596">
        <f>AT63/(Q168*'Fuel Production'!C61)</f>
        <v>1.5185915060791557E-2</v>
      </c>
      <c r="AV63" s="596">
        <f>AT63/'Fuel Production'!G61/'Fuel Production'!C61</f>
        <v>1.5185915060791555E-2</v>
      </c>
      <c r="AW63" s="1017">
        <f>((AV63*'Fuel Production'!C63))*'Fuel Production'!C70+((AV63*'Fuel Production'!C64))*'Fuel Production'!C71+((AV63*'Fuel Production'!C65))*'Fuel Production'!C72+((AV63*'Fuel Production'!C66))*'Fuel Production'!C73</f>
        <v>0.32480984991137496</v>
      </c>
      <c r="AX63" s="1017"/>
      <c r="AY63" s="172">
        <f>((AT63*'Fuel Production'!C63))*'Fuel Production'!C70+((AT63*'Fuel Production'!C64))*'Fuel Production'!C71+((AT63*'Fuel Production'!C65))*'Fuel Production'!C72+((AT63*'Fuel Production'!C66))*'Fuel Production'!C73</f>
        <v>678.33132689043202</v>
      </c>
      <c r="BA63" s="275"/>
      <c r="BB63" s="15" t="s">
        <v>444</v>
      </c>
      <c r="BM63" s="16"/>
      <c r="CD63" s="815" t="s">
        <v>441</v>
      </c>
      <c r="CE63" s="816"/>
      <c r="CF63">
        <f t="shared" si="0"/>
        <v>0</v>
      </c>
      <c r="CG63">
        <f>CF63*'Fuel Production'!C63</f>
        <v>0</v>
      </c>
      <c r="CH63">
        <f>('Fuel Production'!G287*'Fuel Production'!C287*1000)/'Fuel Production'!C61</f>
        <v>524.08860411268881</v>
      </c>
    </row>
    <row r="64" spans="2:86" ht="16.5" thickBot="1" x14ac:dyDescent="0.3">
      <c r="B64" s="171"/>
      <c r="Z64" s="1013" t="s">
        <v>445</v>
      </c>
      <c r="AA64" s="1014"/>
      <c r="AB64" s="144"/>
      <c r="AC64" s="319"/>
      <c r="AI64" s="144"/>
      <c r="AQ64" s="1007" t="s">
        <v>542</v>
      </c>
      <c r="AR64" s="1008"/>
      <c r="AS64" s="594">
        <f>AM169</f>
        <v>0</v>
      </c>
      <c r="AT64" s="594">
        <f t="shared" si="1"/>
        <v>0</v>
      </c>
      <c r="AU64" s="596">
        <f>AT64/(Q168*'Fuel Production'!C61)</f>
        <v>0</v>
      </c>
      <c r="AV64" s="596">
        <f>AT64/'Fuel Production'!G61/'Fuel Production'!C61</f>
        <v>0</v>
      </c>
      <c r="AW64" s="1017">
        <f>((AV64*'Fuel Production'!C63))*'Fuel Production'!C70+((AV64*'Fuel Production'!C64))*'Fuel Production'!C71+((AV64*'Fuel Production'!C65))*'Fuel Production'!C72+((AV64*'Fuel Production'!C66))*'Fuel Production'!C73</f>
        <v>0</v>
      </c>
      <c r="AX64" s="1017"/>
      <c r="AY64" s="172">
        <f>((AT64*'Fuel Production'!C63))*'Fuel Production'!C70+((AT64*'Fuel Production'!C64))*'Fuel Production'!C71+((AT64*'Fuel Production'!C65))*'Fuel Production'!C72+((AT64*'Fuel Production'!C66))*'Fuel Production'!C73</f>
        <v>0</v>
      </c>
      <c r="AZ64">
        <f>SUM(AY54:AY66)</f>
        <v>15898.33096109936</v>
      </c>
      <c r="BA64" s="275"/>
      <c r="BB64" s="15" t="s">
        <v>446</v>
      </c>
      <c r="BM64" s="16"/>
      <c r="CD64" s="1007" t="s">
        <v>1119</v>
      </c>
      <c r="CE64" s="1008"/>
      <c r="CF64">
        <f t="shared" si="0"/>
        <v>78.126782581388753</v>
      </c>
      <c r="CG64">
        <f>CF64*'Fuel Production'!C63</f>
        <v>1671.045071879704</v>
      </c>
      <c r="CH64">
        <f>CG64/'Fuel Production'!C61</f>
        <v>38.200554861917155</v>
      </c>
    </row>
    <row r="65" spans="2:86" ht="16.5" thickBot="1" x14ac:dyDescent="0.3">
      <c r="B65" s="171"/>
      <c r="Z65" s="1070" t="s">
        <v>447</v>
      </c>
      <c r="AA65" s="1071"/>
      <c r="AB65" s="1011" t="s">
        <v>448</v>
      </c>
      <c r="AC65" s="1012"/>
      <c r="AI65" s="144"/>
      <c r="AQ65" s="601" t="s">
        <v>441</v>
      </c>
      <c r="AR65" s="602"/>
      <c r="AS65" s="596"/>
      <c r="AT65" s="596"/>
      <c r="AU65" s="596"/>
      <c r="AV65" s="596"/>
      <c r="AW65" s="1026">
        <f>'Fuel Production'!K287</f>
        <v>10.977678962775988</v>
      </c>
      <c r="AX65" s="1027"/>
      <c r="AY65" s="172"/>
      <c r="AZ65">
        <f>'Fuel Production'!G287*'Fuel Production'!C287*1000</f>
        <v>22925.731898305457</v>
      </c>
      <c r="BA65" s="275"/>
      <c r="BB65" s="15" t="s">
        <v>449</v>
      </c>
      <c r="BM65" s="16"/>
      <c r="CD65" s="1007" t="s">
        <v>1412</v>
      </c>
      <c r="CE65" s="1008"/>
      <c r="CF65">
        <f t="shared" si="0"/>
        <v>0</v>
      </c>
      <c r="CG65">
        <f>CF65*'Fuel Production'!C63</f>
        <v>0</v>
      </c>
      <c r="CH65">
        <f>('Fuel Production'!G283*1000)/'Fuel Production'!C61</f>
        <v>235.86428447003578</v>
      </c>
    </row>
    <row r="66" spans="2:86" ht="16.5" thickBot="1" x14ac:dyDescent="0.3">
      <c r="B66" s="171"/>
      <c r="Z66" s="1072"/>
      <c r="AA66" s="1073"/>
      <c r="AB66" s="1015" t="s">
        <v>331</v>
      </c>
      <c r="AC66" s="1016"/>
      <c r="AI66" s="144"/>
      <c r="AQ66" s="1007" t="s">
        <v>1119</v>
      </c>
      <c r="AR66" s="1008"/>
      <c r="AS66" s="596">
        <f>AU92+FuelProd3!CC80</f>
        <v>78126.782581388747</v>
      </c>
      <c r="AT66" s="596">
        <f>AS66/1000</f>
        <v>78.126782581388753</v>
      </c>
      <c r="AU66" s="596">
        <f>AT66/(Q168*'Fuel Production'!C61)</f>
        <v>3.7409961059366552E-2</v>
      </c>
      <c r="AV66" s="596">
        <f>AT66/'Fuel Production'!G61/'Fuel Production'!C61</f>
        <v>3.7409961059366552E-2</v>
      </c>
      <c r="AW66" s="1017">
        <f>((AV66*'Fuel Production'!C63))*'Fuel Production'!C70+((AV66*'Fuel Production'!C64))*'Fuel Production'!C71+((AV66*'Fuel Production'!C65))*'Fuel Production'!C72+((AV66*'Fuel Production'!C66))*'Fuel Production'!C73</f>
        <v>0.80015750043645129</v>
      </c>
      <c r="AX66" s="1017"/>
      <c r="AY66" s="172">
        <f>((AT66*'Fuel Production'!C63))*'Fuel Production'!C70+((AT66*'Fuel Production'!C64))*'Fuel Production'!C71+((AT66*'Fuel Production'!C65))*'Fuel Production'!C72+((AT66*'Fuel Production'!C66))*'Fuel Production'!C73</f>
        <v>1671.045071879704</v>
      </c>
      <c r="BA66" s="275"/>
      <c r="BB66" s="13" t="s">
        <v>450</v>
      </c>
      <c r="BC66" s="11"/>
      <c r="BD66" s="11"/>
      <c r="BE66" s="11"/>
      <c r="BF66" s="11"/>
      <c r="BG66" s="11"/>
      <c r="BH66" s="11"/>
      <c r="BI66" s="11"/>
      <c r="BJ66" s="11"/>
      <c r="BK66" s="11"/>
      <c r="BL66" s="11"/>
      <c r="BM66" s="14"/>
    </row>
    <row r="67" spans="2:86" ht="16.5" thickBot="1" x14ac:dyDescent="0.3">
      <c r="B67" s="171"/>
      <c r="Z67" s="294" t="s">
        <v>336</v>
      </c>
      <c r="AA67" s="325">
        <f>FuelProd3!CI66</f>
        <v>0</v>
      </c>
      <c r="AB67" s="211" t="s">
        <v>336</v>
      </c>
      <c r="AC67" s="266">
        <f>AA67*(1/AK6)</f>
        <v>0</v>
      </c>
      <c r="AI67" s="144"/>
      <c r="AQ67" s="1007" t="s">
        <v>1412</v>
      </c>
      <c r="AR67" s="1008"/>
      <c r="AS67" s="596"/>
      <c r="AT67" s="596"/>
      <c r="AU67" s="596"/>
      <c r="AV67" s="596"/>
      <c r="AW67" s="1017">
        <f>'Fuel Production'!K283</f>
        <v>4.9404668855195863</v>
      </c>
      <c r="AX67" s="1017"/>
      <c r="AY67" s="172"/>
      <c r="AZ67">
        <f>'Fuel Production'!G283*1000</f>
        <v>10317.647259857245</v>
      </c>
      <c r="BA67" s="275"/>
    </row>
    <row r="68" spans="2:86" ht="15.75" thickBot="1" x14ac:dyDescent="0.3">
      <c r="B68" s="171"/>
      <c r="AI68" s="144"/>
      <c r="AS68" s="144">
        <f>SUM(AS54:AS67)</f>
        <v>743298.59038906102</v>
      </c>
      <c r="AT68" s="144">
        <f>SUM(AT54:AT67)</f>
        <v>743.29859038906113</v>
      </c>
      <c r="AV68" s="748" t="s">
        <v>278</v>
      </c>
      <c r="AW68" s="1018">
        <f>SUM(AW54:AX67)</f>
        <v>23.530848208642496</v>
      </c>
      <c r="AX68" s="1018"/>
      <c r="AY68" s="172"/>
      <c r="AZ68">
        <f>AZ64+AZ65+AZ67</f>
        <v>49141.710119262061</v>
      </c>
      <c r="BA68" s="275"/>
    </row>
    <row r="69" spans="2:86" ht="15.75" thickBot="1" x14ac:dyDescent="0.3">
      <c r="B69" s="171"/>
      <c r="AE69" s="1062" t="s">
        <v>414</v>
      </c>
      <c r="AF69" s="1063"/>
      <c r="AI69" s="144"/>
      <c r="AS69" s="144">
        <f>(AS68-AS66)/1000</f>
        <v>665.17180780767228</v>
      </c>
      <c r="AY69" s="172"/>
      <c r="AZ69">
        <f>AZ68/('Fuel Production'!G61*'Fuel Production'!C61)</f>
        <v>23.530848208642492</v>
      </c>
      <c r="BA69" s="275" t="s">
        <v>451</v>
      </c>
      <c r="BB69" s="240" t="s">
        <v>452</v>
      </c>
      <c r="BC69" s="240"/>
      <c r="BD69" s="240"/>
      <c r="BE69" s="240"/>
      <c r="BF69" s="240"/>
      <c r="BG69" s="240"/>
      <c r="BH69" s="240"/>
      <c r="BI69" s="240"/>
      <c r="BJ69" s="240"/>
      <c r="BK69" s="240"/>
      <c r="BL69" s="240"/>
      <c r="BM69" s="240"/>
      <c r="BN69" s="240"/>
    </row>
    <row r="70" spans="2:86" ht="15.75" x14ac:dyDescent="0.25">
      <c r="B70" s="171"/>
      <c r="Y70" s="1036">
        <v>5</v>
      </c>
      <c r="Z70" s="1064" t="s">
        <v>453</v>
      </c>
      <c r="AA70" s="1065"/>
      <c r="AB70" s="1065"/>
      <c r="AC70" s="1065"/>
      <c r="AD70" s="1065"/>
      <c r="AE70" s="1065"/>
      <c r="AF70" s="1066"/>
      <c r="AI70" s="144"/>
      <c r="AY70" s="172"/>
      <c r="BA70" s="276"/>
      <c r="BB70" t="s">
        <v>454</v>
      </c>
    </row>
    <row r="71" spans="2:86" ht="15.75" thickBot="1" x14ac:dyDescent="0.3">
      <c r="B71" s="171"/>
      <c r="Y71" s="1037"/>
      <c r="Z71" s="1047" t="s">
        <v>319</v>
      </c>
      <c r="AA71" s="991"/>
      <c r="AB71" s="991"/>
      <c r="AC71" s="979"/>
      <c r="AD71" s="978" t="s">
        <v>320</v>
      </c>
      <c r="AE71" s="991"/>
      <c r="AF71" s="1046"/>
      <c r="AY71" s="172"/>
      <c r="BA71" s="276"/>
    </row>
    <row r="72" spans="2:86" ht="15.75" thickBot="1" x14ac:dyDescent="0.3">
      <c r="B72" s="171"/>
      <c r="Y72" s="187" t="s">
        <v>180</v>
      </c>
      <c r="Z72" s="188" t="s">
        <v>322</v>
      </c>
      <c r="AA72" s="145" t="s">
        <v>323</v>
      </c>
      <c r="AB72" s="145" t="s">
        <v>324</v>
      </c>
      <c r="AC72" s="145" t="s">
        <v>325</v>
      </c>
      <c r="AD72" s="145"/>
      <c r="AE72" s="145" t="s">
        <v>323</v>
      </c>
      <c r="AF72" s="189" t="s">
        <v>326</v>
      </c>
      <c r="AY72" s="172"/>
      <c r="BA72" s="275" t="s">
        <v>455</v>
      </c>
      <c r="BB72" s="240" t="s">
        <v>456</v>
      </c>
      <c r="BC72" s="240"/>
      <c r="BD72" s="240"/>
      <c r="BE72" s="240"/>
      <c r="BF72" s="240"/>
      <c r="BG72" s="240"/>
      <c r="BH72" s="240"/>
      <c r="BI72" s="240"/>
      <c r="BJ72" s="240"/>
      <c r="BK72" s="240"/>
      <c r="BL72" s="240"/>
      <c r="BM72" s="240"/>
      <c r="BN72" s="240"/>
      <c r="BO72" s="240"/>
    </row>
    <row r="73" spans="2:86" ht="16.5" thickBot="1" x14ac:dyDescent="0.3">
      <c r="B73" s="171"/>
      <c r="Y73" s="258">
        <v>1</v>
      </c>
      <c r="Z73" s="155" t="s">
        <v>274</v>
      </c>
      <c r="AA73" s="282">
        <f>FuelProd3!H31</f>
        <v>8.0719106196310868</v>
      </c>
      <c r="AB73" s="261">
        <f>AA73/AA83</f>
        <v>0.10145244776416426</v>
      </c>
      <c r="AC73" s="261">
        <f>AA73/AA89</f>
        <v>7.9952000070887597E-2</v>
      </c>
      <c r="AD73" s="139" t="s">
        <v>328</v>
      </c>
      <c r="AE73" s="326">
        <f>FuelProd3!AV70</f>
        <v>12.821636484202903</v>
      </c>
      <c r="AF73" s="201">
        <f>AE73/AE83</f>
        <v>0.17041799783367309</v>
      </c>
      <c r="AN73" s="1062" t="s">
        <v>415</v>
      </c>
      <c r="AO73" s="1063"/>
      <c r="AV73" s="1034" t="s">
        <v>414</v>
      </c>
      <c r="AW73" s="1035"/>
      <c r="AY73" s="172"/>
      <c r="BA73" s="276"/>
      <c r="BP73" s="240"/>
    </row>
    <row r="74" spans="2:86" ht="16.5" thickBot="1" x14ac:dyDescent="0.3">
      <c r="B74" s="171"/>
      <c r="N74" s="1062" t="s">
        <v>414</v>
      </c>
      <c r="O74" s="1063"/>
      <c r="V74" s="1062" t="s">
        <v>414</v>
      </c>
      <c r="W74" s="1063"/>
      <c r="Y74" s="258">
        <v>1</v>
      </c>
      <c r="Z74" s="155" t="s">
        <v>276</v>
      </c>
      <c r="AA74" s="282">
        <f>FuelProd3!H32</f>
        <v>0.226617811513707</v>
      </c>
      <c r="AB74" s="261">
        <f>AA74/AA83</f>
        <v>2.848263907817446E-3</v>
      </c>
      <c r="AC74" s="261">
        <f>AA74/AA89</f>
        <v>2.2446417132201066E-3</v>
      </c>
      <c r="AD74" s="139" t="s">
        <v>333</v>
      </c>
      <c r="AE74" s="326">
        <f>FuelProd3!AV71</f>
        <v>54.301981516697907</v>
      </c>
      <c r="AF74" s="201">
        <f>AE74/AE83</f>
        <v>0.7217514690795015</v>
      </c>
      <c r="AH74" s="1036" t="s">
        <v>457</v>
      </c>
      <c r="AI74" s="1064" t="s">
        <v>458</v>
      </c>
      <c r="AJ74" s="1065"/>
      <c r="AK74" s="1065"/>
      <c r="AL74" s="1065"/>
      <c r="AM74" s="1065"/>
      <c r="AN74" s="1065"/>
      <c r="AO74" s="1066"/>
      <c r="AQ74" s="1036" t="s">
        <v>459</v>
      </c>
      <c r="AR74" s="1041" t="s">
        <v>363</v>
      </c>
      <c r="AS74" s="1042"/>
      <c r="AT74" s="1042"/>
      <c r="AU74" s="1042"/>
      <c r="AV74" s="1042"/>
      <c r="AW74" s="1043"/>
      <c r="AY74" s="172"/>
      <c r="BA74" s="275" t="s">
        <v>460</v>
      </c>
      <c r="BB74" s="240" t="s">
        <v>461</v>
      </c>
      <c r="BC74" s="240"/>
      <c r="BD74" s="240"/>
      <c r="BE74" s="240"/>
      <c r="BF74" s="240"/>
      <c r="BG74" s="240"/>
      <c r="BH74" s="240"/>
      <c r="BI74" s="240"/>
      <c r="BJ74" s="240"/>
      <c r="BK74" s="240"/>
      <c r="BL74" s="240"/>
      <c r="BM74" s="240"/>
      <c r="BN74" s="240"/>
      <c r="BO74" s="240"/>
      <c r="BP74" s="240"/>
    </row>
    <row r="75" spans="2:86" ht="15" customHeight="1" thickBot="1" x14ac:dyDescent="0.3">
      <c r="B75" s="171"/>
      <c r="G75" s="1036" t="s">
        <v>462</v>
      </c>
      <c r="H75" s="1067" t="s">
        <v>463</v>
      </c>
      <c r="I75" s="1068"/>
      <c r="J75" s="1068"/>
      <c r="K75" s="1068"/>
      <c r="L75" s="1068"/>
      <c r="M75" s="1068"/>
      <c r="N75" s="1068"/>
      <c r="O75" s="1069"/>
      <c r="Q75" s="1036" t="s">
        <v>464</v>
      </c>
      <c r="R75" s="1064" t="s">
        <v>465</v>
      </c>
      <c r="S75" s="1065"/>
      <c r="T75" s="1065"/>
      <c r="U75" s="1065"/>
      <c r="V75" s="1065"/>
      <c r="W75" s="1066"/>
      <c r="Y75" s="258">
        <v>1</v>
      </c>
      <c r="Z75" s="327" t="s">
        <v>268</v>
      </c>
      <c r="AA75" s="282">
        <f>FuelProd3!H33</f>
        <v>2.9622185362148841</v>
      </c>
      <c r="AB75" s="261">
        <f>AA75/AA83</f>
        <v>3.7230878223613754E-2</v>
      </c>
      <c r="AC75" s="261">
        <f>AA75/AA89</f>
        <v>2.9340673822805675E-2</v>
      </c>
      <c r="AD75" s="139" t="s">
        <v>338</v>
      </c>
      <c r="AE75" s="282">
        <f>FuelProd3!AV72</f>
        <v>0</v>
      </c>
      <c r="AF75" s="201">
        <f>AE75/AE83</f>
        <v>0</v>
      </c>
      <c r="AH75" s="1037"/>
      <c r="AI75" s="1047" t="s">
        <v>319</v>
      </c>
      <c r="AJ75" s="991"/>
      <c r="AK75" s="979"/>
      <c r="AL75" s="328"/>
      <c r="AM75" s="978" t="s">
        <v>320</v>
      </c>
      <c r="AN75" s="991"/>
      <c r="AO75" s="1046"/>
      <c r="AQ75" s="1037"/>
      <c r="AR75" s="1047" t="s">
        <v>319</v>
      </c>
      <c r="AS75" s="991"/>
      <c r="AT75" s="979"/>
      <c r="AU75" s="978" t="s">
        <v>320</v>
      </c>
      <c r="AV75" s="991"/>
      <c r="AW75" s="1046"/>
      <c r="AY75" s="172"/>
      <c r="BA75" s="276"/>
      <c r="BC75" s="240" t="s">
        <v>466</v>
      </c>
      <c r="BD75" s="240"/>
      <c r="BE75" s="240"/>
      <c r="BF75" s="240"/>
      <c r="BG75" s="240"/>
      <c r="BH75" s="240"/>
      <c r="BI75" s="240"/>
      <c r="BJ75" s="240"/>
      <c r="BK75" s="240"/>
      <c r="BL75" s="240"/>
      <c r="BM75" s="240"/>
      <c r="BN75" s="240"/>
      <c r="BO75" s="240"/>
    </row>
    <row r="76" spans="2:86" ht="15" customHeight="1" thickBot="1" x14ac:dyDescent="0.3">
      <c r="B76" s="171"/>
      <c r="G76" s="1037"/>
      <c r="H76" s="1044" t="s">
        <v>319</v>
      </c>
      <c r="I76" s="979"/>
      <c r="J76" s="892"/>
      <c r="K76" s="892"/>
      <c r="L76" s="329"/>
      <c r="M76" s="978" t="s">
        <v>320</v>
      </c>
      <c r="N76" s="991"/>
      <c r="O76" s="1046"/>
      <c r="Q76" s="1037"/>
      <c r="R76" s="1047" t="s">
        <v>319</v>
      </c>
      <c r="S76" s="991"/>
      <c r="T76" s="979"/>
      <c r="U76" s="978" t="s">
        <v>320</v>
      </c>
      <c r="V76" s="991"/>
      <c r="W76" s="1046"/>
      <c r="Y76" s="330">
        <v>1</v>
      </c>
      <c r="Z76" s="327" t="s">
        <v>467</v>
      </c>
      <c r="AA76" s="282">
        <f>FuelProd3!H34</f>
        <v>29.957213396963475</v>
      </c>
      <c r="AB76" s="261">
        <f>AA76/AA83</f>
        <v>0.37651960861953421</v>
      </c>
      <c r="AC76" s="261">
        <f>AA76/AA89</f>
        <v>0.2967251795148203</v>
      </c>
      <c r="AD76" s="139" t="s">
        <v>342</v>
      </c>
      <c r="AE76" s="326">
        <f>FuelProd3!AV73</f>
        <v>8.1127810132264528</v>
      </c>
      <c r="AF76" s="201">
        <f>AE76/AE83</f>
        <v>0.10783053308682547</v>
      </c>
      <c r="AH76" s="181" t="s">
        <v>180</v>
      </c>
      <c r="AI76" s="270" t="s">
        <v>322</v>
      </c>
      <c r="AJ76" s="145" t="s">
        <v>323</v>
      </c>
      <c r="AK76" s="145" t="s">
        <v>324</v>
      </c>
      <c r="AL76" s="145" t="s">
        <v>325</v>
      </c>
      <c r="AM76" s="145"/>
      <c r="AN76" s="145" t="s">
        <v>323</v>
      </c>
      <c r="AO76" s="189" t="s">
        <v>326</v>
      </c>
      <c r="AQ76" s="181" t="s">
        <v>180</v>
      </c>
      <c r="AR76" s="188" t="s">
        <v>322</v>
      </c>
      <c r="AS76" s="145" t="s">
        <v>323</v>
      </c>
      <c r="AT76" s="145" t="s">
        <v>326</v>
      </c>
      <c r="AU76" s="145"/>
      <c r="AV76" s="145" t="s">
        <v>323</v>
      </c>
      <c r="AW76" s="189" t="s">
        <v>326</v>
      </c>
      <c r="AY76" s="172"/>
      <c r="BA76" s="276"/>
      <c r="BZ76" s="252"/>
    </row>
    <row r="77" spans="2:86" ht="15" customHeight="1" thickBot="1" x14ac:dyDescent="0.3">
      <c r="B77" s="171"/>
      <c r="G77" s="181" t="s">
        <v>180</v>
      </c>
      <c r="H77" s="270" t="s">
        <v>322</v>
      </c>
      <c r="I77" s="188"/>
      <c r="J77" s="145" t="s">
        <v>323</v>
      </c>
      <c r="K77" s="145" t="s">
        <v>326</v>
      </c>
      <c r="L77" s="145"/>
      <c r="M77" s="145"/>
      <c r="N77" s="145" t="s">
        <v>323</v>
      </c>
      <c r="O77" s="189" t="s">
        <v>326</v>
      </c>
      <c r="Q77" s="181" t="s">
        <v>180</v>
      </c>
      <c r="R77" s="270" t="s">
        <v>322</v>
      </c>
      <c r="S77" s="145" t="s">
        <v>323</v>
      </c>
      <c r="T77" s="145" t="s">
        <v>326</v>
      </c>
      <c r="U77" s="145"/>
      <c r="V77" s="145" t="s">
        <v>323</v>
      </c>
      <c r="W77" s="189" t="s">
        <v>326</v>
      </c>
      <c r="Y77" s="316">
        <v>1</v>
      </c>
      <c r="Z77" s="155" t="s">
        <v>468</v>
      </c>
      <c r="AA77" s="282">
        <f>FuelProd3!H35</f>
        <v>12.646593184615387</v>
      </c>
      <c r="AB77" s="261">
        <f>AA77/AA83</f>
        <v>0.15894970780975606</v>
      </c>
      <c r="AC77" s="261">
        <f>AA77/AA89</f>
        <v>0.12526407524059868</v>
      </c>
      <c r="AD77" s="226" t="s">
        <v>344</v>
      </c>
      <c r="AE77" s="331">
        <f>FuelProd3!AV74</f>
        <v>0</v>
      </c>
      <c r="AF77" s="228">
        <f>AE77/AE83</f>
        <v>0</v>
      </c>
      <c r="AH77" s="317">
        <v>1</v>
      </c>
      <c r="AI77" s="155" t="s">
        <v>274</v>
      </c>
      <c r="AJ77" s="282">
        <f>AA73</f>
        <v>8.0719106196310868</v>
      </c>
      <c r="AK77" s="242">
        <f>AJ77/AJ82</f>
        <v>0.43759005482371255</v>
      </c>
      <c r="AL77" s="242">
        <f>AJ77/AJ89</f>
        <v>0.37405964754966198</v>
      </c>
      <c r="AM77" s="139" t="s">
        <v>328</v>
      </c>
      <c r="AN77" s="282">
        <f>FuelProd3!AZ110</f>
        <v>4.549782466679912</v>
      </c>
      <c r="AO77" s="201">
        <f>AN77/AN82</f>
        <v>0.24212048388882998</v>
      </c>
      <c r="AQ77" s="317">
        <v>1</v>
      </c>
      <c r="AR77" s="155" t="s">
        <v>268</v>
      </c>
      <c r="AS77" s="225">
        <f>AJ79</f>
        <v>2.9622185362148841</v>
      </c>
      <c r="AT77" s="139">
        <f>AS77/AS82</f>
        <v>0.75538658871636055</v>
      </c>
      <c r="AU77" s="139" t="s">
        <v>328</v>
      </c>
      <c r="AV77" s="225">
        <f>FuelProd3!AZ114</f>
        <v>0.61363123408604991</v>
      </c>
      <c r="AW77" s="233"/>
      <c r="AY77" s="172"/>
      <c r="BA77" s="275" t="s">
        <v>469</v>
      </c>
      <c r="BB77" s="36" t="s">
        <v>470</v>
      </c>
      <c r="BC77" s="37"/>
      <c r="BD77" s="37"/>
      <c r="BE77" s="37"/>
      <c r="BF77" s="37"/>
      <c r="BG77" s="37"/>
      <c r="BH77" s="37"/>
      <c r="BI77" s="37"/>
      <c r="BJ77" s="37"/>
      <c r="BK77" s="37"/>
      <c r="BL77" s="37"/>
      <c r="BM77" s="37"/>
      <c r="BN77" s="37"/>
      <c r="BO77" s="37"/>
      <c r="BP77" s="37"/>
      <c r="BQ77" s="38"/>
      <c r="BZ77" s="252"/>
    </row>
    <row r="78" spans="2:86" x14ac:dyDescent="0.25">
      <c r="B78" s="171"/>
      <c r="G78" s="317">
        <v>1</v>
      </c>
      <c r="H78" s="332" t="s">
        <v>467</v>
      </c>
      <c r="I78" s="332"/>
      <c r="J78" s="282">
        <v>0</v>
      </c>
      <c r="K78" s="261">
        <v>0</v>
      </c>
      <c r="L78" s="261"/>
      <c r="M78" s="139" t="s">
        <v>328</v>
      </c>
      <c r="N78" s="282">
        <v>0</v>
      </c>
      <c r="O78" s="201">
        <v>0</v>
      </c>
      <c r="Q78" s="317">
        <v>1</v>
      </c>
      <c r="R78" s="155" t="s">
        <v>467</v>
      </c>
      <c r="S78" s="282">
        <f t="shared" ref="S78:S83" si="2">AA76</f>
        <v>29.957213396963475</v>
      </c>
      <c r="T78" s="261">
        <f>S78/S84</f>
        <v>0.45976442630729086</v>
      </c>
      <c r="U78" s="139" t="s">
        <v>328</v>
      </c>
      <c r="V78" s="225">
        <f>FuelProd3!AZ95</f>
        <v>9.1831072704982049</v>
      </c>
      <c r="W78" s="261">
        <f>V78/V84</f>
        <v>0.14942355108518976</v>
      </c>
      <c r="Y78" s="258">
        <v>1</v>
      </c>
      <c r="Z78" s="155" t="s">
        <v>471</v>
      </c>
      <c r="AA78" s="282">
        <f>FuelProd3!H36</f>
        <v>12.949814194954984</v>
      </c>
      <c r="AB78" s="261">
        <f>AA78/AA83</f>
        <v>0.16276076508752868</v>
      </c>
      <c r="AC78" s="261">
        <f>AA78/AA89</f>
        <v>0.128267469032052</v>
      </c>
      <c r="AD78" s="226"/>
      <c r="AE78" s="226"/>
      <c r="AF78" s="243"/>
      <c r="AH78" s="258">
        <v>1</v>
      </c>
      <c r="AI78" s="155" t="s">
        <v>276</v>
      </c>
      <c r="AJ78" s="282">
        <f>AA74</f>
        <v>0.226617811513707</v>
      </c>
      <c r="AK78" s="242">
        <f>AJ78/AJ82</f>
        <v>1.2285282287831503E-2</v>
      </c>
      <c r="AL78" s="242">
        <f>AJ78/AJ89</f>
        <v>1.0501674596982489E-2</v>
      </c>
      <c r="AM78" s="139" t="s">
        <v>333</v>
      </c>
      <c r="AN78" s="282">
        <f>FuelProd3!BA110</f>
        <v>6.1288348916950728</v>
      </c>
      <c r="AO78" s="201">
        <f>AN78/AN82</f>
        <v>0.32615108096251605</v>
      </c>
      <c r="AQ78" s="258">
        <v>1</v>
      </c>
      <c r="AR78" s="155" t="s">
        <v>472</v>
      </c>
      <c r="AS78" s="225">
        <f>AJ87+AA87</f>
        <v>0.95924178683456973</v>
      </c>
      <c r="AT78" s="139">
        <f>AS78/AS82</f>
        <v>0.24461341128363948</v>
      </c>
      <c r="AU78" s="139" t="s">
        <v>333</v>
      </c>
      <c r="AV78" s="225">
        <f>FuelProd3!BA114</f>
        <v>0</v>
      </c>
      <c r="AW78" s="233"/>
      <c r="AY78" s="172"/>
      <c r="BA78" s="276"/>
      <c r="BB78" s="13"/>
      <c r="BC78" s="11" t="s">
        <v>473</v>
      </c>
      <c r="BD78" s="11"/>
      <c r="BE78" s="11"/>
      <c r="BF78" s="11"/>
      <c r="BG78" s="11"/>
      <c r="BH78" s="11"/>
      <c r="BI78" s="11"/>
      <c r="BJ78" s="11"/>
      <c r="BK78" s="11"/>
      <c r="BL78" s="11"/>
      <c r="BM78" s="11"/>
      <c r="BN78" s="11"/>
      <c r="BO78" s="11"/>
      <c r="BP78" s="11"/>
      <c r="BQ78" s="14"/>
      <c r="BZ78" s="252"/>
    </row>
    <row r="79" spans="2:86" ht="15.75" customHeight="1" x14ac:dyDescent="0.25">
      <c r="B79" s="171"/>
      <c r="G79" s="316">
        <v>1</v>
      </c>
      <c r="H79" s="332" t="s">
        <v>468</v>
      </c>
      <c r="I79" s="332"/>
      <c r="J79" s="282">
        <v>0</v>
      </c>
      <c r="K79" s="261">
        <v>0</v>
      </c>
      <c r="L79" s="261"/>
      <c r="M79" s="139" t="s">
        <v>333</v>
      </c>
      <c r="N79" s="282">
        <v>0</v>
      </c>
      <c r="O79" s="201">
        <v>0</v>
      </c>
      <c r="Q79" s="316">
        <v>1</v>
      </c>
      <c r="R79" s="155" t="s">
        <v>468</v>
      </c>
      <c r="S79" s="282">
        <f t="shared" si="2"/>
        <v>12.646593184615387</v>
      </c>
      <c r="T79" s="261">
        <f>S79/S84</f>
        <v>0.19409193983495651</v>
      </c>
      <c r="U79" s="139" t="s">
        <v>333</v>
      </c>
      <c r="V79" s="225">
        <f>FuelProd3!BA95</f>
        <v>52.273786263391287</v>
      </c>
      <c r="W79" s="261">
        <f>V79/V84</f>
        <v>0.85057644891481021</v>
      </c>
      <c r="Y79" s="258">
        <v>1</v>
      </c>
      <c r="Z79" s="155" t="s">
        <v>474</v>
      </c>
      <c r="AA79" s="282">
        <f>FuelProd3!H37</f>
        <v>2.8805158064516134</v>
      </c>
      <c r="AB79" s="261">
        <f>AA79/AA83</f>
        <v>3.620399099528656E-2</v>
      </c>
      <c r="AC79" s="261">
        <f>AA79/AA89</f>
        <v>2.8531411064130173E-2</v>
      </c>
      <c r="AD79" s="226"/>
      <c r="AE79" s="226"/>
      <c r="AF79" s="243"/>
      <c r="AH79" s="258">
        <v>1</v>
      </c>
      <c r="AI79" s="155" t="s">
        <v>268</v>
      </c>
      <c r="AJ79" s="282">
        <f>AA75</f>
        <v>2.9622185362148841</v>
      </c>
      <c r="AK79" s="242">
        <f>AJ79/AJ82</f>
        <v>0.16058618990522608</v>
      </c>
      <c r="AL79" s="242">
        <f>AJ79/AJ89</f>
        <v>0.13727188937484253</v>
      </c>
      <c r="AM79" s="139" t="s">
        <v>338</v>
      </c>
      <c r="AN79" s="282">
        <f>FuelProd3!BB110</f>
        <v>0</v>
      </c>
      <c r="AO79" s="201">
        <f>AN79/AN82</f>
        <v>0</v>
      </c>
      <c r="AQ79" s="251"/>
      <c r="AR79" s="155"/>
      <c r="AS79" s="139"/>
      <c r="AT79" s="139"/>
      <c r="AU79" s="139" t="s">
        <v>338</v>
      </c>
      <c r="AV79" s="225">
        <f>FuelProd3!BB114</f>
        <v>0</v>
      </c>
      <c r="AW79" s="233"/>
      <c r="AY79" s="172"/>
      <c r="BA79" s="276"/>
      <c r="BB79" s="36" t="s">
        <v>475</v>
      </c>
      <c r="BC79" s="37"/>
      <c r="BD79" s="37"/>
      <c r="BE79" s="37"/>
      <c r="BF79" s="37"/>
      <c r="BG79" s="37"/>
      <c r="BH79" s="37"/>
      <c r="BI79" s="37"/>
      <c r="BJ79" s="37"/>
      <c r="BK79" s="37"/>
      <c r="BL79" s="37"/>
      <c r="BM79" s="37"/>
      <c r="BN79" s="37"/>
      <c r="BO79" s="37"/>
      <c r="BP79" s="37"/>
      <c r="BQ79" s="38"/>
      <c r="BZ79" s="252"/>
    </row>
    <row r="80" spans="2:86" ht="16.5" customHeight="1" x14ac:dyDescent="0.25">
      <c r="B80" s="171"/>
      <c r="G80" s="333"/>
      <c r="H80" s="332" t="s">
        <v>471</v>
      </c>
      <c r="I80" s="332"/>
      <c r="J80" s="282">
        <v>0</v>
      </c>
      <c r="K80" s="261">
        <v>0</v>
      </c>
      <c r="L80" s="261"/>
      <c r="M80" s="139" t="s">
        <v>338</v>
      </c>
      <c r="N80" s="282">
        <v>0</v>
      </c>
      <c r="O80" s="201">
        <v>0</v>
      </c>
      <c r="Q80" s="258">
        <v>1</v>
      </c>
      <c r="R80" s="155" t="s">
        <v>471</v>
      </c>
      <c r="S80" s="282">
        <f t="shared" si="2"/>
        <v>12.949814194954984</v>
      </c>
      <c r="T80" s="261">
        <f>S80/S84</f>
        <v>0.19874558475231829</v>
      </c>
      <c r="U80" s="139" t="s">
        <v>338</v>
      </c>
      <c r="V80" s="225">
        <f>FuelProd3!BB95</f>
        <v>0</v>
      </c>
      <c r="W80" s="261">
        <f>V80/V84</f>
        <v>0</v>
      </c>
      <c r="Y80" s="258">
        <v>1</v>
      </c>
      <c r="Z80" s="155" t="s">
        <v>476</v>
      </c>
      <c r="AA80" s="282">
        <f>FuelProd3!H38</f>
        <v>1.2542453225806449</v>
      </c>
      <c r="AB80" s="261">
        <f>AA80/AA83</f>
        <v>1.576408164915679E-2</v>
      </c>
      <c r="AC80" s="261">
        <f>AA80/AA89</f>
        <v>1.2423257249156862E-2</v>
      </c>
      <c r="AD80" s="226"/>
      <c r="AE80" s="226"/>
      <c r="AF80" s="243"/>
      <c r="AH80" s="258">
        <v>1</v>
      </c>
      <c r="AI80" s="155" t="s">
        <v>270</v>
      </c>
      <c r="AJ80" s="282">
        <f>AJ58</f>
        <v>4.1756461460914691</v>
      </c>
      <c r="AK80" s="242">
        <f>AJ80/AJ82</f>
        <v>0.22636787151095836</v>
      </c>
      <c r="AL80" s="242">
        <f>AJ80/AJ89</f>
        <v>0.19350322362346289</v>
      </c>
      <c r="AM80" s="139" t="s">
        <v>342</v>
      </c>
      <c r="AN80" s="282">
        <f>FuelProd3!BC110</f>
        <v>8.1127810132264528</v>
      </c>
      <c r="AO80" s="201">
        <f>AN80/AN82</f>
        <v>0.43172843514865394</v>
      </c>
      <c r="AQ80" s="251"/>
      <c r="AR80" s="155"/>
      <c r="AS80" s="139"/>
      <c r="AT80" s="139"/>
      <c r="AU80" s="139" t="s">
        <v>342</v>
      </c>
      <c r="AV80" s="225">
        <f>FuelProd3!BC114</f>
        <v>4.9090498726883993</v>
      </c>
      <c r="AW80" s="233"/>
      <c r="AY80" s="172"/>
      <c r="BA80" s="276"/>
      <c r="BB80" s="15"/>
      <c r="BC80" t="s">
        <v>477</v>
      </c>
      <c r="BQ80" s="16"/>
      <c r="BZ80" s="252"/>
    </row>
    <row r="81" spans="2:78" ht="15.75" customHeight="1" x14ac:dyDescent="0.25">
      <c r="B81" s="171"/>
      <c r="G81" s="333"/>
      <c r="H81" s="332" t="s">
        <v>474</v>
      </c>
      <c r="I81" s="332"/>
      <c r="J81" s="282">
        <v>0</v>
      </c>
      <c r="K81" s="261">
        <v>0</v>
      </c>
      <c r="L81" s="261"/>
      <c r="M81" s="139" t="s">
        <v>342</v>
      </c>
      <c r="N81" s="282">
        <v>0</v>
      </c>
      <c r="O81" s="201">
        <v>0</v>
      </c>
      <c r="Q81" s="258">
        <v>1</v>
      </c>
      <c r="R81" s="155" t="s">
        <v>474</v>
      </c>
      <c r="S81" s="282">
        <f t="shared" si="2"/>
        <v>2.8805158064516134</v>
      </c>
      <c r="T81" s="261">
        <f>S81/S84</f>
        <v>4.4208340731603193E-2</v>
      </c>
      <c r="U81" s="139" t="s">
        <v>342</v>
      </c>
      <c r="V81" s="225">
        <f>FuelProd3!BC95</f>
        <v>0</v>
      </c>
      <c r="W81" s="261">
        <f>V81/V84</f>
        <v>0</v>
      </c>
      <c r="Y81" s="316">
        <v>1</v>
      </c>
      <c r="Z81" s="155" t="s">
        <v>478</v>
      </c>
      <c r="AA81" s="282">
        <f>FuelProd3!H39</f>
        <v>5.4693634153846151</v>
      </c>
      <c r="AB81" s="261">
        <f>AA81/AA83</f>
        <v>6.8742127155503444E-2</v>
      </c>
      <c r="AC81" s="261">
        <f>AA81/AA89</f>
        <v>5.4173858554757662E-2</v>
      </c>
      <c r="AD81" s="226"/>
      <c r="AE81" s="226"/>
      <c r="AF81" s="243"/>
      <c r="AH81" s="198">
        <v>1</v>
      </c>
      <c r="AI81" s="38" t="s">
        <v>376</v>
      </c>
      <c r="AJ81" s="331">
        <f>AA82-AA87</f>
        <v>3.0098913270920349</v>
      </c>
      <c r="AK81" s="242">
        <f>AJ81/AJ82</f>
        <v>0.16317060147227155</v>
      </c>
      <c r="AL81" s="242">
        <f>AJ81/AJ89</f>
        <v>0.13948108967369702</v>
      </c>
      <c r="AM81" s="226" t="s">
        <v>344</v>
      </c>
      <c r="AN81" s="331">
        <f>FuelProd3!BD110</f>
        <v>0</v>
      </c>
      <c r="AO81" s="228">
        <f>AN81/AN82</f>
        <v>0</v>
      </c>
      <c r="AQ81" s="251"/>
      <c r="AR81" s="38"/>
      <c r="AS81" s="226"/>
      <c r="AT81" s="226"/>
      <c r="AU81" s="226" t="s">
        <v>344</v>
      </c>
      <c r="AV81" s="225">
        <f>FuelProd3!BD114</f>
        <v>0</v>
      </c>
      <c r="AW81" s="243"/>
      <c r="AY81" s="172"/>
      <c r="BA81" s="276"/>
      <c r="BB81" s="15"/>
      <c r="BC81" t="s">
        <v>479</v>
      </c>
      <c r="BQ81" s="16"/>
      <c r="BZ81" s="252"/>
    </row>
    <row r="82" spans="2:78" ht="16.5" thickBot="1" x14ac:dyDescent="0.3">
      <c r="B82" s="171"/>
      <c r="G82" s="333"/>
      <c r="H82" s="332" t="s">
        <v>476</v>
      </c>
      <c r="I82" s="334"/>
      <c r="J82" s="282">
        <v>0</v>
      </c>
      <c r="K82" s="242">
        <v>0</v>
      </c>
      <c r="L82" s="242"/>
      <c r="M82" s="226" t="s">
        <v>344</v>
      </c>
      <c r="N82" s="282">
        <v>0</v>
      </c>
      <c r="O82" s="228">
        <v>0</v>
      </c>
      <c r="Q82" s="258">
        <v>1</v>
      </c>
      <c r="R82" s="155" t="s">
        <v>476</v>
      </c>
      <c r="S82" s="282">
        <f t="shared" si="2"/>
        <v>1.2542453225806449</v>
      </c>
      <c r="T82" s="242">
        <f>S82/S84</f>
        <v>1.924936653965767E-2</v>
      </c>
      <c r="U82" s="226" t="s">
        <v>344</v>
      </c>
      <c r="V82" s="286">
        <f>FuelProd3!BD95</f>
        <v>0</v>
      </c>
      <c r="W82" s="242">
        <f>V82/V84</f>
        <v>0</v>
      </c>
      <c r="Y82" s="198">
        <v>1</v>
      </c>
      <c r="Z82" s="155" t="s">
        <v>376</v>
      </c>
      <c r="AA82" s="282">
        <f>FuelProd3!C58</f>
        <v>3.1449958041109882</v>
      </c>
      <c r="AB82" s="261">
        <f>AA82/AA83</f>
        <v>3.9528128787638665E-2</v>
      </c>
      <c r="AC82" s="261">
        <f>AA82/AA89</f>
        <v>3.1151076443003894E-2</v>
      </c>
      <c r="AD82" s="226"/>
      <c r="AE82" s="226"/>
      <c r="AF82" s="243"/>
      <c r="AH82" s="251"/>
      <c r="AI82" s="38" t="s">
        <v>278</v>
      </c>
      <c r="AJ82" s="286">
        <f>SUM(AJ77:AJ81)</f>
        <v>18.446284440543181</v>
      </c>
      <c r="AK82" s="242">
        <f>SUM(AK77:AK81)</f>
        <v>1</v>
      </c>
      <c r="AL82" s="242">
        <f>AJ82/AJ89</f>
        <v>0.85481752481864681</v>
      </c>
      <c r="AM82" s="226" t="s">
        <v>278</v>
      </c>
      <c r="AN82" s="286">
        <f>SUM(AN77:AN81)</f>
        <v>18.791398371601439</v>
      </c>
      <c r="AO82" s="228"/>
      <c r="AP82" s="335"/>
      <c r="AQ82" s="253"/>
      <c r="AR82" s="254" t="s">
        <v>278</v>
      </c>
      <c r="AS82" s="255">
        <f>SUM(AS77:AS78)</f>
        <v>3.9214603230494536</v>
      </c>
      <c r="AT82" s="249"/>
      <c r="AU82" s="249" t="s">
        <v>278</v>
      </c>
      <c r="AV82" s="255">
        <f>SUM(AV77:AV81)</f>
        <v>5.5226811067744492</v>
      </c>
      <c r="AW82" s="267"/>
      <c r="AY82" s="172"/>
      <c r="AZ82" t="s">
        <v>480</v>
      </c>
      <c r="BA82" s="276"/>
      <c r="BB82" s="15"/>
      <c r="BC82" t="s">
        <v>481</v>
      </c>
      <c r="BQ82" s="16"/>
      <c r="BZ82" s="252"/>
    </row>
    <row r="83" spans="2:78" ht="15" customHeight="1" thickBot="1" x14ac:dyDescent="0.3">
      <c r="B83" s="171"/>
      <c r="G83" s="253"/>
      <c r="H83" s="254" t="s">
        <v>278</v>
      </c>
      <c r="I83" s="254"/>
      <c r="J83" s="282">
        <v>0</v>
      </c>
      <c r="K83" s="248">
        <v>0</v>
      </c>
      <c r="L83" s="248"/>
      <c r="M83" s="249" t="s">
        <v>278</v>
      </c>
      <c r="N83" s="282">
        <v>0</v>
      </c>
      <c r="O83" s="250">
        <v>0</v>
      </c>
      <c r="Q83" s="316">
        <v>1</v>
      </c>
      <c r="R83" s="155" t="s">
        <v>478</v>
      </c>
      <c r="S83" s="282">
        <f t="shared" si="2"/>
        <v>5.4693634153846151</v>
      </c>
      <c r="T83" s="242">
        <f>S83/S84</f>
        <v>8.3940341834173385E-2</v>
      </c>
      <c r="U83" s="226"/>
      <c r="V83" s="226"/>
      <c r="W83" s="243"/>
      <c r="Y83" s="214"/>
      <c r="Z83" s="236" t="s">
        <v>278</v>
      </c>
      <c r="AA83" s="295">
        <f>SUM(AA73:AA82)</f>
        <v>79.563488092421395</v>
      </c>
      <c r="AB83" s="336"/>
      <c r="AC83" s="261">
        <f>SUM(AC73:AC82)</f>
        <v>0.7880736427054329</v>
      </c>
      <c r="AD83" s="249" t="s">
        <v>278</v>
      </c>
      <c r="AE83" s="255">
        <f>SUM(AE73:AE77)</f>
        <v>75.236399014127258</v>
      </c>
      <c r="AF83" s="250">
        <f>SUM(AF73:AF77)</f>
        <v>1</v>
      </c>
      <c r="AH83" s="251"/>
      <c r="AI83" s="288" t="s">
        <v>279</v>
      </c>
      <c r="AJ83" s="245"/>
      <c r="AK83" s="337"/>
      <c r="AL83" s="337"/>
      <c r="AM83" s="338"/>
      <c r="AN83" s="339"/>
      <c r="AO83" s="340"/>
      <c r="AP83" s="341"/>
      <c r="AY83" s="172"/>
      <c r="BA83" s="276"/>
      <c r="BB83" s="13"/>
      <c r="BC83" s="11" t="s">
        <v>482</v>
      </c>
      <c r="BD83" s="11"/>
      <c r="BE83" s="11"/>
      <c r="BF83" s="11"/>
      <c r="BG83" s="11"/>
      <c r="BH83" s="11"/>
      <c r="BI83" s="11"/>
      <c r="BJ83" s="11"/>
      <c r="BK83" s="11"/>
      <c r="BL83" s="11"/>
      <c r="BM83" s="11"/>
      <c r="BN83" s="11"/>
      <c r="BO83" s="11"/>
      <c r="BP83" s="11"/>
      <c r="BQ83" s="14"/>
      <c r="BZ83" s="252"/>
    </row>
    <row r="84" spans="2:78" ht="15" customHeight="1" thickBot="1" x14ac:dyDescent="0.3">
      <c r="B84" s="171"/>
      <c r="Q84" s="214"/>
      <c r="R84" s="254" t="s">
        <v>278</v>
      </c>
      <c r="S84" s="255">
        <f>SUM(S78:S83)</f>
        <v>65.157745320950724</v>
      </c>
      <c r="T84" s="248">
        <f>SUM(T78:T83)</f>
        <v>1</v>
      </c>
      <c r="U84" s="249" t="s">
        <v>278</v>
      </c>
      <c r="V84" s="255">
        <f>SUM(V78:V83)</f>
        <v>61.456893533889492</v>
      </c>
      <c r="W84" s="248">
        <f>SUM(W78:W83)</f>
        <v>1</v>
      </c>
      <c r="Y84" s="214"/>
      <c r="Z84" s="288" t="s">
        <v>279</v>
      </c>
      <c r="AA84" s="245"/>
      <c r="AB84" s="145" t="s">
        <v>324</v>
      </c>
      <c r="AC84" s="145" t="s">
        <v>325</v>
      </c>
      <c r="AD84" s="338"/>
      <c r="AE84" s="338"/>
      <c r="AF84" s="340"/>
      <c r="AH84" s="258">
        <v>1</v>
      </c>
      <c r="AI84" s="155"/>
      <c r="AJ84" s="225"/>
      <c r="AK84" s="242"/>
      <c r="AL84" s="242"/>
      <c r="AM84" s="226"/>
      <c r="AN84" s="286"/>
      <c r="AO84" s="243"/>
      <c r="AP84" s="341"/>
      <c r="AU84" s="341"/>
      <c r="AV84" s="341"/>
      <c r="AW84" s="341"/>
      <c r="AX84" s="341"/>
      <c r="AY84" s="172"/>
      <c r="BA84" s="276"/>
      <c r="BZ84" s="252"/>
    </row>
    <row r="85" spans="2:78" ht="15.75" customHeight="1" x14ac:dyDescent="0.25">
      <c r="B85" s="171"/>
      <c r="Q85" s="214"/>
      <c r="R85" s="288" t="s">
        <v>279</v>
      </c>
      <c r="S85" s="245"/>
      <c r="T85" s="338"/>
      <c r="U85" s="338"/>
      <c r="V85" s="338"/>
      <c r="W85" s="340"/>
      <c r="Y85" s="258">
        <v>1</v>
      </c>
      <c r="Z85" s="155" t="s">
        <v>483</v>
      </c>
      <c r="AA85" s="282">
        <f>AB85*(AA60+AA61)</f>
        <v>18.127943055503174</v>
      </c>
      <c r="AB85" s="261">
        <f>SUM(AA76:AA81)/(AA83-AA82)</f>
        <v>0.85264369094230064</v>
      </c>
      <c r="AC85" s="261">
        <f>AA85/AA89</f>
        <v>0.17955665922932096</v>
      </c>
      <c r="AD85" s="226"/>
      <c r="AE85" s="226"/>
      <c r="AF85" s="243"/>
      <c r="AH85" s="258">
        <v>1</v>
      </c>
      <c r="AI85" s="155" t="s">
        <v>1338</v>
      </c>
      <c r="AJ85" s="282">
        <f>(AA73/(AA83-AA82))*(AA88-AA87)</f>
        <v>2.24573664022616</v>
      </c>
      <c r="AK85" s="242"/>
      <c r="AL85" s="242"/>
      <c r="AM85" s="226"/>
      <c r="AN85" s="286"/>
      <c r="AO85" s="243"/>
      <c r="AY85" s="172"/>
      <c r="BA85" s="275" t="s">
        <v>484</v>
      </c>
      <c r="BB85" s="342" t="s">
        <v>485</v>
      </c>
      <c r="BC85" t="s">
        <v>486</v>
      </c>
      <c r="BZ85" s="252"/>
    </row>
    <row r="86" spans="2:78" ht="15" customHeight="1" x14ac:dyDescent="0.25">
      <c r="B86" s="171"/>
      <c r="Q86" s="258">
        <v>1</v>
      </c>
      <c r="R86" s="155" t="s">
        <v>483</v>
      </c>
      <c r="S86" s="282">
        <f>AA85</f>
        <v>18.127943055503174</v>
      </c>
      <c r="T86" s="139"/>
      <c r="U86" s="226"/>
      <c r="V86" s="226"/>
      <c r="W86" s="243"/>
      <c r="Y86" s="316">
        <v>1</v>
      </c>
      <c r="Z86" s="155" t="s">
        <v>280</v>
      </c>
      <c r="AA86" s="282">
        <f>AB86*(AA60+AA61)</f>
        <v>3.1329227059839542</v>
      </c>
      <c r="AB86" s="261">
        <f>SUM(AA73:AA75)/(AA83-AA82)</f>
        <v>0.14735630905769928</v>
      </c>
      <c r="AC86" s="261">
        <f>AA86/AA89</f>
        <v>3.1031492816797616E-2</v>
      </c>
      <c r="AD86" s="232"/>
      <c r="AE86" s="226"/>
      <c r="AF86" s="243"/>
      <c r="AH86" s="258">
        <v>1</v>
      </c>
      <c r="AI86" s="155" t="s">
        <v>1341</v>
      </c>
      <c r="AJ86" s="282">
        <f>(AA74/(AA83-AA82))*(AA88-AA87)</f>
        <v>6.3048755942178292E-2</v>
      </c>
      <c r="AK86" s="242"/>
      <c r="AL86" s="242"/>
      <c r="AM86" s="226"/>
      <c r="AN86" s="286"/>
      <c r="AO86" s="243"/>
      <c r="AY86" s="172"/>
      <c r="AZ86" t="s">
        <v>480</v>
      </c>
      <c r="BA86" s="276"/>
      <c r="BC86" t="s">
        <v>487</v>
      </c>
      <c r="BZ86" s="252"/>
    </row>
    <row r="87" spans="2:78" ht="15.75" thickBot="1" x14ac:dyDescent="0.3">
      <c r="B87" s="171"/>
      <c r="Q87" s="214"/>
      <c r="R87" s="236" t="s">
        <v>278</v>
      </c>
      <c r="S87" s="295">
        <f>SUM(S86)</f>
        <v>18.127943055503174</v>
      </c>
      <c r="T87" s="297"/>
      <c r="U87" s="249" t="s">
        <v>278</v>
      </c>
      <c r="V87" s="255"/>
      <c r="W87" s="267"/>
      <c r="Y87" s="198">
        <v>1</v>
      </c>
      <c r="Z87" s="155" t="s">
        <v>1340</v>
      </c>
      <c r="AA87" s="282">
        <f>FuelProd3!C47</f>
        <v>0.13510447701895351</v>
      </c>
      <c r="AB87" s="225"/>
      <c r="AC87" s="261"/>
      <c r="AD87" s="226"/>
      <c r="AE87" s="226"/>
      <c r="AF87" s="243"/>
      <c r="AH87" s="258">
        <v>1</v>
      </c>
      <c r="AI87" s="155" t="s">
        <v>472</v>
      </c>
      <c r="AJ87" s="331">
        <f>(AA75/(AA83-AA82))*(AA88-AA87)</f>
        <v>0.82413730981561617</v>
      </c>
      <c r="AK87" s="242"/>
      <c r="AL87" s="242"/>
      <c r="AM87" s="226"/>
      <c r="AN87" s="286"/>
      <c r="AO87" s="243"/>
      <c r="AY87" s="172"/>
      <c r="BA87" s="276"/>
      <c r="BZ87" s="252"/>
    </row>
    <row r="88" spans="2:78" ht="15.75" thickBot="1" x14ac:dyDescent="0.3">
      <c r="B88" s="171"/>
      <c r="Q88" s="280"/>
      <c r="R88" s="236" t="s">
        <v>283</v>
      </c>
      <c r="S88" s="295">
        <f>S84+S87</f>
        <v>83.285688376453891</v>
      </c>
      <c r="T88" s="297"/>
      <c r="U88" s="249" t="s">
        <v>278</v>
      </c>
      <c r="V88" s="255"/>
      <c r="W88" s="267"/>
      <c r="Y88" s="251"/>
      <c r="Z88" s="236" t="s">
        <v>278</v>
      </c>
      <c r="AA88" s="295">
        <f>SUM(AA85:AA87)</f>
        <v>21.395970238506081</v>
      </c>
      <c r="AB88" s="295"/>
      <c r="AC88" s="343">
        <f>SUM(AC85:AC86)</f>
        <v>0.21058815204611858</v>
      </c>
      <c r="AD88" s="249" t="s">
        <v>278</v>
      </c>
      <c r="AE88" s="255"/>
      <c r="AF88" s="267"/>
      <c r="AH88" s="251"/>
      <c r="AI88" s="236" t="s">
        <v>278</v>
      </c>
      <c r="AJ88" s="295">
        <f>SUM(AJ85:AJ87)</f>
        <v>3.1329227059839546</v>
      </c>
      <c r="AK88" s="248"/>
      <c r="AL88" s="248">
        <f>AJ88/AJ89</f>
        <v>0.14518247518135316</v>
      </c>
      <c r="AM88" s="249"/>
      <c r="AN88" s="255"/>
      <c r="AO88" s="267"/>
      <c r="AY88" s="172"/>
      <c r="BA88" s="276"/>
      <c r="BB88" s="342" t="s">
        <v>489</v>
      </c>
      <c r="BC88" t="s">
        <v>490</v>
      </c>
      <c r="BK88" t="s">
        <v>407</v>
      </c>
      <c r="BL88" t="s">
        <v>491</v>
      </c>
      <c r="BZ88" s="252"/>
    </row>
    <row r="89" spans="2:78" ht="16.5" thickBot="1" x14ac:dyDescent="0.3">
      <c r="B89" s="171"/>
      <c r="T89" s="1009" t="s">
        <v>492</v>
      </c>
      <c r="U89" s="1010"/>
      <c r="V89" s="1011" t="s">
        <v>448</v>
      </c>
      <c r="W89" s="1012"/>
      <c r="Y89" s="253"/>
      <c r="Z89" s="236" t="s">
        <v>352</v>
      </c>
      <c r="AA89" s="295">
        <f>AA83+AA88</f>
        <v>100.95945833092748</v>
      </c>
      <c r="AB89" s="295"/>
      <c r="AC89" s="343">
        <f>AC83+AC88</f>
        <v>0.99866179475155148</v>
      </c>
      <c r="AD89" s="249" t="s">
        <v>278</v>
      </c>
      <c r="AE89" s="255"/>
      <c r="AF89" s="267"/>
      <c r="AH89" s="253"/>
      <c r="AI89" s="236" t="s">
        <v>283</v>
      </c>
      <c r="AJ89" s="295">
        <f>AJ82+AJ88</f>
        <v>21.579207146527136</v>
      </c>
      <c r="AK89" s="297"/>
      <c r="AL89" s="297"/>
      <c r="AM89" s="297"/>
      <c r="AN89" s="295"/>
      <c r="AO89" s="298"/>
      <c r="AY89" s="172"/>
      <c r="AZ89" t="s">
        <v>480</v>
      </c>
      <c r="BA89" s="276"/>
      <c r="BL89" t="s">
        <v>493</v>
      </c>
      <c r="BZ89" s="252"/>
    </row>
    <row r="90" spans="2:78" ht="16.5" thickBot="1" x14ac:dyDescent="0.3">
      <c r="B90" s="171"/>
      <c r="T90" s="1013" t="s">
        <v>357</v>
      </c>
      <c r="U90" s="1014"/>
      <c r="V90" s="1015" t="s">
        <v>331</v>
      </c>
      <c r="W90" s="1016"/>
      <c r="AA90" s="1009" t="s">
        <v>494</v>
      </c>
      <c r="AB90" s="1010"/>
      <c r="AI90" s="1009" t="s">
        <v>404</v>
      </c>
      <c r="AJ90" s="1010"/>
      <c r="AK90" s="1011" t="s">
        <v>448</v>
      </c>
      <c r="AL90" s="1012"/>
      <c r="AN90" s="144"/>
      <c r="AR90" s="1009" t="s">
        <v>107</v>
      </c>
      <c r="AS90" s="1010"/>
      <c r="AT90" s="1011" t="s">
        <v>448</v>
      </c>
      <c r="AU90" s="1012"/>
      <c r="AY90" s="172"/>
      <c r="BA90" s="276"/>
      <c r="BL90" t="s">
        <v>495</v>
      </c>
      <c r="BZ90" s="252"/>
    </row>
    <row r="91" spans="2:78" ht="16.5" thickBot="1" x14ac:dyDescent="0.3">
      <c r="B91" s="171"/>
      <c r="T91" s="218" t="s">
        <v>336</v>
      </c>
      <c r="U91" s="345">
        <f>FuelProd3!CQ66</f>
        <v>0</v>
      </c>
      <c r="V91" s="211" t="s">
        <v>336</v>
      </c>
      <c r="W91" s="346">
        <f>U91*(1/AK6)</f>
        <v>0</v>
      </c>
      <c r="AA91" s="1070" t="s">
        <v>496</v>
      </c>
      <c r="AB91" s="1071"/>
      <c r="AC91" s="1011" t="s">
        <v>448</v>
      </c>
      <c r="AD91" s="1012"/>
      <c r="AI91" s="1013" t="s">
        <v>488</v>
      </c>
      <c r="AJ91" s="1014"/>
      <c r="AK91" s="1015" t="s">
        <v>331</v>
      </c>
      <c r="AL91" s="1016"/>
      <c r="AR91" s="1013" t="s">
        <v>1494</v>
      </c>
      <c r="AS91" s="1014"/>
      <c r="AT91" s="1015" t="s">
        <v>331</v>
      </c>
      <c r="AU91" s="1016"/>
      <c r="AY91" s="172"/>
      <c r="BA91" s="276"/>
      <c r="BZ91" s="252"/>
    </row>
    <row r="92" spans="2:78" ht="16.5" thickBot="1" x14ac:dyDescent="0.3">
      <c r="B92" s="171"/>
      <c r="AA92" s="1072"/>
      <c r="AB92" s="1073"/>
      <c r="AC92" s="1015" t="s">
        <v>331</v>
      </c>
      <c r="AD92" s="1016"/>
      <c r="AI92" s="218" t="s">
        <v>336</v>
      </c>
      <c r="AJ92" s="265">
        <f>FuelProd3!BN65</f>
        <v>6263.4692191372033</v>
      </c>
      <c r="AK92" s="211" t="s">
        <v>336</v>
      </c>
      <c r="AL92" s="344">
        <f>AJ92*(1/AK6)</f>
        <v>18980.209754961223</v>
      </c>
      <c r="AR92" s="218" t="s">
        <v>336</v>
      </c>
      <c r="AS92" s="265">
        <f>FuelProd3!CC79*1000</f>
        <v>25781.838251858288</v>
      </c>
      <c r="AT92" s="211" t="s">
        <v>336</v>
      </c>
      <c r="AU92" s="344">
        <f>AS92*(1/AK6)</f>
        <v>78126.782581388747</v>
      </c>
      <c r="AY92" s="172"/>
      <c r="BA92" s="275" t="s">
        <v>497</v>
      </c>
      <c r="BB92" t="s">
        <v>498</v>
      </c>
      <c r="BZ92" s="252"/>
    </row>
    <row r="93" spans="2:78" ht="19.5" thickBot="1" x14ac:dyDescent="0.4">
      <c r="B93" s="171"/>
      <c r="L93" s="1050" t="s">
        <v>359</v>
      </c>
      <c r="M93" s="1051"/>
      <c r="O93" s="1052" t="s">
        <v>358</v>
      </c>
      <c r="P93" s="1053"/>
      <c r="AA93" s="294" t="s">
        <v>336</v>
      </c>
      <c r="AB93" s="325">
        <f>FuelProd3!BM46</f>
        <v>62961.11321654536</v>
      </c>
      <c r="AC93" s="211" t="s">
        <v>336</v>
      </c>
      <c r="AD93" s="266">
        <f>AB93*(1/AK6)</f>
        <v>190791.25217134957</v>
      </c>
      <c r="AY93" s="172"/>
      <c r="BA93" s="276"/>
      <c r="BC93" t="s">
        <v>499</v>
      </c>
      <c r="BZ93" s="252"/>
    </row>
    <row r="94" spans="2:78" ht="18.75" thickBot="1" x14ac:dyDescent="0.4">
      <c r="B94" s="171"/>
      <c r="L94" s="218" t="s">
        <v>323</v>
      </c>
      <c r="M94" s="347"/>
      <c r="O94" s="218" t="s">
        <v>323</v>
      </c>
      <c r="P94" s="265">
        <f>FuelProd1!F19</f>
        <v>5</v>
      </c>
      <c r="AN94" s="1034" t="s">
        <v>415</v>
      </c>
      <c r="AO94" s="1035"/>
      <c r="AY94" s="172"/>
      <c r="BA94" s="276"/>
      <c r="BC94" t="s">
        <v>500</v>
      </c>
      <c r="BZ94" s="252"/>
    </row>
    <row r="95" spans="2:78" ht="16.5" thickBot="1" x14ac:dyDescent="0.3">
      <c r="B95" s="171"/>
      <c r="R95" s="1062" t="s">
        <v>501</v>
      </c>
      <c r="S95" s="1063"/>
      <c r="AH95" s="1036" t="s">
        <v>502</v>
      </c>
      <c r="AI95" s="1041" t="s">
        <v>503</v>
      </c>
      <c r="AJ95" s="1042"/>
      <c r="AK95" s="1042"/>
      <c r="AL95" s="1042"/>
      <c r="AM95" s="1042"/>
      <c r="AN95" s="1042"/>
      <c r="AO95" s="1043"/>
      <c r="AY95" s="172"/>
      <c r="BA95" s="276"/>
      <c r="BZ95" s="252"/>
    </row>
    <row r="96" spans="2:78" ht="16.5" thickBot="1" x14ac:dyDescent="0.3">
      <c r="B96" s="171"/>
      <c r="Q96" s="1036" t="s">
        <v>504</v>
      </c>
      <c r="R96" s="1064" t="s">
        <v>465</v>
      </c>
      <c r="S96" s="1065"/>
      <c r="T96" s="1065"/>
      <c r="U96" s="1065"/>
      <c r="V96" s="1065"/>
      <c r="W96" s="1066"/>
      <c r="AB96">
        <f>(1/3*FuelProd3!C37/(FuelProd2!AA58-FuelProd2!AA57))*(FuelProd2!AA40)+(2/3*FuelProd3!C37/(FuelProd2!AA58-FuelProd2!AA57))*(FuelProd2!AA39)</f>
        <v>3.2358885506771809E-2</v>
      </c>
      <c r="AC96">
        <f>(FuelProd3!C38)/(SUM(FuelProd2!AA73:AA81))*(FuelProd2!AA85+FuelProd2!AA86)</f>
        <v>0.13510447701895351</v>
      </c>
      <c r="AH96" s="1037"/>
      <c r="AI96" s="1047" t="s">
        <v>319</v>
      </c>
      <c r="AJ96" s="991"/>
      <c r="AK96" s="979"/>
      <c r="AL96" s="328"/>
      <c r="AM96" s="978" t="s">
        <v>320</v>
      </c>
      <c r="AN96" s="991"/>
      <c r="AO96" s="1046"/>
      <c r="AY96" s="172"/>
      <c r="BA96" s="275" t="s">
        <v>505</v>
      </c>
      <c r="BB96" t="s">
        <v>506</v>
      </c>
      <c r="BZ96" s="252"/>
    </row>
    <row r="97" spans="2:78" ht="15.75" thickBot="1" x14ac:dyDescent="0.3">
      <c r="B97" s="171"/>
      <c r="Q97" s="1037"/>
      <c r="R97" s="1047" t="s">
        <v>319</v>
      </c>
      <c r="S97" s="991"/>
      <c r="T97" s="979"/>
      <c r="U97" s="978" t="s">
        <v>320</v>
      </c>
      <c r="V97" s="991"/>
      <c r="W97" s="1046"/>
      <c r="AC97" s="144">
        <f>(FuelProd3!C54-FuelProd2!AA82)</f>
        <v>0.51796848160757269</v>
      </c>
      <c r="AH97" s="181" t="s">
        <v>180</v>
      </c>
      <c r="AI97" s="270" t="s">
        <v>322</v>
      </c>
      <c r="AJ97" s="145" t="s">
        <v>323</v>
      </c>
      <c r="AK97" s="145" t="s">
        <v>324</v>
      </c>
      <c r="AL97" s="145" t="s">
        <v>325</v>
      </c>
      <c r="AM97" s="145"/>
      <c r="AN97" s="145" t="s">
        <v>323</v>
      </c>
      <c r="AO97" s="189" t="s">
        <v>326</v>
      </c>
      <c r="AY97" s="172"/>
      <c r="BA97" s="276"/>
      <c r="BB97" t="s">
        <v>507</v>
      </c>
      <c r="BZ97" s="273"/>
    </row>
    <row r="98" spans="2:78" ht="15.75" thickBot="1" x14ac:dyDescent="0.3">
      <c r="B98" s="171"/>
      <c r="Q98" s="348" t="s">
        <v>180</v>
      </c>
      <c r="R98" s="270" t="s">
        <v>322</v>
      </c>
      <c r="S98" s="145" t="s">
        <v>323</v>
      </c>
      <c r="T98" s="145" t="s">
        <v>326</v>
      </c>
      <c r="U98" s="145"/>
      <c r="V98" s="145" t="s">
        <v>323</v>
      </c>
      <c r="W98" s="189" t="s">
        <v>326</v>
      </c>
      <c r="AH98" s="349">
        <v>1</v>
      </c>
      <c r="AI98" s="155" t="s">
        <v>270</v>
      </c>
      <c r="AJ98" s="282">
        <f>AJ80</f>
        <v>4.1756461460914691</v>
      </c>
      <c r="AK98" s="242">
        <f>AJ98/AJ103</f>
        <v>0.23468111296894376</v>
      </c>
      <c r="AL98" s="242">
        <f>AJ98/AJ107</f>
        <v>0.23468111296894376</v>
      </c>
      <c r="AM98" s="139" t="s">
        <v>328</v>
      </c>
      <c r="AN98" s="282">
        <f>FuelProd3!AZ113</f>
        <v>4.0427336533532587</v>
      </c>
      <c r="AO98" s="228">
        <f>AN98/AN103</f>
        <v>0.28414009617782415</v>
      </c>
      <c r="AY98" s="172"/>
      <c r="BA98" s="276"/>
    </row>
    <row r="99" spans="2:78" x14ac:dyDescent="0.25">
      <c r="B99" s="171"/>
      <c r="Q99" s="349">
        <v>1</v>
      </c>
      <c r="R99" s="820" t="s">
        <v>471</v>
      </c>
      <c r="S99" s="821">
        <f>FuelProd3!AE126</f>
        <v>3.7155312095144715</v>
      </c>
      <c r="T99" s="261">
        <f>S99/S116</f>
        <v>4.2085317312940802E-2</v>
      </c>
      <c r="U99" s="139" t="s">
        <v>328</v>
      </c>
      <c r="V99" s="225">
        <f>FuelProd3!AZ133</f>
        <v>16.466147096173884</v>
      </c>
      <c r="W99" s="233"/>
      <c r="X99" t="s">
        <v>260</v>
      </c>
      <c r="Y99" s="144">
        <f>FuelProd3!P168</f>
        <v>47.741294483998971</v>
      </c>
      <c r="AH99" s="330">
        <v>1</v>
      </c>
      <c r="AI99" s="155" t="s">
        <v>272</v>
      </c>
      <c r="AJ99" s="282">
        <v>0</v>
      </c>
      <c r="AK99" s="242">
        <f>AJ99/AJ103</f>
        <v>0</v>
      </c>
      <c r="AL99" s="242">
        <f>AJ99/AJ107</f>
        <v>0</v>
      </c>
      <c r="AM99" s="139" t="s">
        <v>333</v>
      </c>
      <c r="AN99" s="282">
        <f>FuelProd3!BA113</f>
        <v>6.1288348916950728</v>
      </c>
      <c r="AO99" s="228">
        <f>AN99/AN103</f>
        <v>0.43075994732915263</v>
      </c>
      <c r="AY99" s="172"/>
      <c r="BA99" s="275" t="s">
        <v>508</v>
      </c>
      <c r="BB99" t="s">
        <v>509</v>
      </c>
    </row>
    <row r="100" spans="2:78" x14ac:dyDescent="0.25">
      <c r="B100" s="171"/>
      <c r="Q100" s="330">
        <v>1</v>
      </c>
      <c r="R100" s="820" t="s">
        <v>467</v>
      </c>
      <c r="S100" s="822">
        <f>FuelProd3!AE127</f>
        <v>2.5782221608381968</v>
      </c>
      <c r="T100" s="261">
        <f>S100/S116</f>
        <v>2.9203172204361697E-2</v>
      </c>
      <c r="U100" s="139" t="s">
        <v>333</v>
      </c>
      <c r="V100" s="225">
        <f>FuelProd3!BA133</f>
        <v>64.078982245096867</v>
      </c>
      <c r="W100" s="233"/>
      <c r="X100" t="s">
        <v>257</v>
      </c>
      <c r="Y100" s="144">
        <f>FuelProd3!P167</f>
        <v>29.680804781841001</v>
      </c>
      <c r="AH100" s="330">
        <v>1</v>
      </c>
      <c r="AI100" s="155" t="s">
        <v>376</v>
      </c>
      <c r="AJ100" s="282">
        <f>AJ81</f>
        <v>3.0098913270920349</v>
      </c>
      <c r="AK100" s="242">
        <f>AJ100/AJ103</f>
        <v>0.16916295630526751</v>
      </c>
      <c r="AL100" s="242">
        <f>AJ100/AJ107</f>
        <v>0.16916295630526751</v>
      </c>
      <c r="AM100" s="139" t="s">
        <v>338</v>
      </c>
      <c r="AN100" s="282">
        <f>FuelProd3!BB113</f>
        <v>0</v>
      </c>
      <c r="AO100" s="228">
        <f>AN100/AN103</f>
        <v>0</v>
      </c>
      <c r="AY100" s="172"/>
      <c r="BA100" s="276"/>
      <c r="BC100" t="s">
        <v>510</v>
      </c>
    </row>
    <row r="101" spans="2:78" x14ac:dyDescent="0.25">
      <c r="B101" s="171"/>
      <c r="Q101" s="330">
        <v>1</v>
      </c>
      <c r="R101" s="820" t="s">
        <v>476</v>
      </c>
      <c r="S101" s="822">
        <f>FuelProd3!AE128</f>
        <v>0.12650368379693394</v>
      </c>
      <c r="T101" s="261">
        <f>S101/S116</f>
        <v>1.4328900428064503E-3</v>
      </c>
      <c r="U101" s="139" t="s">
        <v>338</v>
      </c>
      <c r="V101" s="225">
        <f>FuelProd3!BB133</f>
        <v>0</v>
      </c>
      <c r="W101" s="233"/>
      <c r="X101" t="s">
        <v>1536</v>
      </c>
      <c r="Y101" s="144">
        <f>FuelProd3!P169</f>
        <v>6.5801784186156915</v>
      </c>
      <c r="AH101" s="330">
        <v>1</v>
      </c>
      <c r="AI101" s="155" t="s">
        <v>274</v>
      </c>
      <c r="AJ101" s="282">
        <f>AJ77+AJ85</f>
        <v>10.317647259857246</v>
      </c>
      <c r="AK101" s="242">
        <f>AJ101/AJ103</f>
        <v>0.57987598983470734</v>
      </c>
      <c r="AL101" s="242">
        <f>AJ101/AJ107</f>
        <v>0.57987598983470734</v>
      </c>
      <c r="AM101" s="139" t="s">
        <v>342</v>
      </c>
      <c r="AN101" s="282">
        <f>FuelProd3!BC113</f>
        <v>4.0563905066132264</v>
      </c>
      <c r="AO101" s="228">
        <f>AN101/AN103</f>
        <v>0.28509995649302328</v>
      </c>
      <c r="AY101" s="172"/>
      <c r="BA101" s="276"/>
    </row>
    <row r="102" spans="2:78" x14ac:dyDescent="0.25">
      <c r="B102" s="171"/>
      <c r="Q102" s="330">
        <v>1</v>
      </c>
      <c r="R102" s="820" t="s">
        <v>474</v>
      </c>
      <c r="S102" s="822">
        <f>FuelProd3!AE129</f>
        <v>2.7968248174416175</v>
      </c>
      <c r="T102" s="261">
        <f>S102/S116</f>
        <v>3.1679254801931643E-2</v>
      </c>
      <c r="U102" s="139" t="s">
        <v>342</v>
      </c>
      <c r="V102" s="225">
        <f>FuelProd3!BC133</f>
        <v>0</v>
      </c>
      <c r="W102" s="233"/>
      <c r="AH102" s="330">
        <v>1</v>
      </c>
      <c r="AI102" s="155" t="s">
        <v>276</v>
      </c>
      <c r="AJ102" s="282">
        <f>AJ78+AJ86</f>
        <v>0.28966656745588526</v>
      </c>
      <c r="AK102" s="242">
        <f>AJ102/AJ103</f>
        <v>1.6279940891081354E-2</v>
      </c>
      <c r="AL102" s="242">
        <f>AJ102/AJ107</f>
        <v>1.6279940891081354E-2</v>
      </c>
      <c r="AM102" s="226" t="s">
        <v>344</v>
      </c>
      <c r="AN102" s="282">
        <f>FuelProd3!BD113</f>
        <v>0</v>
      </c>
      <c r="AO102" s="228">
        <f>AN102/AN103</f>
        <v>0</v>
      </c>
      <c r="AY102" s="172"/>
      <c r="BA102" s="276"/>
      <c r="BB102" t="s">
        <v>511</v>
      </c>
    </row>
    <row r="103" spans="2:78" ht="15.75" customHeight="1" thickBot="1" x14ac:dyDescent="0.3">
      <c r="B103" s="171"/>
      <c r="Q103" s="330">
        <v>1</v>
      </c>
      <c r="R103" s="820" t="s">
        <v>512</v>
      </c>
      <c r="S103" s="822">
        <f>FuelProd3!AE130</f>
        <v>5.4851747139796432</v>
      </c>
      <c r="T103" s="242">
        <f>S103/S116</f>
        <v>6.2129828909422188E-2</v>
      </c>
      <c r="U103" s="226" t="s">
        <v>344</v>
      </c>
      <c r="V103" s="286">
        <f>FuelProd3!BD133</f>
        <v>0</v>
      </c>
      <c r="W103" s="243"/>
      <c r="AH103" s="300"/>
      <c r="AI103" s="254" t="s">
        <v>278</v>
      </c>
      <c r="AJ103" s="255">
        <f>SUM(AJ98:AJ102)</f>
        <v>17.792851300496636</v>
      </c>
      <c r="AK103" s="242">
        <f>SUM(AK98:AK102)</f>
        <v>0.99999999999999989</v>
      </c>
      <c r="AL103" s="242">
        <f>AJ103/AJ107</f>
        <v>1</v>
      </c>
      <c r="AM103" s="249" t="s">
        <v>278</v>
      </c>
      <c r="AN103" s="255">
        <f>SUM(AN98:AN102)</f>
        <v>14.227959051661557</v>
      </c>
      <c r="AO103" s="228">
        <f>SUM(AO98:AO102)</f>
        <v>1</v>
      </c>
      <c r="AY103" s="172"/>
      <c r="BA103" s="276"/>
    </row>
    <row r="104" spans="2:78" ht="15.75" customHeight="1" x14ac:dyDescent="0.25">
      <c r="B104" s="171"/>
      <c r="Q104" s="330">
        <v>1</v>
      </c>
      <c r="R104" s="820" t="s">
        <v>513</v>
      </c>
      <c r="S104" s="822">
        <f>FuelProd3!AE131</f>
        <v>7.0488612722106643</v>
      </c>
      <c r="T104" s="242">
        <f>S104/S116</f>
        <v>7.9841494151962927E-2</v>
      </c>
      <c r="U104" s="226"/>
      <c r="V104" s="286"/>
      <c r="W104" s="243" t="s">
        <v>173</v>
      </c>
      <c r="AH104" s="300"/>
      <c r="AI104" s="288" t="s">
        <v>279</v>
      </c>
      <c r="AJ104" s="245"/>
      <c r="AK104" s="337"/>
      <c r="AL104" s="337"/>
      <c r="AM104" s="338"/>
      <c r="AN104" s="339"/>
      <c r="AO104" s="340"/>
      <c r="AY104" s="172"/>
      <c r="BA104" s="276"/>
      <c r="BB104" t="s">
        <v>514</v>
      </c>
    </row>
    <row r="105" spans="2:78" x14ac:dyDescent="0.25">
      <c r="B105" s="171"/>
      <c r="Q105" s="330">
        <v>1</v>
      </c>
      <c r="R105" s="820" t="s">
        <v>515</v>
      </c>
      <c r="S105" s="822">
        <f>FuelProd3!AE132</f>
        <v>8.9543000339013723</v>
      </c>
      <c r="T105" s="242">
        <f>S105/S116</f>
        <v>0.10142414018136055</v>
      </c>
      <c r="U105" s="226"/>
      <c r="V105" s="286"/>
      <c r="W105" s="243" t="s">
        <v>173</v>
      </c>
      <c r="AH105" s="330">
        <v>1</v>
      </c>
      <c r="AI105" s="155" t="s">
        <v>280</v>
      </c>
      <c r="AJ105" s="225">
        <v>0</v>
      </c>
      <c r="AK105" s="242"/>
      <c r="AL105" s="242"/>
      <c r="AM105" s="226"/>
      <c r="AN105" s="286"/>
      <c r="AO105" s="243"/>
      <c r="AY105" s="172"/>
      <c r="BA105" s="276"/>
      <c r="BC105" t="s">
        <v>516</v>
      </c>
    </row>
    <row r="106" spans="2:78" ht="15.75" thickBot="1" x14ac:dyDescent="0.3">
      <c r="B106" s="171"/>
      <c r="Q106" s="330">
        <v>1</v>
      </c>
      <c r="R106" s="820" t="s">
        <v>517</v>
      </c>
      <c r="S106" s="822">
        <f>FuelProd3!AE133</f>
        <v>9.8916549959087501</v>
      </c>
      <c r="T106" s="242">
        <f>S106/S116</f>
        <v>0.11204143251089935</v>
      </c>
      <c r="U106" s="226"/>
      <c r="V106" s="286"/>
      <c r="W106" s="243" t="s">
        <v>173</v>
      </c>
      <c r="AH106" s="300"/>
      <c r="AI106" s="236" t="s">
        <v>278</v>
      </c>
      <c r="AJ106" s="295">
        <f>AJ105</f>
        <v>0</v>
      </c>
      <c r="AK106" s="248"/>
      <c r="AL106" s="248">
        <f>AJ106/AJ107</f>
        <v>0</v>
      </c>
      <c r="AM106" s="249"/>
      <c r="AN106" s="255"/>
      <c r="AO106" s="267"/>
      <c r="AY106" s="172"/>
      <c r="BA106" s="271"/>
      <c r="BB106" s="272"/>
      <c r="BC106" s="272"/>
      <c r="BD106" s="272"/>
      <c r="BE106" s="272"/>
      <c r="BF106" s="272"/>
      <c r="BG106" s="272"/>
      <c r="BH106" s="272"/>
      <c r="BI106" s="272"/>
      <c r="BJ106" s="272"/>
      <c r="BK106" s="272"/>
      <c r="BL106" s="272"/>
      <c r="BM106" s="272"/>
      <c r="BN106" s="272"/>
      <c r="BO106" s="272"/>
      <c r="BP106" s="272"/>
      <c r="BQ106" s="272"/>
      <c r="BR106" s="272"/>
      <c r="BS106" s="272"/>
      <c r="BT106" s="272"/>
      <c r="BU106" s="272"/>
      <c r="BV106" s="272"/>
      <c r="BW106" s="272"/>
      <c r="BX106" s="272"/>
      <c r="BY106" s="272"/>
    </row>
    <row r="107" spans="2:78" ht="15.75" thickBot="1" x14ac:dyDescent="0.3">
      <c r="B107" s="171"/>
      <c r="Q107" s="330">
        <v>1</v>
      </c>
      <c r="R107" s="820" t="s">
        <v>518</v>
      </c>
      <c r="S107" s="822">
        <f>FuelProd3!AE134</f>
        <v>8.2567360211432703</v>
      </c>
      <c r="T107" s="242">
        <f>S107/S116</f>
        <v>9.3522927362090683E-2</v>
      </c>
      <c r="U107" s="226"/>
      <c r="V107" s="286"/>
      <c r="W107" s="243" t="s">
        <v>173</v>
      </c>
      <c r="AH107" s="350"/>
      <c r="AI107" s="236" t="s">
        <v>283</v>
      </c>
      <c r="AJ107" s="295">
        <f>AJ103+AJ106</f>
        <v>17.792851300496636</v>
      </c>
      <c r="AK107" s="249"/>
      <c r="AL107" s="249"/>
      <c r="AM107" s="249"/>
      <c r="AN107" s="255"/>
      <c r="AO107" s="267"/>
      <c r="AY107" s="172"/>
    </row>
    <row r="108" spans="2:78" x14ac:dyDescent="0.25">
      <c r="B108" s="171"/>
      <c r="Q108" s="330">
        <v>1</v>
      </c>
      <c r="R108" s="820" t="s">
        <v>519</v>
      </c>
      <c r="S108" s="822">
        <f>FuelProd3!AE135</f>
        <v>7.0348191797905208</v>
      </c>
      <c r="T108" s="242">
        <f>S108/S116</f>
        <v>7.96824412785202E-2</v>
      </c>
      <c r="U108" s="226"/>
      <c r="V108" s="286"/>
      <c r="W108" s="243" t="s">
        <v>173</v>
      </c>
      <c r="AY108" s="172"/>
    </row>
    <row r="109" spans="2:78" x14ac:dyDescent="0.25">
      <c r="B109" s="171"/>
      <c r="Q109" s="330">
        <v>1</v>
      </c>
      <c r="R109" s="820" t="s">
        <v>520</v>
      </c>
      <c r="S109" s="822">
        <f>FuelProd3!AE136</f>
        <v>10.376223805114281</v>
      </c>
      <c r="T109" s="242">
        <f>S109/S116</f>
        <v>0.1175300775916208</v>
      </c>
      <c r="U109" s="226"/>
      <c r="V109" s="286"/>
      <c r="W109" s="243" t="s">
        <v>173</v>
      </c>
      <c r="AY109" s="172"/>
    </row>
    <row r="110" spans="2:78" ht="15.75" thickBot="1" x14ac:dyDescent="0.3">
      <c r="B110" s="171"/>
      <c r="Q110" s="330">
        <v>1</v>
      </c>
      <c r="R110" s="823" t="s">
        <v>521</v>
      </c>
      <c r="S110" s="824">
        <f>FuelProd3!AE137</f>
        <v>3.2406956119402492</v>
      </c>
      <c r="T110" s="242">
        <f>S110/S116</f>
        <v>3.6706918998261492E-2</v>
      </c>
      <c r="U110" s="226"/>
      <c r="V110" s="286"/>
      <c r="W110" s="243"/>
      <c r="AY110" s="172"/>
    </row>
    <row r="111" spans="2:78" ht="16.5" thickBot="1" x14ac:dyDescent="0.3">
      <c r="B111" s="171"/>
      <c r="M111" s="1034" t="s">
        <v>414</v>
      </c>
      <c r="N111" s="1035"/>
      <c r="Q111" s="330">
        <v>1</v>
      </c>
      <c r="R111" s="823" t="s">
        <v>522</v>
      </c>
      <c r="S111" s="824">
        <f>FuelProd3!AE138</f>
        <v>6.3156350151068956</v>
      </c>
      <c r="T111" s="242">
        <f>S111/S116</f>
        <v>7.1536339935151919E-2</v>
      </c>
      <c r="U111" s="226"/>
      <c r="V111" s="286"/>
      <c r="W111" s="243"/>
      <c r="AY111" s="172"/>
    </row>
    <row r="112" spans="2:78" ht="18.75" customHeight="1" x14ac:dyDescent="0.25">
      <c r="B112" s="171"/>
      <c r="F112" s="1036" t="s">
        <v>523</v>
      </c>
      <c r="G112" s="1041" t="s">
        <v>363</v>
      </c>
      <c r="H112" s="1042"/>
      <c r="I112" s="1042"/>
      <c r="J112" s="1042"/>
      <c r="K112" s="1042"/>
      <c r="L112" s="1042"/>
      <c r="M112" s="1042"/>
      <c r="N112" s="1043"/>
      <c r="Q112" s="330">
        <v>1</v>
      </c>
      <c r="R112" s="823" t="s">
        <v>524</v>
      </c>
      <c r="S112" s="824">
        <f>FuelProd3!AE139</f>
        <v>3.1595859814193585</v>
      </c>
      <c r="T112" s="242">
        <f>S112/S116</f>
        <v>3.5788201230835412E-2</v>
      </c>
      <c r="U112" s="226"/>
      <c r="V112" s="286"/>
      <c r="W112" s="243"/>
      <c r="AY112" s="172"/>
    </row>
    <row r="113" spans="2:52" ht="15.75" thickBot="1" x14ac:dyDescent="0.3">
      <c r="B113" s="171"/>
      <c r="F113" s="1037"/>
      <c r="G113" s="1047" t="s">
        <v>319</v>
      </c>
      <c r="H113" s="991"/>
      <c r="I113" s="991"/>
      <c r="J113" s="991"/>
      <c r="K113" s="979"/>
      <c r="L113" s="978" t="s">
        <v>320</v>
      </c>
      <c r="M113" s="991"/>
      <c r="N113" s="1046"/>
      <c r="Q113" s="330">
        <v>1</v>
      </c>
      <c r="R113" s="823" t="s">
        <v>525</v>
      </c>
      <c r="S113" s="824">
        <f>FuelProd3!AE140</f>
        <v>5.0215091823494395</v>
      </c>
      <c r="T113" s="242">
        <f>S113/S116</f>
        <v>5.6877952414410737E-2</v>
      </c>
      <c r="U113" s="226"/>
      <c r="V113" s="286"/>
      <c r="W113" s="243"/>
      <c r="AY113" s="172"/>
    </row>
    <row r="114" spans="2:52" ht="15.75" thickBot="1" x14ac:dyDescent="0.3">
      <c r="B114" s="171"/>
      <c r="F114" s="181" t="s">
        <v>180</v>
      </c>
      <c r="G114" s="270" t="s">
        <v>322</v>
      </c>
      <c r="H114" s="145" t="s">
        <v>323</v>
      </c>
      <c r="I114" s="145"/>
      <c r="J114" s="145" t="s">
        <v>324</v>
      </c>
      <c r="K114" s="145" t="s">
        <v>325</v>
      </c>
      <c r="L114" s="145"/>
      <c r="M114" s="145" t="s">
        <v>323</v>
      </c>
      <c r="N114" s="189" t="s">
        <v>326</v>
      </c>
      <c r="Q114" s="779"/>
      <c r="R114" s="139" t="s">
        <v>376</v>
      </c>
      <c r="S114" s="331">
        <f>P94-FuelProd3!M173</f>
        <v>4.2834106919982302</v>
      </c>
      <c r="T114" s="242">
        <f>S114/S116</f>
        <v>4.8517611073423214E-2</v>
      </c>
      <c r="U114" s="226"/>
      <c r="V114" s="286"/>
      <c r="W114" s="243"/>
      <c r="AY114" s="172"/>
    </row>
    <row r="115" spans="2:52" x14ac:dyDescent="0.25">
      <c r="B115" s="171"/>
      <c r="F115" s="190">
        <v>1</v>
      </c>
      <c r="G115" s="232" t="s">
        <v>376</v>
      </c>
      <c r="H115" s="282">
        <f>S114</f>
        <v>4.2834106919982302</v>
      </c>
      <c r="I115" s="282"/>
      <c r="J115" s="351">
        <v>1</v>
      </c>
      <c r="K115" s="351">
        <v>1</v>
      </c>
      <c r="L115" s="139" t="s">
        <v>328</v>
      </c>
      <c r="M115" s="326">
        <v>4.72</v>
      </c>
      <c r="N115" s="352">
        <v>1</v>
      </c>
      <c r="Q115" s="300"/>
      <c r="R115" s="16" t="s">
        <v>441</v>
      </c>
      <c r="S115" s="331">
        <f>FuelProd3!M173</f>
        <v>0.71658930800177001</v>
      </c>
      <c r="T115" s="242"/>
      <c r="U115" s="226"/>
      <c r="V115" s="286"/>
      <c r="W115" s="243"/>
      <c r="AY115" s="172"/>
    </row>
    <row r="116" spans="2:52" ht="16.5" thickBot="1" x14ac:dyDescent="0.3">
      <c r="B116" s="171"/>
      <c r="F116" s="280"/>
      <c r="G116" s="218"/>
      <c r="H116" s="249"/>
      <c r="I116" s="249"/>
      <c r="J116" s="249"/>
      <c r="K116" s="249"/>
      <c r="L116" s="249"/>
      <c r="M116" s="249"/>
      <c r="N116" s="267"/>
      <c r="Q116" s="300"/>
      <c r="R116" s="254" t="s">
        <v>278</v>
      </c>
      <c r="S116" s="255">
        <f>SUM(Y99:Y101)+S114</f>
        <v>88.285688376453891</v>
      </c>
      <c r="T116" s="248">
        <f>SUM(T99:T114)</f>
        <v>1</v>
      </c>
      <c r="U116" s="249" t="s">
        <v>278</v>
      </c>
      <c r="V116" s="255">
        <f>SUM(V99:V103)</f>
        <v>80.545129341270751</v>
      </c>
      <c r="W116" s="267"/>
      <c r="AP116" s="335"/>
      <c r="AQ116" s="335"/>
      <c r="AR116" s="335"/>
      <c r="AS116" s="335"/>
      <c r="AT116" s="335"/>
      <c r="AU116" s="335"/>
      <c r="AV116" s="335"/>
      <c r="AW116" s="335"/>
      <c r="AX116" s="335"/>
      <c r="AY116" s="172"/>
    </row>
    <row r="117" spans="2:52" x14ac:dyDescent="0.25">
      <c r="B117" s="171"/>
      <c r="Q117" s="251"/>
      <c r="R117" s="288" t="s">
        <v>279</v>
      </c>
      <c r="S117" s="353" t="s">
        <v>173</v>
      </c>
      <c r="T117" s="226"/>
      <c r="U117" s="226"/>
      <c r="V117" s="226"/>
      <c r="W117" s="243"/>
      <c r="AP117" s="341"/>
      <c r="AQ117" s="341"/>
      <c r="AY117" s="172"/>
    </row>
    <row r="118" spans="2:52" x14ac:dyDescent="0.25">
      <c r="B118" s="171"/>
      <c r="Q118" s="287">
        <v>1</v>
      </c>
      <c r="R118" s="155" t="s">
        <v>483</v>
      </c>
      <c r="S118" s="282">
        <v>0</v>
      </c>
      <c r="T118" s="226"/>
      <c r="U118" s="226"/>
      <c r="V118" s="226"/>
      <c r="W118" s="243"/>
      <c r="AP118" s="341"/>
      <c r="AQ118" s="341"/>
      <c r="AY118" s="172"/>
      <c r="AZ118" s="171"/>
    </row>
    <row r="119" spans="2:52" ht="15.75" thickBot="1" x14ac:dyDescent="0.3">
      <c r="B119" s="171"/>
      <c r="Q119" s="253"/>
      <c r="R119" s="254" t="s">
        <v>278</v>
      </c>
      <c r="S119" s="255">
        <f>SUM(S118)</f>
        <v>0</v>
      </c>
      <c r="T119" s="249"/>
      <c r="U119" s="249" t="s">
        <v>278</v>
      </c>
      <c r="V119" s="249"/>
      <c r="W119" s="267"/>
      <c r="AY119" s="172"/>
    </row>
    <row r="120" spans="2:52" ht="16.5" thickBot="1" x14ac:dyDescent="0.3">
      <c r="B120" s="171"/>
      <c r="T120" s="1013" t="s">
        <v>526</v>
      </c>
      <c r="U120" s="1014"/>
      <c r="AY120" s="172"/>
    </row>
    <row r="121" spans="2:52" ht="16.5" thickBot="1" x14ac:dyDescent="0.3">
      <c r="B121" s="171"/>
      <c r="T121" s="1060" t="s">
        <v>527</v>
      </c>
      <c r="U121" s="1061"/>
      <c r="W121" s="341"/>
      <c r="X121" s="341"/>
      <c r="Y121" s="341"/>
      <c r="Z121" s="341"/>
      <c r="AA121" s="341"/>
      <c r="AC121" s="1062" t="s">
        <v>414</v>
      </c>
      <c r="AD121" s="1063"/>
      <c r="AY121" s="172"/>
    </row>
    <row r="122" spans="2:52" ht="19.5" thickBot="1" x14ac:dyDescent="0.4">
      <c r="B122" s="171"/>
      <c r="Q122" s="1062" t="s">
        <v>414</v>
      </c>
      <c r="R122" s="1063"/>
      <c r="T122" s="211" t="s">
        <v>336</v>
      </c>
      <c r="U122" s="354">
        <f>FuelProd3!CS66</f>
        <v>0</v>
      </c>
      <c r="W122" s="1036" t="s">
        <v>528</v>
      </c>
      <c r="X122" s="1064" t="s">
        <v>529</v>
      </c>
      <c r="Y122" s="1065"/>
      <c r="Z122" s="1065"/>
      <c r="AA122" s="1065"/>
      <c r="AB122" s="1065"/>
      <c r="AC122" s="1065"/>
      <c r="AD122" s="1066"/>
      <c r="AY122" s="172"/>
    </row>
    <row r="123" spans="2:52" ht="19.5" thickBot="1" x14ac:dyDescent="0.4">
      <c r="B123" s="171"/>
      <c r="K123" s="1036" t="s">
        <v>530</v>
      </c>
      <c r="L123" s="1054" t="s">
        <v>531</v>
      </c>
      <c r="M123" s="1055"/>
      <c r="N123" s="1055"/>
      <c r="O123" s="1055"/>
      <c r="P123" s="1055"/>
      <c r="Q123" s="1055"/>
      <c r="R123" s="1056"/>
      <c r="T123" s="1011" t="s">
        <v>448</v>
      </c>
      <c r="U123" s="1012"/>
      <c r="W123" s="1037"/>
      <c r="X123" s="1044" t="s">
        <v>319</v>
      </c>
      <c r="Y123" s="892"/>
      <c r="Z123" s="892"/>
      <c r="AA123" s="892" t="s">
        <v>320</v>
      </c>
      <c r="AB123" s="892"/>
      <c r="AC123" s="978"/>
      <c r="AD123" s="1045"/>
      <c r="AY123" s="172"/>
    </row>
    <row r="124" spans="2:52" ht="16.5" thickBot="1" x14ac:dyDescent="0.3">
      <c r="B124" s="171"/>
      <c r="K124" s="1037"/>
      <c r="L124" s="1057" t="s">
        <v>319</v>
      </c>
      <c r="M124" s="1058"/>
      <c r="N124" s="1058"/>
      <c r="O124" s="1058"/>
      <c r="P124" s="1058" t="s">
        <v>320</v>
      </c>
      <c r="Q124" s="1058"/>
      <c r="R124" s="1059"/>
      <c r="T124" s="1015" t="s">
        <v>331</v>
      </c>
      <c r="U124" s="1016"/>
      <c r="W124" s="181" t="s">
        <v>180</v>
      </c>
      <c r="X124" s="270" t="s">
        <v>322</v>
      </c>
      <c r="Y124" s="145" t="s">
        <v>323</v>
      </c>
      <c r="Z124" s="145" t="s">
        <v>324</v>
      </c>
      <c r="AA124" s="145" t="s">
        <v>325</v>
      </c>
      <c r="AB124" s="145"/>
      <c r="AC124" s="145" t="s">
        <v>323</v>
      </c>
      <c r="AD124" s="189" t="s">
        <v>326</v>
      </c>
      <c r="AY124" s="172"/>
    </row>
    <row r="125" spans="2:52" ht="15.75" thickBot="1" x14ac:dyDescent="0.3">
      <c r="B125" s="171"/>
      <c r="K125" s="181" t="s">
        <v>180</v>
      </c>
      <c r="L125" s="270" t="s">
        <v>322</v>
      </c>
      <c r="M125" s="145" t="s">
        <v>323</v>
      </c>
      <c r="N125" s="145" t="s">
        <v>324</v>
      </c>
      <c r="O125" s="145" t="s">
        <v>325</v>
      </c>
      <c r="P125" s="145"/>
      <c r="Q125" s="145" t="s">
        <v>323</v>
      </c>
      <c r="R125" s="189" t="s">
        <v>326</v>
      </c>
      <c r="T125" s="211" t="s">
        <v>336</v>
      </c>
      <c r="U125" s="355">
        <f>U122*(1/AK6)</f>
        <v>0</v>
      </c>
      <c r="W125" s="317">
        <v>1</v>
      </c>
      <c r="X125" s="820" t="s">
        <v>471</v>
      </c>
      <c r="Y125" s="822">
        <f t="shared" ref="Y125:Y134" si="3">S99</f>
        <v>3.7155312095144715</v>
      </c>
      <c r="Z125" s="139"/>
      <c r="AA125" s="139"/>
      <c r="AB125" s="139" t="s">
        <v>328</v>
      </c>
      <c r="AC125" s="282">
        <f>FuelProd3!AZ135</f>
        <v>8.5572112201900126</v>
      </c>
      <c r="AD125" s="233"/>
      <c r="AE125" t="s">
        <v>260</v>
      </c>
      <c r="AF125" s="144">
        <f>Y99</f>
        <v>47.741294483998971</v>
      </c>
      <c r="AY125" s="172"/>
    </row>
    <row r="126" spans="2:52" x14ac:dyDescent="0.25">
      <c r="B126" s="171"/>
      <c r="K126" s="317">
        <v>1</v>
      </c>
      <c r="L126" s="820" t="s">
        <v>520</v>
      </c>
      <c r="M126" s="822">
        <f>S109</f>
        <v>10.376223805114281</v>
      </c>
      <c r="N126" s="261">
        <f>M126/M134</f>
        <v>0.34959374859884368</v>
      </c>
      <c r="O126" s="261">
        <f>M126/M134</f>
        <v>0.34959374859884368</v>
      </c>
      <c r="P126" s="139" t="s">
        <v>328</v>
      </c>
      <c r="Q126" s="282">
        <f>FuelProd3!AZ134</f>
        <v>3.1849890553999858</v>
      </c>
      <c r="R126" s="201">
        <f>Q126/Q134</f>
        <v>0.1597883034128815</v>
      </c>
      <c r="W126" s="258">
        <v>1</v>
      </c>
      <c r="X126" s="820" t="s">
        <v>467</v>
      </c>
      <c r="Y126" s="822">
        <f t="shared" si="3"/>
        <v>2.5782221608381968</v>
      </c>
      <c r="Z126" s="139"/>
      <c r="AA126" s="139"/>
      <c r="AB126" s="139" t="s">
        <v>333</v>
      </c>
      <c r="AC126" s="282">
        <f>FuelProd3!BA135</f>
        <v>47.331416868335424</v>
      </c>
      <c r="AD126" s="233"/>
      <c r="AE126" t="s">
        <v>1537</v>
      </c>
      <c r="AF126" s="144">
        <f>Y101</f>
        <v>6.5801784186156915</v>
      </c>
      <c r="AY126" s="172"/>
    </row>
    <row r="127" spans="2:52" x14ac:dyDescent="0.25">
      <c r="B127" s="171"/>
      <c r="K127" s="258">
        <v>1</v>
      </c>
      <c r="L127" s="823" t="s">
        <v>521</v>
      </c>
      <c r="M127" s="822">
        <f>S110</f>
        <v>3.2406956119402492</v>
      </c>
      <c r="N127" s="261">
        <f>M127/M134</f>
        <v>0.10918489696488748</v>
      </c>
      <c r="O127" s="261">
        <f>M127/M134</f>
        <v>0.10918489696488748</v>
      </c>
      <c r="P127" s="139" t="s">
        <v>333</v>
      </c>
      <c r="Q127" s="282">
        <f>FuelProd3!BA134</f>
        <v>16.74756537676144</v>
      </c>
      <c r="R127" s="201">
        <f>Q127/Q134</f>
        <v>0.84021169658711858</v>
      </c>
      <c r="W127" s="258">
        <v>1</v>
      </c>
      <c r="X127" s="820" t="s">
        <v>476</v>
      </c>
      <c r="Y127" s="822">
        <f t="shared" si="3"/>
        <v>0.12650368379693394</v>
      </c>
      <c r="Z127" s="139"/>
      <c r="AA127" s="139"/>
      <c r="AB127" s="139" t="s">
        <v>338</v>
      </c>
      <c r="AC127" s="282">
        <v>0</v>
      </c>
      <c r="AD127" s="233"/>
      <c r="AY127" s="172"/>
    </row>
    <row r="128" spans="2:52" x14ac:dyDescent="0.25">
      <c r="B128" s="171"/>
      <c r="K128" s="258">
        <v>1</v>
      </c>
      <c r="L128" s="823" t="s">
        <v>522</v>
      </c>
      <c r="M128" s="822">
        <f>S111</f>
        <v>6.3156350151068956</v>
      </c>
      <c r="N128" s="261">
        <f>M128/M134</f>
        <v>0.21278516743490936</v>
      </c>
      <c r="O128" s="261">
        <f>M128/M134</f>
        <v>0.21278516743490936</v>
      </c>
      <c r="P128" s="139" t="s">
        <v>338</v>
      </c>
      <c r="Q128" s="282">
        <v>0</v>
      </c>
      <c r="R128" s="201">
        <f>Q128/Q134</f>
        <v>0</v>
      </c>
      <c r="W128" s="258">
        <v>1</v>
      </c>
      <c r="X128" s="820" t="s">
        <v>474</v>
      </c>
      <c r="Y128" s="822">
        <f t="shared" si="3"/>
        <v>2.7968248174416175</v>
      </c>
      <c r="Z128" s="139"/>
      <c r="AA128" s="139"/>
      <c r="AB128" s="139" t="s">
        <v>342</v>
      </c>
      <c r="AC128" s="282">
        <v>0</v>
      </c>
      <c r="AD128" s="233"/>
      <c r="AY128" s="172"/>
    </row>
    <row r="129" spans="2:51" x14ac:dyDescent="0.25">
      <c r="B129" s="171"/>
      <c r="K129" s="330">
        <v>1</v>
      </c>
      <c r="L129" s="823" t="s">
        <v>524</v>
      </c>
      <c r="M129" s="822">
        <f>S112</f>
        <v>3.1595859814193585</v>
      </c>
      <c r="N129" s="261">
        <f>M129/M134</f>
        <v>0.10645216680082824</v>
      </c>
      <c r="O129" s="261">
        <f>M129/M134</f>
        <v>0.10645216680082824</v>
      </c>
      <c r="P129" s="139" t="s">
        <v>342</v>
      </c>
      <c r="Q129" s="282">
        <v>0</v>
      </c>
      <c r="R129" s="201">
        <f>Q129/Q134</f>
        <v>0</v>
      </c>
      <c r="W129" s="258">
        <v>1</v>
      </c>
      <c r="X129" s="820" t="s">
        <v>512</v>
      </c>
      <c r="Y129" s="824">
        <f t="shared" si="3"/>
        <v>5.4851747139796432</v>
      </c>
      <c r="Z129" s="226"/>
      <c r="AA129" s="226"/>
      <c r="AB129" s="226" t="s">
        <v>344</v>
      </c>
      <c r="AC129" s="331">
        <v>0</v>
      </c>
      <c r="AD129" s="243"/>
      <c r="AY129" s="172"/>
    </row>
    <row r="130" spans="2:51" x14ac:dyDescent="0.25">
      <c r="B130" s="171"/>
      <c r="K130" s="330">
        <v>1</v>
      </c>
      <c r="L130" s="823" t="s">
        <v>525</v>
      </c>
      <c r="M130" s="822">
        <f>S113</f>
        <v>5.0215091823494395</v>
      </c>
      <c r="N130" s="261">
        <f>M130/M134</f>
        <v>0.16918372730316419</v>
      </c>
      <c r="O130" s="261">
        <f>M130/M134</f>
        <v>0.16918372730316419</v>
      </c>
      <c r="P130" s="226" t="s">
        <v>344</v>
      </c>
      <c r="Q130" s="331">
        <v>0</v>
      </c>
      <c r="R130" s="228">
        <f>Q130/Q134</f>
        <v>0</v>
      </c>
      <c r="W130" s="258">
        <v>1</v>
      </c>
      <c r="X130" s="820" t="s">
        <v>513</v>
      </c>
      <c r="Y130" s="824">
        <f t="shared" si="3"/>
        <v>7.0488612722106643</v>
      </c>
      <c r="Z130" s="226"/>
      <c r="AA130" s="226"/>
      <c r="AB130" s="226"/>
      <c r="AC130" s="286"/>
      <c r="AD130" s="243"/>
      <c r="AY130" s="172"/>
    </row>
    <row r="131" spans="2:51" x14ac:dyDescent="0.25">
      <c r="B131" s="171"/>
      <c r="K131" s="251"/>
      <c r="L131" s="38"/>
      <c r="M131" s="226"/>
      <c r="N131" s="226"/>
      <c r="O131" s="226"/>
      <c r="P131" s="226"/>
      <c r="Q131" s="286"/>
      <c r="R131" s="233"/>
      <c r="W131" s="258">
        <v>1</v>
      </c>
      <c r="X131" s="820" t="s">
        <v>515</v>
      </c>
      <c r="Y131" s="824">
        <f t="shared" si="3"/>
        <v>8.9543000339013723</v>
      </c>
      <c r="Z131" s="226"/>
      <c r="AA131" s="226"/>
      <c r="AB131" s="226"/>
      <c r="AC131" s="286"/>
      <c r="AD131" s="243"/>
      <c r="AY131" s="172"/>
    </row>
    <row r="132" spans="2:51" ht="15.75" thickBot="1" x14ac:dyDescent="0.3">
      <c r="B132" s="171"/>
      <c r="K132" s="251"/>
      <c r="L132" s="38" t="s">
        <v>257</v>
      </c>
      <c r="M132" s="826">
        <f>Y100</f>
        <v>29.680804781841001</v>
      </c>
      <c r="N132" s="226"/>
      <c r="O132" s="226"/>
      <c r="P132" s="226"/>
      <c r="Q132" s="286"/>
      <c r="R132" s="243"/>
      <c r="W132" s="258">
        <v>1</v>
      </c>
      <c r="X132" s="820" t="s">
        <v>517</v>
      </c>
      <c r="Y132" s="824">
        <f t="shared" si="3"/>
        <v>9.8916549959087501</v>
      </c>
      <c r="Z132" s="226"/>
      <c r="AA132" s="226"/>
      <c r="AB132" s="226"/>
      <c r="AC132" s="286"/>
      <c r="AD132" s="243"/>
      <c r="AY132" s="172"/>
    </row>
    <row r="133" spans="2:51" ht="15.75" x14ac:dyDescent="0.25">
      <c r="B133" s="1036" t="s">
        <v>532</v>
      </c>
      <c r="C133" s="1041" t="s">
        <v>272</v>
      </c>
      <c r="D133" s="1042"/>
      <c r="E133" s="1042"/>
      <c r="F133" s="1042"/>
      <c r="G133" s="1042"/>
      <c r="H133" s="1042"/>
      <c r="I133" s="1043"/>
      <c r="K133" s="251"/>
      <c r="L133" s="38" t="s">
        <v>272</v>
      </c>
      <c r="M133" s="826">
        <v>0</v>
      </c>
      <c r="N133" s="226"/>
      <c r="O133" s="226"/>
      <c r="P133" s="226"/>
      <c r="Q133" s="286"/>
      <c r="R133" s="243"/>
      <c r="W133" s="258">
        <v>1</v>
      </c>
      <c r="X133" s="820" t="s">
        <v>518</v>
      </c>
      <c r="Y133" s="824">
        <f t="shared" si="3"/>
        <v>8.2567360211432703</v>
      </c>
      <c r="Z133" s="226"/>
      <c r="AA133" s="226"/>
      <c r="AB133" s="226"/>
      <c r="AC133" s="286"/>
      <c r="AD133" s="243"/>
      <c r="AY133" s="172"/>
    </row>
    <row r="134" spans="2:51" ht="15.75" thickBot="1" x14ac:dyDescent="0.3">
      <c r="B134" s="1037"/>
      <c r="C134" s="1044" t="s">
        <v>319</v>
      </c>
      <c r="D134" s="892"/>
      <c r="E134" s="892"/>
      <c r="F134" s="892"/>
      <c r="G134" s="892" t="s">
        <v>320</v>
      </c>
      <c r="H134" s="892"/>
      <c r="I134" s="1045"/>
      <c r="K134" s="251"/>
      <c r="L134" s="254" t="s">
        <v>278</v>
      </c>
      <c r="M134" s="255">
        <f>SUM(M132:M133)</f>
        <v>29.680804781841001</v>
      </c>
      <c r="N134" s="248">
        <f>SUM(N126:N130)</f>
        <v>0.94719970710263302</v>
      </c>
      <c r="O134" s="248">
        <f>SUM(O126:O128)</f>
        <v>0.67156381299864054</v>
      </c>
      <c r="P134" s="249" t="s">
        <v>278</v>
      </c>
      <c r="Q134" s="255">
        <f>SUM(Q126:Q130)</f>
        <v>19.932554432161425</v>
      </c>
      <c r="R134" s="267"/>
      <c r="W134" s="293">
        <v>1</v>
      </c>
      <c r="X134" s="820" t="s">
        <v>519</v>
      </c>
      <c r="Y134" s="824">
        <f t="shared" si="3"/>
        <v>7.0348191797905208</v>
      </c>
      <c r="Z134" s="226"/>
      <c r="AA134" s="226"/>
      <c r="AB134" s="226"/>
      <c r="AC134" s="225"/>
      <c r="AD134" s="243"/>
      <c r="AY134" s="172"/>
    </row>
    <row r="135" spans="2:51" ht="15.75" thickBot="1" x14ac:dyDescent="0.3">
      <c r="B135" s="181" t="s">
        <v>180</v>
      </c>
      <c r="C135" s="270" t="s">
        <v>322</v>
      </c>
      <c r="D135" s="145" t="s">
        <v>323</v>
      </c>
      <c r="E135" s="145" t="s">
        <v>324</v>
      </c>
      <c r="F135" s="145" t="s">
        <v>325</v>
      </c>
      <c r="G135" s="145"/>
      <c r="H135" s="145" t="s">
        <v>323</v>
      </c>
      <c r="I135" s="189" t="s">
        <v>326</v>
      </c>
      <c r="K135" s="251"/>
      <c r="L135" s="216" t="s">
        <v>279</v>
      </c>
      <c r="O135" s="146"/>
      <c r="P135" s="146"/>
      <c r="Q135" s="146"/>
      <c r="R135" s="356"/>
      <c r="W135" s="341"/>
      <c r="X135" s="218" t="s">
        <v>278</v>
      </c>
      <c r="Y135" s="255">
        <f>SUM(AF125:AF126)</f>
        <v>54.321472902614659</v>
      </c>
      <c r="Z135" s="249"/>
      <c r="AA135" s="249"/>
      <c r="AB135" s="249" t="s">
        <v>278</v>
      </c>
      <c r="AC135" s="255">
        <f>SUM(AC125:AC129)</f>
        <v>55.888628088525437</v>
      </c>
      <c r="AD135" s="267"/>
      <c r="AY135" s="172"/>
    </row>
    <row r="136" spans="2:51" x14ac:dyDescent="0.25">
      <c r="B136" s="317">
        <v>1</v>
      </c>
      <c r="C136" s="823" t="s">
        <v>524</v>
      </c>
      <c r="D136" s="822">
        <f>M129</f>
        <v>3.1595859814193585</v>
      </c>
      <c r="E136" s="825">
        <f t="shared" ref="E136:F137" si="4">E116</f>
        <v>0</v>
      </c>
      <c r="F136" s="261">
        <f t="shared" si="4"/>
        <v>0</v>
      </c>
      <c r="G136" s="139" t="s">
        <v>328</v>
      </c>
      <c r="H136" s="282">
        <f t="shared" ref="H136:I140" si="5">H116</f>
        <v>0</v>
      </c>
      <c r="I136" s="201">
        <f t="shared" si="5"/>
        <v>0</v>
      </c>
      <c r="K136" s="251"/>
      <c r="L136" s="155"/>
      <c r="M136" s="225"/>
      <c r="N136" s="286"/>
      <c r="O136" s="226"/>
      <c r="P136" s="226"/>
      <c r="Q136" s="226"/>
      <c r="R136" s="243"/>
      <c r="W136" s="341"/>
      <c r="X136" s="357" t="s">
        <v>279</v>
      </c>
      <c r="Y136" s="245"/>
      <c r="Z136" s="226"/>
      <c r="AA136" s="226"/>
      <c r="AB136" s="226"/>
      <c r="AC136" s="36"/>
      <c r="AD136" s="243"/>
      <c r="AY136" s="172"/>
    </row>
    <row r="137" spans="2:51" ht="15.75" thickBot="1" x14ac:dyDescent="0.3">
      <c r="B137" s="258">
        <v>1</v>
      </c>
      <c r="C137" s="823" t="s">
        <v>525</v>
      </c>
      <c r="D137" s="822">
        <f>M130</f>
        <v>5.0215091823494395</v>
      </c>
      <c r="E137" s="825">
        <f t="shared" si="4"/>
        <v>0</v>
      </c>
      <c r="F137" s="261">
        <f t="shared" si="4"/>
        <v>0</v>
      </c>
      <c r="G137" s="139" t="s">
        <v>333</v>
      </c>
      <c r="H137" s="282">
        <f t="shared" si="5"/>
        <v>0</v>
      </c>
      <c r="I137" s="201">
        <f t="shared" si="5"/>
        <v>0</v>
      </c>
      <c r="K137" s="253"/>
      <c r="L137" s="254" t="s">
        <v>278</v>
      </c>
      <c r="M137" s="255"/>
      <c r="N137" s="255"/>
      <c r="O137" s="249"/>
      <c r="P137" s="249" t="s">
        <v>278</v>
      </c>
      <c r="Q137" s="249"/>
      <c r="R137" s="267"/>
      <c r="W137" s="341"/>
      <c r="X137" s="232" t="s">
        <v>483</v>
      </c>
      <c r="Y137" s="225">
        <f>Z137*X93</f>
        <v>0</v>
      </c>
      <c r="Z137" s="226"/>
      <c r="AA137" s="226"/>
      <c r="AB137" s="226"/>
      <c r="AC137" s="36"/>
      <c r="AD137" s="243"/>
      <c r="AY137" s="172"/>
    </row>
    <row r="138" spans="2:51" ht="16.5" thickBot="1" x14ac:dyDescent="0.3">
      <c r="B138" s="214"/>
      <c r="C138" s="38"/>
      <c r="D138" s="139"/>
      <c r="E138" s="261"/>
      <c r="F138" s="261"/>
      <c r="G138" s="139" t="s">
        <v>338</v>
      </c>
      <c r="H138" s="282">
        <f t="shared" si="5"/>
        <v>0</v>
      </c>
      <c r="I138" s="201">
        <f t="shared" si="5"/>
        <v>0</v>
      </c>
      <c r="K138" s="1013" t="s">
        <v>533</v>
      </c>
      <c r="L138" s="1014"/>
      <c r="M138" s="1011" t="s">
        <v>448</v>
      </c>
      <c r="N138" s="1012"/>
      <c r="W138" s="341"/>
      <c r="X138" s="218" t="s">
        <v>278</v>
      </c>
      <c r="Y138" s="255">
        <f>SUM(Y137)</f>
        <v>0</v>
      </c>
      <c r="Z138" s="249"/>
      <c r="AA138" s="249" t="s">
        <v>278</v>
      </c>
      <c r="AB138" s="249"/>
      <c r="AC138" s="358"/>
      <c r="AD138" s="267"/>
      <c r="AP138" s="335"/>
      <c r="AQ138" s="335"/>
      <c r="AR138" s="335"/>
      <c r="AS138" s="335"/>
      <c r="AT138" s="335"/>
      <c r="AU138" s="335"/>
      <c r="AV138" s="335"/>
      <c r="AW138" s="335"/>
      <c r="AX138" s="335"/>
      <c r="AY138" s="172"/>
    </row>
    <row r="139" spans="2:51" ht="16.5" thickBot="1" x14ac:dyDescent="0.3">
      <c r="B139" s="214"/>
      <c r="C139" s="155" t="s">
        <v>272</v>
      </c>
      <c r="D139" s="139">
        <v>0</v>
      </c>
      <c r="E139" s="139"/>
      <c r="F139" s="139"/>
      <c r="G139" s="139" t="s">
        <v>342</v>
      </c>
      <c r="H139" s="282">
        <f t="shared" si="5"/>
        <v>0</v>
      </c>
      <c r="I139" s="201">
        <f t="shared" si="5"/>
        <v>0</v>
      </c>
      <c r="K139" s="1048" t="s">
        <v>534</v>
      </c>
      <c r="L139" s="1049"/>
      <c r="M139" s="1015" t="s">
        <v>331</v>
      </c>
      <c r="N139" s="1016"/>
      <c r="Y139" s="1013" t="s">
        <v>526</v>
      </c>
      <c r="Z139" s="1014"/>
      <c r="AA139" s="1011" t="s">
        <v>448</v>
      </c>
      <c r="AB139" s="1012"/>
      <c r="AP139" s="341"/>
      <c r="AQ139" s="341"/>
      <c r="AR139" s="341"/>
      <c r="AS139" s="341"/>
      <c r="AT139" s="341"/>
      <c r="AU139" s="341"/>
      <c r="AV139" s="341"/>
      <c r="AW139" s="341"/>
      <c r="AX139" s="341"/>
      <c r="AY139" s="172"/>
    </row>
    <row r="140" spans="2:51" ht="16.5" thickBot="1" x14ac:dyDescent="0.3">
      <c r="B140" s="214"/>
      <c r="C140" s="38"/>
      <c r="D140" s="226"/>
      <c r="E140" s="226"/>
      <c r="F140" s="226"/>
      <c r="G140" s="226" t="s">
        <v>344</v>
      </c>
      <c r="H140" s="331">
        <f t="shared" si="5"/>
        <v>0</v>
      </c>
      <c r="I140" s="228">
        <f t="shared" si="5"/>
        <v>0</v>
      </c>
      <c r="K140" s="218" t="s">
        <v>336</v>
      </c>
      <c r="L140" s="265">
        <f>FuelProd3!BN60</f>
        <v>44521.207172761504</v>
      </c>
      <c r="M140" s="211" t="s">
        <v>336</v>
      </c>
      <c r="N140" s="344">
        <f>L140*(1/AK6)</f>
        <v>134912.74900836821</v>
      </c>
      <c r="Y140" s="1013" t="s">
        <v>527</v>
      </c>
      <c r="Z140" s="1014"/>
      <c r="AA140" s="1015" t="s">
        <v>331</v>
      </c>
      <c r="AB140" s="1016"/>
      <c r="AP140" s="341"/>
      <c r="AQ140" s="341"/>
      <c r="AR140" s="341"/>
      <c r="AS140" s="341"/>
      <c r="AT140" s="341"/>
      <c r="AU140" s="341"/>
      <c r="AV140" s="341"/>
      <c r="AW140" s="341"/>
      <c r="AX140" s="341"/>
      <c r="AY140" s="172"/>
    </row>
    <row r="141" spans="2:51" ht="15.75" thickBot="1" x14ac:dyDescent="0.3">
      <c r="B141" s="280"/>
      <c r="C141" s="254" t="s">
        <v>278</v>
      </c>
      <c r="D141" s="255">
        <f>SUM(D139)</f>
        <v>0</v>
      </c>
      <c r="E141" s="248">
        <f>SUM(E136:E138)</f>
        <v>0</v>
      </c>
      <c r="F141" s="248">
        <f>SUM(F136:F138)</f>
        <v>0</v>
      </c>
      <c r="G141" s="249" t="s">
        <v>278</v>
      </c>
      <c r="H141" s="255">
        <f>SUM(H136:H140)</f>
        <v>0</v>
      </c>
      <c r="I141" s="248">
        <f>SUM(I136:I140)</f>
        <v>0</v>
      </c>
      <c r="Y141" s="218" t="s">
        <v>336</v>
      </c>
      <c r="Z141" s="265">
        <f>FuelProd3!CU66</f>
        <v>0</v>
      </c>
      <c r="AA141" s="211" t="s">
        <v>336</v>
      </c>
      <c r="AB141" s="355">
        <f>Z141*(1/AK6)</f>
        <v>0</v>
      </c>
      <c r="AY141" s="172"/>
    </row>
    <row r="142" spans="2:51" ht="16.5" thickBot="1" x14ac:dyDescent="0.3">
      <c r="B142" s="171"/>
      <c r="Q142" s="1034" t="s">
        <v>414</v>
      </c>
      <c r="R142" s="1035"/>
      <c r="AY142" s="172"/>
    </row>
    <row r="143" spans="2:51" ht="15.75" x14ac:dyDescent="0.25">
      <c r="B143" s="171"/>
      <c r="K143" s="1036" t="s">
        <v>535</v>
      </c>
      <c r="L143" s="1041" t="s">
        <v>257</v>
      </c>
      <c r="M143" s="1042"/>
      <c r="N143" s="1042"/>
      <c r="O143" s="1042"/>
      <c r="P143" s="1042"/>
      <c r="Q143" s="1042"/>
      <c r="R143" s="1043"/>
      <c r="AY143" s="172"/>
    </row>
    <row r="144" spans="2:51" ht="15.75" thickBot="1" x14ac:dyDescent="0.3">
      <c r="B144" s="171"/>
      <c r="K144" s="1037"/>
      <c r="L144" s="1044" t="s">
        <v>319</v>
      </c>
      <c r="M144" s="892"/>
      <c r="N144" s="892"/>
      <c r="O144" s="892"/>
      <c r="P144" s="892" t="s">
        <v>320</v>
      </c>
      <c r="Q144" s="892"/>
      <c r="R144" s="1045"/>
      <c r="AY144" s="172"/>
    </row>
    <row r="145" spans="2:51" ht="15.75" thickBot="1" x14ac:dyDescent="0.3">
      <c r="B145" s="171"/>
      <c r="K145" s="181" t="s">
        <v>180</v>
      </c>
      <c r="L145" s="270" t="s">
        <v>322</v>
      </c>
      <c r="M145" s="145" t="s">
        <v>323</v>
      </c>
      <c r="N145" s="145" t="s">
        <v>324</v>
      </c>
      <c r="O145" s="145" t="s">
        <v>325</v>
      </c>
      <c r="P145" s="145"/>
      <c r="Q145" s="145" t="s">
        <v>323</v>
      </c>
      <c r="R145" s="189" t="s">
        <v>326</v>
      </c>
      <c r="AY145" s="172"/>
    </row>
    <row r="146" spans="2:51" x14ac:dyDescent="0.25">
      <c r="B146" s="171"/>
      <c r="K146" s="317">
        <v>1</v>
      </c>
      <c r="L146" s="820" t="s">
        <v>520</v>
      </c>
      <c r="M146" s="822">
        <f t="shared" ref="M146:O148" si="6">M126</f>
        <v>10.376223805114281</v>
      </c>
      <c r="N146" s="261">
        <f t="shared" si="6"/>
        <v>0.34959374859884368</v>
      </c>
      <c r="O146" s="261">
        <f t="shared" si="6"/>
        <v>0.34959374859884368</v>
      </c>
      <c r="P146" s="139" t="s">
        <v>328</v>
      </c>
      <c r="Q146" s="282">
        <f t="shared" ref="Q146:R150" si="7">Q126</f>
        <v>3.1849890553999858</v>
      </c>
      <c r="R146" s="201">
        <f t="shared" si="7"/>
        <v>0.1597883034128815</v>
      </c>
      <c r="AY146" s="172"/>
    </row>
    <row r="147" spans="2:51" x14ac:dyDescent="0.25">
      <c r="B147" s="171"/>
      <c r="K147" s="258">
        <v>1</v>
      </c>
      <c r="L147" s="823" t="s">
        <v>521</v>
      </c>
      <c r="M147" s="822">
        <f t="shared" si="6"/>
        <v>3.2406956119402492</v>
      </c>
      <c r="N147" s="261">
        <f t="shared" si="6"/>
        <v>0.10918489696488748</v>
      </c>
      <c r="O147" s="261">
        <f t="shared" si="6"/>
        <v>0.10918489696488748</v>
      </c>
      <c r="P147" s="139" t="s">
        <v>333</v>
      </c>
      <c r="Q147" s="282">
        <f t="shared" si="7"/>
        <v>16.74756537676144</v>
      </c>
      <c r="R147" s="201">
        <f t="shared" si="7"/>
        <v>0.84021169658711858</v>
      </c>
      <c r="AY147" s="172"/>
    </row>
    <row r="148" spans="2:51" x14ac:dyDescent="0.25">
      <c r="B148" s="171"/>
      <c r="K148" s="258">
        <v>1</v>
      </c>
      <c r="L148" s="823" t="s">
        <v>522</v>
      </c>
      <c r="M148" s="822">
        <f t="shared" si="6"/>
        <v>6.3156350151068956</v>
      </c>
      <c r="N148" s="261">
        <f t="shared" si="6"/>
        <v>0.21278516743490936</v>
      </c>
      <c r="O148" s="261">
        <f t="shared" si="6"/>
        <v>0.21278516743490936</v>
      </c>
      <c r="P148" s="139" t="s">
        <v>338</v>
      </c>
      <c r="Q148" s="282">
        <f t="shared" si="7"/>
        <v>0</v>
      </c>
      <c r="R148" s="201">
        <f t="shared" si="7"/>
        <v>0</v>
      </c>
      <c r="AY148" s="172"/>
    </row>
    <row r="149" spans="2:51" x14ac:dyDescent="0.25">
      <c r="B149" s="171"/>
      <c r="K149" s="214"/>
      <c r="L149" s="155" t="s">
        <v>1527</v>
      </c>
      <c r="M149" s="225">
        <f>M132</f>
        <v>29.680804781841001</v>
      </c>
      <c r="N149" s="139"/>
      <c r="O149" s="139"/>
      <c r="P149" s="139" t="s">
        <v>342</v>
      </c>
      <c r="Q149" s="282">
        <f t="shared" si="7"/>
        <v>0</v>
      </c>
      <c r="R149" s="201">
        <f t="shared" si="7"/>
        <v>0</v>
      </c>
      <c r="AY149" s="172"/>
    </row>
    <row r="150" spans="2:51" x14ac:dyDescent="0.25">
      <c r="B150" s="171"/>
      <c r="K150" s="214"/>
      <c r="L150" s="38"/>
      <c r="M150" s="226"/>
      <c r="N150" s="226"/>
      <c r="O150" s="226"/>
      <c r="P150" s="226" t="s">
        <v>344</v>
      </c>
      <c r="Q150" s="331">
        <f t="shared" si="7"/>
        <v>0</v>
      </c>
      <c r="R150" s="228">
        <f t="shared" si="7"/>
        <v>0</v>
      </c>
      <c r="AY150" s="172"/>
    </row>
    <row r="151" spans="2:51" ht="15.75" thickBot="1" x14ac:dyDescent="0.3">
      <c r="B151" s="171"/>
      <c r="K151" s="280"/>
      <c r="L151" s="254" t="s">
        <v>278</v>
      </c>
      <c r="M151" s="255">
        <f>M149</f>
        <v>29.680804781841001</v>
      </c>
      <c r="N151" s="248">
        <f>SUM(N146:N148)</f>
        <v>0.67156381299864054</v>
      </c>
      <c r="O151" s="248">
        <f>SUM(O146:O148)</f>
        <v>0.67156381299864054</v>
      </c>
      <c r="P151" s="249" t="s">
        <v>278</v>
      </c>
      <c r="Q151" s="255">
        <f>SUM(Q146:Q150)</f>
        <v>19.932554432161425</v>
      </c>
      <c r="R151" s="248">
        <f>SUM(R146:R150)</f>
        <v>1</v>
      </c>
      <c r="AY151" s="172"/>
    </row>
    <row r="152" spans="2:51" x14ac:dyDescent="0.25">
      <c r="B152" s="171"/>
      <c r="AY152" s="172"/>
    </row>
    <row r="153" spans="2:51" ht="15.75" thickBot="1" x14ac:dyDescent="0.3">
      <c r="B153" s="171"/>
      <c r="AY153" s="172"/>
    </row>
    <row r="154" spans="2:51" ht="16.5" thickBot="1" x14ac:dyDescent="0.3">
      <c r="B154" s="171"/>
      <c r="T154" s="1034" t="s">
        <v>414</v>
      </c>
      <c r="U154" s="1035"/>
      <c r="AC154" s="1034" t="s">
        <v>414</v>
      </c>
      <c r="AD154" s="1035"/>
      <c r="AL154" s="1034" t="s">
        <v>414</v>
      </c>
      <c r="AM154" s="1035"/>
      <c r="AY154" s="172"/>
    </row>
    <row r="155" spans="2:51" ht="18.75" x14ac:dyDescent="0.35">
      <c r="B155" s="171"/>
      <c r="O155" s="1036" t="s">
        <v>536</v>
      </c>
      <c r="P155" s="1038" t="s">
        <v>537</v>
      </c>
      <c r="Q155" s="1039"/>
      <c r="R155" s="1039"/>
      <c r="S155" s="1039"/>
      <c r="T155" s="1039"/>
      <c r="U155" s="1040"/>
      <c r="X155" s="1036" t="s">
        <v>538</v>
      </c>
      <c r="Y155" s="1041" t="s">
        <v>539</v>
      </c>
      <c r="Z155" s="1042"/>
      <c r="AA155" s="1042"/>
      <c r="AB155" s="1042"/>
      <c r="AC155" s="1042"/>
      <c r="AD155" s="1043"/>
      <c r="AG155" s="1036" t="s">
        <v>540</v>
      </c>
      <c r="AH155" s="1041" t="s">
        <v>541</v>
      </c>
      <c r="AI155" s="1042"/>
      <c r="AJ155" s="1042"/>
      <c r="AK155" s="1042"/>
      <c r="AL155" s="1042"/>
      <c r="AM155" s="1043"/>
      <c r="AY155" s="172"/>
    </row>
    <row r="156" spans="2:51" ht="15.75" customHeight="1" thickBot="1" x14ac:dyDescent="0.3">
      <c r="B156" s="171"/>
      <c r="O156" s="1037"/>
      <c r="P156" s="1044" t="s">
        <v>319</v>
      </c>
      <c r="Q156" s="892"/>
      <c r="R156" s="892"/>
      <c r="S156" s="892" t="s">
        <v>320</v>
      </c>
      <c r="T156" s="892"/>
      <c r="U156" s="1045"/>
      <c r="X156" s="1037"/>
      <c r="Y156" s="1044" t="s">
        <v>319</v>
      </c>
      <c r="Z156" s="892"/>
      <c r="AA156" s="892"/>
      <c r="AB156" s="978" t="s">
        <v>320</v>
      </c>
      <c r="AC156" s="991"/>
      <c r="AD156" s="1046"/>
      <c r="AG156" s="1037"/>
      <c r="AH156" s="1047" t="s">
        <v>319</v>
      </c>
      <c r="AI156" s="991"/>
      <c r="AJ156" s="979"/>
      <c r="AK156" s="978" t="s">
        <v>320</v>
      </c>
      <c r="AL156" s="991"/>
      <c r="AM156" s="1046"/>
      <c r="AY156" s="172"/>
    </row>
    <row r="157" spans="2:51" ht="15.75" thickBot="1" x14ac:dyDescent="0.3">
      <c r="B157" s="171"/>
      <c r="O157" s="181" t="s">
        <v>180</v>
      </c>
      <c r="P157" s="270" t="s">
        <v>322</v>
      </c>
      <c r="Q157" s="145" t="s">
        <v>323</v>
      </c>
      <c r="R157" s="145" t="s">
        <v>326</v>
      </c>
      <c r="S157" s="145"/>
      <c r="T157" s="145" t="s">
        <v>323</v>
      </c>
      <c r="U157" s="189" t="s">
        <v>326</v>
      </c>
      <c r="X157" s="181" t="s">
        <v>180</v>
      </c>
      <c r="Y157" s="270" t="s">
        <v>322</v>
      </c>
      <c r="Z157" s="145" t="s">
        <v>323</v>
      </c>
      <c r="AA157" s="145" t="s">
        <v>326</v>
      </c>
      <c r="AB157" s="145"/>
      <c r="AC157" s="145" t="s">
        <v>323</v>
      </c>
      <c r="AD157" s="189" t="s">
        <v>326</v>
      </c>
      <c r="AG157" s="181" t="s">
        <v>180</v>
      </c>
      <c r="AH157" s="270" t="s">
        <v>322</v>
      </c>
      <c r="AI157" s="145" t="s">
        <v>323</v>
      </c>
      <c r="AJ157" s="145" t="s">
        <v>326</v>
      </c>
      <c r="AK157" s="145"/>
      <c r="AL157" s="145" t="s">
        <v>323</v>
      </c>
      <c r="AM157" s="189" t="s">
        <v>326</v>
      </c>
      <c r="AY157" s="172"/>
    </row>
    <row r="158" spans="2:51" x14ac:dyDescent="0.25">
      <c r="B158" s="171"/>
      <c r="O158" s="359">
        <v>1</v>
      </c>
      <c r="P158" s="828" t="s">
        <v>476</v>
      </c>
      <c r="Q158" s="822">
        <f t="shared" ref="Q158:Q165" si="8">Y127</f>
        <v>0.12650368379693394</v>
      </c>
      <c r="R158" s="261">
        <f>Q158/Q168</f>
        <v>2.6497748995753154E-3</v>
      </c>
      <c r="S158" s="139" t="s">
        <v>328</v>
      </c>
      <c r="T158" s="282">
        <f>FuelProd3!AZ136</f>
        <v>7.614611022199913</v>
      </c>
      <c r="U158" s="201">
        <f>T158/T168</f>
        <v>0.15353624876503083</v>
      </c>
      <c r="X158" s="317">
        <v>1</v>
      </c>
      <c r="Y158" s="820" t="s">
        <v>471</v>
      </c>
      <c r="Z158" s="822">
        <f>Y125</f>
        <v>3.7155312095144715</v>
      </c>
      <c r="AA158" s="261">
        <f>Z158/Z163</f>
        <v>0.56465508579570223</v>
      </c>
      <c r="AB158" s="139" t="s">
        <v>328</v>
      </c>
      <c r="AC158" s="282">
        <f>FuelProd3!AZ137</f>
        <v>0.94260019799009931</v>
      </c>
      <c r="AD158" s="201">
        <f>AC158/AC163</f>
        <v>0.14976757787019562</v>
      </c>
      <c r="AG158" s="187">
        <v>1</v>
      </c>
      <c r="AH158" s="155"/>
      <c r="AI158" s="139"/>
      <c r="AJ158" s="139"/>
      <c r="AK158" s="139" t="s">
        <v>328</v>
      </c>
      <c r="AL158" s="139"/>
      <c r="AM158" s="233"/>
      <c r="AY158" s="172"/>
    </row>
    <row r="159" spans="2:51" x14ac:dyDescent="0.25">
      <c r="B159" s="171"/>
      <c r="O159" s="258">
        <v>1</v>
      </c>
      <c r="P159" s="828" t="s">
        <v>474</v>
      </c>
      <c r="Q159" s="822">
        <f t="shared" si="8"/>
        <v>2.7968248174416175</v>
      </c>
      <c r="R159" s="261">
        <f>Q159/Q168</f>
        <v>5.8582928001229724E-2</v>
      </c>
      <c r="S159" s="139" t="s">
        <v>333</v>
      </c>
      <c r="T159" s="282">
        <f>FuelProd3!BA136</f>
        <v>41.980263695972866</v>
      </c>
      <c r="U159" s="201">
        <f>T159/T168</f>
        <v>0.8464637512349692</v>
      </c>
      <c r="X159" s="258">
        <v>1</v>
      </c>
      <c r="Y159" s="820" t="s">
        <v>467</v>
      </c>
      <c r="Z159" s="822">
        <f>Y126</f>
        <v>2.5782221608381968</v>
      </c>
      <c r="AA159" s="261">
        <f>Z159/Z163</f>
        <v>0.39181645189806141</v>
      </c>
      <c r="AB159" s="139" t="s">
        <v>333</v>
      </c>
      <c r="AC159" s="282">
        <f>FuelProd3!BA137</f>
        <v>5.3511531723625687</v>
      </c>
      <c r="AD159" s="201">
        <f>AC159/AC163</f>
        <v>0.85023242212980432</v>
      </c>
      <c r="AG159" s="251"/>
      <c r="AH159" s="155"/>
      <c r="AI159" s="139"/>
      <c r="AJ159" s="139"/>
      <c r="AK159" s="139" t="s">
        <v>333</v>
      </c>
      <c r="AL159" s="139"/>
      <c r="AM159" s="233"/>
      <c r="AY159" s="172"/>
    </row>
    <row r="160" spans="2:51" x14ac:dyDescent="0.25">
      <c r="B160" s="171"/>
      <c r="O160" s="258">
        <v>1</v>
      </c>
      <c r="P160" s="828" t="s">
        <v>512</v>
      </c>
      <c r="Q160" s="822">
        <f t="shared" si="8"/>
        <v>5.4851747139796432</v>
      </c>
      <c r="R160" s="261">
        <f>Q160/Q168</f>
        <v>0.11489371566617367</v>
      </c>
      <c r="S160" s="139" t="s">
        <v>338</v>
      </c>
      <c r="T160" s="282">
        <v>0</v>
      </c>
      <c r="U160" s="201">
        <f>T160/T168</f>
        <v>0</v>
      </c>
      <c r="X160" s="251"/>
      <c r="Y160" s="155"/>
      <c r="Z160" s="139"/>
      <c r="AA160" s="261"/>
      <c r="AB160" s="139" t="s">
        <v>338</v>
      </c>
      <c r="AC160" s="282">
        <v>0</v>
      </c>
      <c r="AD160" s="201">
        <v>0</v>
      </c>
      <c r="AG160" s="251"/>
      <c r="AH160" s="155"/>
      <c r="AI160" s="139"/>
      <c r="AJ160" s="139"/>
      <c r="AK160" s="139" t="s">
        <v>338</v>
      </c>
      <c r="AL160" s="139"/>
      <c r="AM160" s="233"/>
      <c r="AY160" s="172"/>
    </row>
    <row r="161" spans="2:51" x14ac:dyDescent="0.25">
      <c r="B161" s="171"/>
      <c r="O161" s="258">
        <v>1</v>
      </c>
      <c r="P161" s="828" t="s">
        <v>513</v>
      </c>
      <c r="Q161" s="822">
        <f t="shared" si="8"/>
        <v>7.0488612722106643</v>
      </c>
      <c r="R161" s="261">
        <f>Q161/Q168</f>
        <v>0.14764704954896371</v>
      </c>
      <c r="S161" s="139" t="s">
        <v>342</v>
      </c>
      <c r="T161" s="282">
        <v>0</v>
      </c>
      <c r="U161" s="201">
        <f>T161/T168</f>
        <v>0</v>
      </c>
      <c r="X161" s="251"/>
      <c r="Y161" s="155" t="s">
        <v>112</v>
      </c>
      <c r="Z161" s="225">
        <f>AF126</f>
        <v>6.5801784186156915</v>
      </c>
      <c r="AA161" s="261"/>
      <c r="AB161" s="139" t="s">
        <v>342</v>
      </c>
      <c r="AC161" s="282">
        <v>0</v>
      </c>
      <c r="AD161" s="201">
        <v>0</v>
      </c>
      <c r="AG161" s="251"/>
      <c r="AH161" s="155"/>
      <c r="AI161" s="139"/>
      <c r="AJ161" s="139"/>
      <c r="AK161" s="139" t="s">
        <v>342</v>
      </c>
      <c r="AL161" s="139"/>
      <c r="AM161" s="233"/>
      <c r="AY161" s="172"/>
    </row>
    <row r="162" spans="2:51" x14ac:dyDescent="0.25">
      <c r="B162" s="171"/>
      <c r="O162" s="258">
        <v>1</v>
      </c>
      <c r="P162" s="828" t="s">
        <v>515</v>
      </c>
      <c r="Q162" s="824">
        <f t="shared" si="8"/>
        <v>8.9543000339013723</v>
      </c>
      <c r="R162" s="242">
        <f>Q162/Q168</f>
        <v>0.18755880272376163</v>
      </c>
      <c r="S162" s="226" t="s">
        <v>344</v>
      </c>
      <c r="T162" s="331">
        <v>0</v>
      </c>
      <c r="U162" s="228">
        <f>T162/T168</f>
        <v>0</v>
      </c>
      <c r="X162" s="251"/>
      <c r="Y162" s="38"/>
      <c r="Z162" s="226"/>
      <c r="AA162" s="242"/>
      <c r="AB162" s="226" t="s">
        <v>344</v>
      </c>
      <c r="AC162" s="331">
        <v>0</v>
      </c>
      <c r="AD162" s="228">
        <v>0</v>
      </c>
      <c r="AG162" s="251"/>
      <c r="AH162" s="155"/>
      <c r="AI162" s="139"/>
      <c r="AJ162" s="139"/>
      <c r="AK162" s="226" t="s">
        <v>344</v>
      </c>
      <c r="AL162" s="226"/>
      <c r="AM162" s="243"/>
      <c r="AY162" s="172"/>
    </row>
    <row r="163" spans="2:51" ht="15.75" thickBot="1" x14ac:dyDescent="0.3">
      <c r="B163" s="171"/>
      <c r="O163" s="258">
        <v>1</v>
      </c>
      <c r="P163" s="828" t="s">
        <v>517</v>
      </c>
      <c r="Q163" s="824">
        <f t="shared" si="8"/>
        <v>9.8916549959087501</v>
      </c>
      <c r="R163" s="242">
        <f>Q163/Q168</f>
        <v>0.20719285270373322</v>
      </c>
      <c r="S163" s="226"/>
      <c r="T163" s="286"/>
      <c r="U163" s="228"/>
      <c r="X163" s="253"/>
      <c r="Y163" s="254" t="s">
        <v>278</v>
      </c>
      <c r="Z163" s="255">
        <f>Z161</f>
        <v>6.5801784186156915</v>
      </c>
      <c r="AA163" s="248">
        <f>SUM(AA158:AA160)</f>
        <v>0.95647153769376358</v>
      </c>
      <c r="AB163" s="249" t="s">
        <v>278</v>
      </c>
      <c r="AC163" s="255">
        <f>SUM(AC158:AC162)</f>
        <v>6.2937533703526682</v>
      </c>
      <c r="AD163" s="250">
        <f>SUM(AD158:AD160)</f>
        <v>1</v>
      </c>
      <c r="AG163" s="251"/>
      <c r="AH163" s="254" t="s">
        <v>278</v>
      </c>
      <c r="AI163" s="249"/>
      <c r="AJ163" s="249"/>
      <c r="AK163" s="249" t="s">
        <v>278</v>
      </c>
      <c r="AL163" s="249"/>
      <c r="AM163" s="267"/>
      <c r="AY163" s="172"/>
    </row>
    <row r="164" spans="2:51" x14ac:dyDescent="0.25">
      <c r="B164" s="171"/>
      <c r="O164" s="258">
        <v>1</v>
      </c>
      <c r="P164" s="828" t="s">
        <v>518</v>
      </c>
      <c r="Q164" s="824">
        <f t="shared" si="8"/>
        <v>8.2567360211432703</v>
      </c>
      <c r="R164" s="242">
        <f>Q164/Q168</f>
        <v>0.17294746844182468</v>
      </c>
      <c r="S164" s="226"/>
      <c r="T164" s="286"/>
      <c r="U164" s="228"/>
      <c r="AG164" s="251"/>
      <c r="AH164" s="288" t="s">
        <v>279</v>
      </c>
      <c r="AI164" s="245"/>
      <c r="AJ164" s="338"/>
      <c r="AK164" s="338"/>
      <c r="AL164" s="338"/>
      <c r="AM164" s="340"/>
      <c r="AY164" s="172"/>
    </row>
    <row r="165" spans="2:51" x14ac:dyDescent="0.25">
      <c r="B165" s="171"/>
      <c r="O165" s="258">
        <v>1</v>
      </c>
      <c r="P165" s="828" t="s">
        <v>519</v>
      </c>
      <c r="Q165" s="824">
        <f t="shared" si="8"/>
        <v>7.0348191797905208</v>
      </c>
      <c r="R165" s="242">
        <f>Q165/Q168</f>
        <v>0.14735292069108683</v>
      </c>
      <c r="S165" s="226"/>
      <c r="T165" s="286"/>
      <c r="U165" s="228"/>
      <c r="W165" t="s">
        <v>62</v>
      </c>
      <c r="X165" t="s">
        <v>661</v>
      </c>
      <c r="AG165" s="251"/>
      <c r="AH165" s="155"/>
      <c r="AI165" s="225"/>
      <c r="AJ165" s="226"/>
      <c r="AK165" s="226"/>
      <c r="AL165" s="226"/>
      <c r="AM165" s="243"/>
      <c r="AY165" s="172"/>
    </row>
    <row r="166" spans="2:51" ht="15.75" thickBot="1" x14ac:dyDescent="0.3">
      <c r="B166" s="171"/>
      <c r="O166" s="258"/>
      <c r="P166" s="232" t="s">
        <v>1538</v>
      </c>
      <c r="Q166" s="331">
        <f>AF125</f>
        <v>47.741294483998971</v>
      </c>
      <c r="R166" s="242"/>
      <c r="S166" s="226"/>
      <c r="T166" s="286"/>
      <c r="U166" s="228"/>
      <c r="V166" t="s">
        <v>328</v>
      </c>
      <c r="W166" s="144">
        <f>T158</f>
        <v>7.614611022199913</v>
      </c>
      <c r="X166">
        <f>W166/0.001</f>
        <v>7614.6110221999124</v>
      </c>
      <c r="AG166" s="253"/>
      <c r="AH166" s="254" t="s">
        <v>278</v>
      </c>
      <c r="AI166" s="255"/>
      <c r="AJ166" s="249"/>
      <c r="AK166" s="249" t="s">
        <v>278</v>
      </c>
      <c r="AL166" s="249"/>
      <c r="AM166" s="267"/>
      <c r="AY166" s="172"/>
    </row>
    <row r="167" spans="2:51" ht="15.75" thickBot="1" x14ac:dyDescent="0.3">
      <c r="B167" s="171"/>
      <c r="O167" s="258"/>
      <c r="P167" s="232"/>
      <c r="Q167" s="331"/>
      <c r="R167" s="242"/>
      <c r="S167" s="226"/>
      <c r="T167" s="286"/>
      <c r="U167" s="228"/>
      <c r="V167" t="s">
        <v>333</v>
      </c>
      <c r="W167" s="144">
        <f>T159</f>
        <v>41.980263695972866</v>
      </c>
      <c r="X167">
        <f>W167/0.012</f>
        <v>3498.3553079977387</v>
      </c>
      <c r="AL167" s="1011" t="s">
        <v>448</v>
      </c>
      <c r="AM167" s="1012"/>
      <c r="AY167" s="172"/>
    </row>
    <row r="168" spans="2:51" ht="16.5" thickBot="1" x14ac:dyDescent="0.3">
      <c r="B168" s="171"/>
      <c r="O168" s="360"/>
      <c r="P168" s="218" t="s">
        <v>278</v>
      </c>
      <c r="Q168" s="255">
        <f>SUM(Q166)</f>
        <v>47.741294483998971</v>
      </c>
      <c r="R168" s="248">
        <f>SUM(R158:R165)</f>
        <v>1.0388255126763488</v>
      </c>
      <c r="S168" s="249" t="s">
        <v>278</v>
      </c>
      <c r="T168" s="255">
        <f>SUM(T158:T165)</f>
        <v>49.594874718172775</v>
      </c>
      <c r="U168" s="250"/>
      <c r="V168" t="s">
        <v>342</v>
      </c>
      <c r="W168">
        <v>0</v>
      </c>
      <c r="X168">
        <v>0</v>
      </c>
      <c r="AJ168" s="1013" t="s">
        <v>542</v>
      </c>
      <c r="AK168" s="1014"/>
      <c r="AL168" s="1015" t="s">
        <v>331</v>
      </c>
      <c r="AM168" s="1016"/>
      <c r="AY168" s="172"/>
    </row>
    <row r="169" spans="2:51" ht="15.75" thickBot="1" x14ac:dyDescent="0.3">
      <c r="B169" s="171"/>
      <c r="W169" t="s">
        <v>1749</v>
      </c>
      <c r="X169">
        <f>X166/X167</f>
        <v>2.1766259718650725</v>
      </c>
      <c r="AJ169" s="218" t="s">
        <v>336</v>
      </c>
      <c r="AK169" s="315">
        <v>0</v>
      </c>
      <c r="AL169" s="211" t="s">
        <v>336</v>
      </c>
      <c r="AM169" s="344">
        <f>AK169*(1/AK6)</f>
        <v>0</v>
      </c>
      <c r="AY169" s="361"/>
    </row>
    <row r="170" spans="2:51" ht="15.75" thickBot="1" x14ac:dyDescent="0.3">
      <c r="B170" s="362"/>
      <c r="C170" s="363"/>
      <c r="D170" s="363"/>
      <c r="E170" s="363"/>
      <c r="F170" s="363"/>
      <c r="G170" s="363"/>
      <c r="H170" s="363"/>
      <c r="I170" s="363"/>
      <c r="J170" s="363"/>
      <c r="K170" s="363"/>
      <c r="L170" s="363"/>
      <c r="M170" s="363"/>
      <c r="N170" s="363"/>
      <c r="O170" s="363"/>
      <c r="P170" s="363"/>
      <c r="Q170" s="363"/>
      <c r="R170" s="363"/>
      <c r="S170" s="363"/>
      <c r="T170" s="363"/>
      <c r="U170" s="363"/>
      <c r="V170" s="363"/>
      <c r="W170" s="363"/>
      <c r="X170" s="363"/>
      <c r="Y170" s="363"/>
      <c r="Z170" s="363"/>
      <c r="AA170" s="363"/>
      <c r="AB170" s="363"/>
      <c r="AC170" s="363"/>
      <c r="AD170" s="363"/>
      <c r="AE170" s="363"/>
      <c r="AF170" s="363"/>
      <c r="AG170" s="363"/>
      <c r="AH170" s="363"/>
      <c r="AI170" s="363"/>
      <c r="AJ170" s="363"/>
      <c r="AK170" s="363"/>
      <c r="AL170" s="363"/>
      <c r="AM170" s="363"/>
      <c r="AN170" s="363"/>
      <c r="AO170" s="363"/>
      <c r="AP170" s="363"/>
      <c r="AQ170" s="363"/>
      <c r="AR170" s="363"/>
      <c r="AS170" s="363"/>
      <c r="AT170" s="363"/>
      <c r="AU170" s="363"/>
      <c r="AV170" s="363"/>
      <c r="AW170" s="363"/>
      <c r="AX170" s="363"/>
      <c r="AY170" s="364"/>
    </row>
    <row r="171" spans="2:51" ht="15.75" thickTop="1" x14ac:dyDescent="0.25"/>
  </sheetData>
  <mergeCells count="259">
    <mergeCell ref="CD52:CE52"/>
    <mergeCell ref="CD53:CE53"/>
    <mergeCell ref="CD54:CE54"/>
    <mergeCell ref="CD55:CE55"/>
    <mergeCell ref="CD56:CE56"/>
    <mergeCell ref="CD57:CE57"/>
    <mergeCell ref="CD58:CE58"/>
    <mergeCell ref="CD59:CE59"/>
    <mergeCell ref="CD60:CE60"/>
    <mergeCell ref="CD61:CE61"/>
    <mergeCell ref="CD62:CE62"/>
    <mergeCell ref="CD64:CE64"/>
    <mergeCell ref="CD65:CE65"/>
    <mergeCell ref="L7:Q7"/>
    <mergeCell ref="Z7:AC7"/>
    <mergeCell ref="AD7:AF7"/>
    <mergeCell ref="AQ7:AV7"/>
    <mergeCell ref="AW7:AX7"/>
    <mergeCell ref="BE7:BG7"/>
    <mergeCell ref="U10:V10"/>
    <mergeCell ref="AQ10:AV10"/>
    <mergeCell ref="AW10:AX10"/>
    <mergeCell ref="BE10:BG10"/>
    <mergeCell ref="AQ11:AV11"/>
    <mergeCell ref="AW11:AX11"/>
    <mergeCell ref="BE11:BG11"/>
    <mergeCell ref="AQ9:AV9"/>
    <mergeCell ref="AW9:AX9"/>
    <mergeCell ref="BE9:BG9"/>
    <mergeCell ref="BB14:BE14"/>
    <mergeCell ref="BB15:BE15"/>
    <mergeCell ref="BB16:BE16"/>
    <mergeCell ref="AQ17:AQ18"/>
    <mergeCell ref="B3:AY3"/>
    <mergeCell ref="BA4:BG4"/>
    <mergeCell ref="BC5:BD5"/>
    <mergeCell ref="BE5:BG5"/>
    <mergeCell ref="Y6:Y7"/>
    <mergeCell ref="Z6:AF6"/>
    <mergeCell ref="AI6:AJ6"/>
    <mergeCell ref="AQ6:AX6"/>
    <mergeCell ref="BE6:BG6"/>
    <mergeCell ref="K7:K8"/>
    <mergeCell ref="L8:N8"/>
    <mergeCell ref="O8:Q8"/>
    <mergeCell ref="AQ8:AV8"/>
    <mergeCell ref="AW8:AX8"/>
    <mergeCell ref="BE8:BG8"/>
    <mergeCell ref="AR17:AX17"/>
    <mergeCell ref="AR18:AT18"/>
    <mergeCell ref="AV18:AX18"/>
    <mergeCell ref="U12:V12"/>
    <mergeCell ref="AQ12:AV12"/>
    <mergeCell ref="AW12:AX12"/>
    <mergeCell ref="AQ13:AV13"/>
    <mergeCell ref="AW13:AX13"/>
    <mergeCell ref="BA13:BE13"/>
    <mergeCell ref="Q22:Q23"/>
    <mergeCell ref="R22:W22"/>
    <mergeCell ref="BB22:BY22"/>
    <mergeCell ref="R23:T23"/>
    <mergeCell ref="U23:W23"/>
    <mergeCell ref="Z23:AA23"/>
    <mergeCell ref="BB23:BY23"/>
    <mergeCell ref="BB20:BX20"/>
    <mergeCell ref="Z21:AA21"/>
    <mergeCell ref="AB21:AC21"/>
    <mergeCell ref="AH21:AI21"/>
    <mergeCell ref="AK21:AL21"/>
    <mergeCell ref="BB21:BY21"/>
    <mergeCell ref="BA25:BL25"/>
    <mergeCell ref="AE26:AF26"/>
    <mergeCell ref="BB26:BP26"/>
    <mergeCell ref="Y27:Y28"/>
    <mergeCell ref="Z27:AF27"/>
    <mergeCell ref="BB27:BP27"/>
    <mergeCell ref="Z28:AC28"/>
    <mergeCell ref="AD28:AF28"/>
    <mergeCell ref="BB28:BP28"/>
    <mergeCell ref="AU39:AV39"/>
    <mergeCell ref="AW39:AX39"/>
    <mergeCell ref="AQ40:AR40"/>
    <mergeCell ref="AS40:AT40"/>
    <mergeCell ref="AU40:AV40"/>
    <mergeCell ref="AW40:AX40"/>
    <mergeCell ref="BB30:BT30"/>
    <mergeCell ref="BB31:BS31"/>
    <mergeCell ref="BB33:BS33"/>
    <mergeCell ref="BB34:BS34"/>
    <mergeCell ref="AT35:AU35"/>
    <mergeCell ref="AV35:AW35"/>
    <mergeCell ref="AO41:AP41"/>
    <mergeCell ref="AO42:AP42"/>
    <mergeCell ref="AO43:AP43"/>
    <mergeCell ref="AO44:AP44"/>
    <mergeCell ref="Z45:AA45"/>
    <mergeCell ref="AO45:AP45"/>
    <mergeCell ref="AO39:AP40"/>
    <mergeCell ref="AQ39:AR39"/>
    <mergeCell ref="AS39:AT39"/>
    <mergeCell ref="Z46:AA46"/>
    <mergeCell ref="AB46:AC46"/>
    <mergeCell ref="AO46:AP46"/>
    <mergeCell ref="AE49:AF49"/>
    <mergeCell ref="AN49:AO49"/>
    <mergeCell ref="Y50:Y51"/>
    <mergeCell ref="Z50:AF50"/>
    <mergeCell ref="AH50:AH51"/>
    <mergeCell ref="AI50:AO50"/>
    <mergeCell ref="Z51:AC51"/>
    <mergeCell ref="AE69:AF69"/>
    <mergeCell ref="Y70:Y71"/>
    <mergeCell ref="Z70:AF70"/>
    <mergeCell ref="Z71:AC71"/>
    <mergeCell ref="AD71:AF71"/>
    <mergeCell ref="AN73:AO73"/>
    <mergeCell ref="AD51:AF51"/>
    <mergeCell ref="AI51:AK51"/>
    <mergeCell ref="AL51:AO51"/>
    <mergeCell ref="Z64:AA64"/>
    <mergeCell ref="Z65:AA66"/>
    <mergeCell ref="AB65:AC65"/>
    <mergeCell ref="AB66:AC66"/>
    <mergeCell ref="AM75:AO75"/>
    <mergeCell ref="H76:K76"/>
    <mergeCell ref="M76:O76"/>
    <mergeCell ref="R76:T76"/>
    <mergeCell ref="U76:W76"/>
    <mergeCell ref="AV73:AW73"/>
    <mergeCell ref="N74:O74"/>
    <mergeCell ref="V74:W74"/>
    <mergeCell ref="AH74:AH75"/>
    <mergeCell ref="AI74:AO74"/>
    <mergeCell ref="AQ74:AQ75"/>
    <mergeCell ref="AR74:AW74"/>
    <mergeCell ref="AR75:AT75"/>
    <mergeCell ref="AU75:AW75"/>
    <mergeCell ref="T89:U89"/>
    <mergeCell ref="V89:W89"/>
    <mergeCell ref="G75:G76"/>
    <mergeCell ref="H75:O75"/>
    <mergeCell ref="Q75:Q76"/>
    <mergeCell ref="R75:W75"/>
    <mergeCell ref="AI75:AK75"/>
    <mergeCell ref="AI90:AJ90"/>
    <mergeCell ref="AI91:AJ91"/>
    <mergeCell ref="AK90:AL90"/>
    <mergeCell ref="T90:U90"/>
    <mergeCell ref="V90:W90"/>
    <mergeCell ref="AA90:AB90"/>
    <mergeCell ref="AA91:AB92"/>
    <mergeCell ref="AC91:AD91"/>
    <mergeCell ref="AC92:AD92"/>
    <mergeCell ref="AK91:AL91"/>
    <mergeCell ref="L93:M93"/>
    <mergeCell ref="O93:P93"/>
    <mergeCell ref="X123:Z123"/>
    <mergeCell ref="AA123:AD123"/>
    <mergeCell ref="K123:K124"/>
    <mergeCell ref="L123:R123"/>
    <mergeCell ref="T123:U123"/>
    <mergeCell ref="L124:O124"/>
    <mergeCell ref="P124:R124"/>
    <mergeCell ref="T124:U124"/>
    <mergeCell ref="T120:U120"/>
    <mergeCell ref="T121:U121"/>
    <mergeCell ref="AC121:AD121"/>
    <mergeCell ref="Q122:R122"/>
    <mergeCell ref="W122:W123"/>
    <mergeCell ref="X122:AD122"/>
    <mergeCell ref="R95:S95"/>
    <mergeCell ref="Q96:Q97"/>
    <mergeCell ref="R96:W96"/>
    <mergeCell ref="R97:T97"/>
    <mergeCell ref="U97:W97"/>
    <mergeCell ref="B133:B134"/>
    <mergeCell ref="C133:I133"/>
    <mergeCell ref="C134:F134"/>
    <mergeCell ref="G134:I134"/>
    <mergeCell ref="K138:L138"/>
    <mergeCell ref="M138:N138"/>
    <mergeCell ref="M111:N111"/>
    <mergeCell ref="F112:F113"/>
    <mergeCell ref="G112:N112"/>
    <mergeCell ref="G113:K113"/>
    <mergeCell ref="L113:N113"/>
    <mergeCell ref="AN94:AO94"/>
    <mergeCell ref="AH95:AH96"/>
    <mergeCell ref="AI95:AO95"/>
    <mergeCell ref="AI96:AK96"/>
    <mergeCell ref="AM96:AO96"/>
    <mergeCell ref="K143:K144"/>
    <mergeCell ref="L143:R143"/>
    <mergeCell ref="L144:O144"/>
    <mergeCell ref="P144:R144"/>
    <mergeCell ref="K139:L139"/>
    <mergeCell ref="M139:N139"/>
    <mergeCell ref="Y139:Z139"/>
    <mergeCell ref="AA139:AB139"/>
    <mergeCell ref="Y140:Z140"/>
    <mergeCell ref="AA140:AB140"/>
    <mergeCell ref="Q142:R142"/>
    <mergeCell ref="AL167:AM167"/>
    <mergeCell ref="AJ168:AK168"/>
    <mergeCell ref="AL168:AM168"/>
    <mergeCell ref="AC154:AD154"/>
    <mergeCell ref="AL154:AM154"/>
    <mergeCell ref="O155:O156"/>
    <mergeCell ref="P155:U155"/>
    <mergeCell ref="X155:X156"/>
    <mergeCell ref="Y155:AD155"/>
    <mergeCell ref="AG155:AG156"/>
    <mergeCell ref="AH155:AM155"/>
    <mergeCell ref="P156:R156"/>
    <mergeCell ref="S156:U156"/>
    <mergeCell ref="Y156:AA156"/>
    <mergeCell ref="AB156:AD156"/>
    <mergeCell ref="AH156:AJ156"/>
    <mergeCell ref="AK156:AM156"/>
    <mergeCell ref="T154:U154"/>
    <mergeCell ref="AQ53:AR53"/>
    <mergeCell ref="AV51:AV52"/>
    <mergeCell ref="AU51:AU52"/>
    <mergeCell ref="AS51:AS53"/>
    <mergeCell ref="AQ54:AR54"/>
    <mergeCell ref="AQ55:AR55"/>
    <mergeCell ref="AQ56:AR56"/>
    <mergeCell ref="AQ57:AR57"/>
    <mergeCell ref="AQ58:AR58"/>
    <mergeCell ref="AW58:AX58"/>
    <mergeCell ref="AW68:AX68"/>
    <mergeCell ref="AW66:AX66"/>
    <mergeCell ref="AT51:AT53"/>
    <mergeCell ref="AW51:AX52"/>
    <mergeCell ref="AW53:AX53"/>
    <mergeCell ref="AW54:AX54"/>
    <mergeCell ref="AW55:AX55"/>
    <mergeCell ref="AW56:AX56"/>
    <mergeCell ref="AW57:AX57"/>
    <mergeCell ref="AW62:AX62"/>
    <mergeCell ref="AW61:AX61"/>
    <mergeCell ref="AW60:AX60"/>
    <mergeCell ref="AW59:AX59"/>
    <mergeCell ref="AW67:AX67"/>
    <mergeCell ref="AW65:AX65"/>
    <mergeCell ref="AW64:AX64"/>
    <mergeCell ref="AW63:AX63"/>
    <mergeCell ref="AQ63:AR63"/>
    <mergeCell ref="AQ64:AR64"/>
    <mergeCell ref="AQ59:AR59"/>
    <mergeCell ref="AQ60:AR60"/>
    <mergeCell ref="AQ61:AR61"/>
    <mergeCell ref="AQ62:AR62"/>
    <mergeCell ref="AR90:AS90"/>
    <mergeCell ref="AT90:AU90"/>
    <mergeCell ref="AR91:AS91"/>
    <mergeCell ref="AT91:AU91"/>
    <mergeCell ref="AQ67:AR67"/>
    <mergeCell ref="AQ66:AR66"/>
  </mergeCell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473B-84CB-4D7E-95E5-FE105F7344FB}">
  <dimension ref="A1:DW262"/>
  <sheetViews>
    <sheetView topLeftCell="AP102" zoomScale="115" zoomScaleNormal="115" workbookViewId="0">
      <selection activeCell="AZ122" sqref="AZ122"/>
    </sheetView>
  </sheetViews>
  <sheetFormatPr defaultRowHeight="15" x14ac:dyDescent="0.25"/>
  <cols>
    <col min="2" max="2" width="20.7109375" customWidth="1"/>
    <col min="3" max="3" width="17.140625" customWidth="1"/>
    <col min="4" max="5" width="12.28515625" bestFit="1" customWidth="1"/>
    <col min="6" max="6" width="17" customWidth="1"/>
    <col min="7" max="7" width="15.140625" bestFit="1" customWidth="1"/>
    <col min="10" max="10" width="21.85546875" bestFit="1" customWidth="1"/>
    <col min="11" max="11" width="12.5703125" bestFit="1" customWidth="1"/>
    <col min="12" max="13" width="14.5703125" customWidth="1"/>
    <col min="14" max="14" width="12.7109375" customWidth="1"/>
    <col min="15" max="15" width="11" bestFit="1" customWidth="1"/>
    <col min="16" max="17" width="11.85546875" customWidth="1"/>
    <col min="18" max="18" width="10.5703125" customWidth="1"/>
    <col min="20" max="20" width="17" bestFit="1" customWidth="1"/>
    <col min="21" max="21" width="12.85546875" bestFit="1" customWidth="1"/>
    <col min="22" max="22" width="11.5703125" customWidth="1"/>
    <col min="23" max="23" width="15.7109375" customWidth="1"/>
    <col min="24" max="24" width="11.85546875" customWidth="1"/>
    <col min="25" max="25" width="15.28515625" customWidth="1"/>
    <col min="26" max="26" width="20" customWidth="1"/>
    <col min="27" max="27" width="13.42578125" customWidth="1"/>
    <col min="28" max="28" width="10.140625" bestFit="1" customWidth="1"/>
    <col min="30" max="30" width="22.42578125" bestFit="1" customWidth="1"/>
    <col min="31" max="31" width="12.85546875" bestFit="1" customWidth="1"/>
    <col min="32" max="32" width="10.7109375" customWidth="1"/>
    <col min="33" max="33" width="11.85546875" bestFit="1" customWidth="1"/>
    <col min="35" max="35" width="14" customWidth="1"/>
    <col min="36" max="36" width="12.85546875" bestFit="1" customWidth="1"/>
    <col min="37" max="37" width="10.140625" bestFit="1" customWidth="1"/>
    <col min="38" max="38" width="10.7109375" bestFit="1" customWidth="1"/>
    <col min="39" max="39" width="12.140625" customWidth="1"/>
    <col min="41" max="41" width="11.5703125" customWidth="1"/>
    <col min="42" max="42" width="13" customWidth="1"/>
    <col min="44" max="44" width="17" bestFit="1" customWidth="1"/>
    <col min="45" max="45" width="11" bestFit="1" customWidth="1"/>
    <col min="47" max="47" width="9.5703125" bestFit="1" customWidth="1"/>
    <col min="48" max="48" width="10.42578125" bestFit="1" customWidth="1"/>
    <col min="49" max="49" width="11.85546875" bestFit="1" customWidth="1"/>
    <col min="50" max="50" width="12.140625" bestFit="1" customWidth="1"/>
    <col min="51" max="51" width="16.42578125" customWidth="1"/>
    <col min="52" max="52" width="9.5703125" bestFit="1" customWidth="1"/>
    <col min="53" max="53" width="14.7109375" bestFit="1" customWidth="1"/>
    <col min="54" max="54" width="20.42578125" customWidth="1"/>
    <col min="55" max="55" width="12.7109375" bestFit="1" customWidth="1"/>
    <col min="56" max="56" width="10.85546875" customWidth="1"/>
    <col min="57" max="57" width="12.85546875" bestFit="1" customWidth="1"/>
    <col min="58" max="58" width="11.85546875" bestFit="1" customWidth="1"/>
    <col min="59" max="59" width="12.85546875" bestFit="1" customWidth="1"/>
    <col min="60" max="60" width="17" bestFit="1" customWidth="1"/>
    <col min="61" max="62" width="12.7109375" bestFit="1" customWidth="1"/>
    <col min="63" max="63" width="28.85546875" customWidth="1"/>
    <col min="64" max="64" width="12.85546875" bestFit="1" customWidth="1"/>
    <col min="65" max="65" width="19.28515625" customWidth="1"/>
    <col min="66" max="66" width="14.42578125" customWidth="1"/>
    <col min="67" max="67" width="12.85546875" customWidth="1"/>
    <col min="68" max="68" width="17.42578125" customWidth="1"/>
    <col min="69" max="69" width="13.42578125" customWidth="1"/>
    <col min="70" max="70" width="14.85546875" customWidth="1"/>
    <col min="71" max="71" width="14.5703125" customWidth="1"/>
    <col min="72" max="72" width="13.85546875" customWidth="1"/>
    <col min="73" max="73" width="13.140625" customWidth="1"/>
    <col min="74" max="74" width="14.42578125" customWidth="1"/>
    <col min="75" max="75" width="15.5703125" customWidth="1"/>
    <col min="76" max="76" width="18.42578125" customWidth="1"/>
    <col min="77" max="77" width="12.140625" customWidth="1"/>
    <col min="78" max="78" width="11.140625" bestFit="1" customWidth="1"/>
    <col min="79" max="79" width="16.5703125" customWidth="1"/>
    <col min="80" max="80" width="12.28515625" customWidth="1"/>
    <col min="81" max="81" width="21.42578125" customWidth="1"/>
    <col min="82" max="82" width="13" customWidth="1"/>
    <col min="83" max="83" width="10.42578125" customWidth="1"/>
    <col min="85" max="85" width="12.85546875" customWidth="1"/>
    <col min="86" max="86" width="13" customWidth="1"/>
    <col min="89" max="89" width="9.5703125" customWidth="1"/>
    <col min="90" max="90" width="10.140625" customWidth="1"/>
    <col min="91" max="91" width="12.85546875" bestFit="1" customWidth="1"/>
    <col min="92" max="92" width="13.140625" customWidth="1"/>
    <col min="93" max="93" width="9.42578125" customWidth="1"/>
    <col min="94" max="94" width="28.42578125" customWidth="1"/>
    <col min="96" max="97" width="11.5703125" customWidth="1"/>
    <col min="99" max="99" width="9.7109375" customWidth="1"/>
  </cols>
  <sheetData>
    <row r="1" spans="2:91" ht="29.25" thickBot="1" x14ac:dyDescent="0.5">
      <c r="D1" s="1"/>
      <c r="J1" s="559" t="s">
        <v>543</v>
      </c>
      <c r="K1" s="560"/>
      <c r="L1" s="560"/>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c r="AM1" s="245"/>
      <c r="AN1" s="246"/>
    </row>
    <row r="2" spans="2:91" ht="15.75" thickBot="1" x14ac:dyDescent="0.3">
      <c r="J2" s="276" t="s">
        <v>545</v>
      </c>
      <c r="K2" s="35"/>
      <c r="L2" s="35"/>
      <c r="M2" s="35"/>
      <c r="N2" s="35"/>
      <c r="O2" s="35"/>
      <c r="P2" s="35"/>
      <c r="Q2" s="35"/>
      <c r="R2" s="35"/>
      <c r="S2" s="35"/>
      <c r="T2" s="536" t="s">
        <v>546</v>
      </c>
      <c r="U2" s="35"/>
      <c r="V2" s="35"/>
      <c r="W2" s="35"/>
      <c r="X2" s="35"/>
      <c r="Y2" s="35"/>
      <c r="Z2" s="35"/>
      <c r="AA2" s="35"/>
      <c r="AB2" s="35"/>
      <c r="AC2" s="35"/>
      <c r="AD2" s="536" t="s">
        <v>547</v>
      </c>
      <c r="AE2" s="35"/>
      <c r="AF2" s="35"/>
      <c r="AG2" s="35"/>
      <c r="AH2" s="35"/>
      <c r="AI2" s="35"/>
      <c r="AJ2" s="35"/>
      <c r="AK2" s="35"/>
      <c r="AL2" s="35"/>
      <c r="AM2" s="35"/>
      <c r="AN2" s="252"/>
      <c r="AS2" s="1200" t="s">
        <v>308</v>
      </c>
      <c r="AT2" s="1200"/>
      <c r="AU2" s="1200"/>
      <c r="AV2" s="1200"/>
      <c r="AW2" s="1200"/>
      <c r="AX2" s="1200"/>
      <c r="AY2" s="1200"/>
      <c r="AZ2" s="1200"/>
      <c r="BA2" s="1200"/>
      <c r="BH2" s="1194" t="s">
        <v>544</v>
      </c>
      <c r="BI2" s="1195"/>
      <c r="BJ2" s="1195"/>
      <c r="BK2" s="1195"/>
      <c r="BL2" s="1195"/>
      <c r="BM2" s="1195"/>
      <c r="BN2" s="245"/>
      <c r="BO2" s="245"/>
      <c r="BP2" s="245"/>
      <c r="BQ2" s="245"/>
      <c r="BR2" s="245"/>
      <c r="BS2" s="245"/>
      <c r="BT2" s="245"/>
      <c r="BU2" s="245"/>
      <c r="BV2" s="245"/>
      <c r="BW2" s="246"/>
      <c r="BZ2" t="s">
        <v>1107</v>
      </c>
    </row>
    <row r="3" spans="2:91" ht="16.5" customHeight="1" thickBot="1" x14ac:dyDescent="0.3">
      <c r="B3" s="177" t="s">
        <v>660</v>
      </c>
      <c r="C3" s="177" t="s">
        <v>605</v>
      </c>
      <c r="D3" s="1"/>
      <c r="E3" s="1" t="s">
        <v>1355</v>
      </c>
      <c r="F3" s="1"/>
      <c r="G3" s="1"/>
      <c r="J3" s="365">
        <v>1</v>
      </c>
      <c r="K3" s="982" t="s">
        <v>548</v>
      </c>
      <c r="L3" s="982"/>
      <c r="M3" s="982"/>
      <c r="N3" s="982"/>
      <c r="O3" s="982"/>
      <c r="P3" s="982"/>
      <c r="Q3" s="982"/>
      <c r="R3" s="35"/>
      <c r="S3" s="35"/>
      <c r="T3" s="365">
        <v>2</v>
      </c>
      <c r="U3" s="982" t="s">
        <v>548</v>
      </c>
      <c r="V3" s="982"/>
      <c r="W3" s="982"/>
      <c r="X3" s="982"/>
      <c r="Y3" s="982"/>
      <c r="Z3" s="982"/>
      <c r="AA3" s="982"/>
      <c r="AB3" s="35"/>
      <c r="AC3" s="35"/>
      <c r="AD3" s="365">
        <v>3</v>
      </c>
      <c r="AE3" s="982" t="s">
        <v>548</v>
      </c>
      <c r="AF3" s="982"/>
      <c r="AG3" s="982"/>
      <c r="AH3" s="982"/>
      <c r="AI3" s="982"/>
      <c r="AJ3" s="982"/>
      <c r="AK3" s="982"/>
      <c r="AL3" s="35"/>
      <c r="AM3" s="35"/>
      <c r="AN3" s="252"/>
      <c r="AS3" s="366"/>
      <c r="AT3" s="174"/>
      <c r="AU3" s="1110" t="s">
        <v>309</v>
      </c>
      <c r="AV3" s="1110"/>
      <c r="AW3" s="914" t="s">
        <v>310</v>
      </c>
      <c r="AX3" s="914"/>
      <c r="AY3" s="914"/>
      <c r="AZ3" s="914"/>
      <c r="BA3" s="914"/>
      <c r="BH3" s="1196"/>
      <c r="BI3" s="1197"/>
      <c r="BJ3" s="1197"/>
      <c r="BK3" s="1197"/>
      <c r="BL3" s="1197"/>
      <c r="BM3" s="1197"/>
      <c r="BN3" s="35"/>
      <c r="BO3" s="35"/>
      <c r="BP3" s="35"/>
      <c r="BQ3" s="35"/>
      <c r="BR3" s="35"/>
      <c r="BS3" s="35"/>
      <c r="BT3" s="35"/>
      <c r="BU3" s="35"/>
      <c r="BV3" s="35"/>
      <c r="BW3" s="252"/>
      <c r="BZ3" s="36" t="s">
        <v>286</v>
      </c>
      <c r="CA3" s="37" t="s">
        <v>66</v>
      </c>
      <c r="CB3" s="37" t="s">
        <v>68</v>
      </c>
      <c r="CC3" s="37" t="s">
        <v>287</v>
      </c>
      <c r="CD3" s="38" t="s">
        <v>632</v>
      </c>
      <c r="CE3" s="36" t="s">
        <v>633</v>
      </c>
      <c r="CF3" s="38" t="s">
        <v>634</v>
      </c>
    </row>
    <row r="4" spans="2:91" ht="15.75" customHeight="1" thickBot="1" x14ac:dyDescent="0.3">
      <c r="B4" s="148" t="s">
        <v>376</v>
      </c>
      <c r="C4" s="148">
        <v>1</v>
      </c>
      <c r="E4" t="s">
        <v>1356</v>
      </c>
      <c r="F4">
        <v>0.15</v>
      </c>
      <c r="J4" s="561" t="s">
        <v>551</v>
      </c>
      <c r="K4" s="1160" t="s">
        <v>552</v>
      </c>
      <c r="L4" s="1160"/>
      <c r="M4" s="35"/>
      <c r="N4" s="35"/>
      <c r="O4" s="1160" t="s">
        <v>553</v>
      </c>
      <c r="P4" s="1160"/>
      <c r="Q4" s="16"/>
      <c r="R4" s="35"/>
      <c r="S4" s="35"/>
      <c r="T4" s="367" t="s">
        <v>554</v>
      </c>
      <c r="U4" s="1160" t="s">
        <v>552</v>
      </c>
      <c r="V4" s="1160"/>
      <c r="W4" s="35"/>
      <c r="X4" s="35"/>
      <c r="Y4" s="1160" t="s">
        <v>553</v>
      </c>
      <c r="Z4" s="1160"/>
      <c r="AA4" s="16"/>
      <c r="AB4" s="35"/>
      <c r="AC4" s="35"/>
      <c r="AD4" s="367" t="s">
        <v>555</v>
      </c>
      <c r="AE4" s="1160" t="s">
        <v>552</v>
      </c>
      <c r="AF4" s="1160"/>
      <c r="AG4" s="35"/>
      <c r="AH4" s="35"/>
      <c r="AI4" s="1160" t="s">
        <v>553</v>
      </c>
      <c r="AJ4" s="1160"/>
      <c r="AK4" s="16"/>
      <c r="AL4" s="35"/>
      <c r="AM4" s="35"/>
      <c r="AN4" s="252"/>
      <c r="AS4" s="177" t="s">
        <v>313</v>
      </c>
      <c r="AT4" s="177" t="s">
        <v>314</v>
      </c>
      <c r="AU4" s="177" t="s">
        <v>315</v>
      </c>
      <c r="AV4" s="177" t="s">
        <v>316</v>
      </c>
      <c r="AW4" s="177" t="s">
        <v>556</v>
      </c>
      <c r="AX4" s="177" t="s">
        <v>557</v>
      </c>
      <c r="AY4" s="177" t="s">
        <v>558</v>
      </c>
      <c r="AZ4" s="177" t="s">
        <v>559</v>
      </c>
      <c r="BA4" s="177" t="s">
        <v>317</v>
      </c>
      <c r="BH4" s="1009" t="s">
        <v>357</v>
      </c>
      <c r="BI4" s="1183"/>
      <c r="BJ4" s="1183"/>
      <c r="BK4" s="1183"/>
      <c r="BL4" s="1183"/>
      <c r="BM4" s="1183"/>
      <c r="BN4" s="1183"/>
      <c r="BO4" s="1183"/>
      <c r="BP4" s="1202" t="s">
        <v>735</v>
      </c>
      <c r="BQ4" s="1203"/>
      <c r="BR4" s="1203"/>
      <c r="BS4" s="1203"/>
      <c r="BT4" s="1203"/>
      <c r="BU4" s="1203"/>
      <c r="BV4" s="1203"/>
      <c r="BW4" s="1204"/>
      <c r="BZ4" s="15" t="s">
        <v>290</v>
      </c>
      <c r="CA4" s="35">
        <v>98.3</v>
      </c>
      <c r="CB4" s="35">
        <f>10/1000</f>
        <v>0.01</v>
      </c>
      <c r="CC4" s="35">
        <f>1.5/1000</f>
        <v>1.5E-3</v>
      </c>
      <c r="CD4" s="16">
        <f>CA4+CB4*CF5+CC4*CF6</f>
        <v>98.997</v>
      </c>
      <c r="CE4" s="15" t="s">
        <v>66</v>
      </c>
      <c r="CF4" s="16">
        <v>1</v>
      </c>
    </row>
    <row r="5" spans="2:91" ht="15.75" thickBot="1" x14ac:dyDescent="0.3">
      <c r="B5" s="139" t="s">
        <v>608</v>
      </c>
      <c r="C5" s="139">
        <v>16</v>
      </c>
      <c r="E5" t="s">
        <v>1357</v>
      </c>
      <c r="F5">
        <v>1</v>
      </c>
      <c r="J5" s="562" t="s">
        <v>322</v>
      </c>
      <c r="K5" s="36" t="s">
        <v>332</v>
      </c>
      <c r="L5" s="38" t="s">
        <v>376</v>
      </c>
      <c r="M5" s="35"/>
      <c r="N5" s="35"/>
      <c r="O5" s="36" t="s">
        <v>270</v>
      </c>
      <c r="P5" s="226" t="s">
        <v>379</v>
      </c>
      <c r="Q5" s="16"/>
      <c r="R5" s="35"/>
      <c r="S5" s="35"/>
      <c r="T5" s="368" t="s">
        <v>322</v>
      </c>
      <c r="U5" s="36" t="s">
        <v>341</v>
      </c>
      <c r="V5" s="226" t="s">
        <v>376</v>
      </c>
      <c r="W5" s="35"/>
      <c r="X5" s="35"/>
      <c r="Y5" s="36" t="s">
        <v>270</v>
      </c>
      <c r="Z5" s="226" t="s">
        <v>382</v>
      </c>
      <c r="AA5" s="16"/>
      <c r="AB5" s="35"/>
      <c r="AC5" s="35"/>
      <c r="AD5" s="368" t="s">
        <v>322</v>
      </c>
      <c r="AE5" s="36" t="s">
        <v>337</v>
      </c>
      <c r="AF5" s="38" t="s">
        <v>376</v>
      </c>
      <c r="AG5" s="35"/>
      <c r="AH5" s="35"/>
      <c r="AI5" s="36" t="s">
        <v>270</v>
      </c>
      <c r="AJ5" s="226" t="s">
        <v>381</v>
      </c>
      <c r="AK5" s="16"/>
      <c r="AL5" s="35"/>
      <c r="AM5" s="35"/>
      <c r="AN5" s="252"/>
      <c r="AS5" s="15" t="s">
        <v>561</v>
      </c>
      <c r="AT5" t="s">
        <v>562</v>
      </c>
      <c r="AU5">
        <v>172.3</v>
      </c>
      <c r="AV5" s="16">
        <v>554.79999999999995</v>
      </c>
      <c r="AW5" s="369">
        <v>0</v>
      </c>
      <c r="AX5" s="370">
        <v>0</v>
      </c>
      <c r="AY5" s="370">
        <v>0.6</v>
      </c>
      <c r="AZ5" s="370">
        <v>0</v>
      </c>
      <c r="BA5" s="371">
        <v>0</v>
      </c>
      <c r="BH5" s="1198" t="s">
        <v>989</v>
      </c>
      <c r="BI5" s="1199"/>
      <c r="BJ5" s="1199"/>
      <c r="BK5" s="1199"/>
      <c r="BL5" s="1199"/>
      <c r="BM5" s="1199"/>
      <c r="BN5" s="1199"/>
      <c r="BO5" s="1199"/>
      <c r="BP5" t="s">
        <v>1145</v>
      </c>
      <c r="BQ5" s="7">
        <v>400</v>
      </c>
      <c r="BR5" s="245" t="s">
        <v>333</v>
      </c>
      <c r="BS5" s="245"/>
      <c r="BT5" s="245"/>
      <c r="BU5" s="245"/>
      <c r="BV5" s="245"/>
      <c r="BW5" s="511" t="s">
        <v>1007</v>
      </c>
      <c r="BZ5" s="15" t="s">
        <v>291</v>
      </c>
      <c r="CA5" s="35">
        <v>56.1</v>
      </c>
      <c r="CB5" s="35">
        <f>5/1000</f>
        <v>5.0000000000000001E-3</v>
      </c>
      <c r="CC5" s="35">
        <f>0.1/1000</f>
        <v>1E-4</v>
      </c>
      <c r="CD5" s="16">
        <f>CA5+CB5*CF5+CC5*CF6</f>
        <v>56.254800000000003</v>
      </c>
      <c r="CE5" s="15" t="s">
        <v>68</v>
      </c>
      <c r="CF5" s="16">
        <v>25</v>
      </c>
    </row>
    <row r="6" spans="2:91" ht="15.75" customHeight="1" x14ac:dyDescent="0.25">
      <c r="B6" s="139" t="s">
        <v>615</v>
      </c>
      <c r="C6" s="139">
        <v>12</v>
      </c>
      <c r="J6" s="563" t="s">
        <v>565</v>
      </c>
      <c r="K6" s="128">
        <v>1</v>
      </c>
      <c r="L6" s="155">
        <v>3</v>
      </c>
      <c r="M6" s="35"/>
      <c r="N6" s="35"/>
      <c r="O6" s="128">
        <v>1</v>
      </c>
      <c r="P6" s="139">
        <v>3</v>
      </c>
      <c r="Q6" s="16"/>
      <c r="R6" s="35"/>
      <c r="S6" s="35"/>
      <c r="T6" s="372" t="s">
        <v>565</v>
      </c>
      <c r="U6" s="128">
        <v>1</v>
      </c>
      <c r="V6" s="139">
        <v>3</v>
      </c>
      <c r="W6" s="35"/>
      <c r="X6" s="35"/>
      <c r="Y6" s="128">
        <v>1</v>
      </c>
      <c r="Z6" s="139">
        <v>3</v>
      </c>
      <c r="AA6" s="16"/>
      <c r="AB6" s="35"/>
      <c r="AC6" s="35"/>
      <c r="AD6" s="372" t="s">
        <v>565</v>
      </c>
      <c r="AE6" s="128">
        <v>1</v>
      </c>
      <c r="AF6" s="155">
        <v>3</v>
      </c>
      <c r="AG6" s="35"/>
      <c r="AH6" s="35"/>
      <c r="AI6" s="128">
        <v>1</v>
      </c>
      <c r="AJ6" s="139">
        <v>3</v>
      </c>
      <c r="AK6" s="16"/>
      <c r="AL6" s="35"/>
      <c r="AM6" s="35"/>
      <c r="AN6" s="252"/>
      <c r="AS6" s="15" t="s">
        <v>566</v>
      </c>
      <c r="AT6" t="s">
        <v>567</v>
      </c>
      <c r="AU6">
        <v>200.3</v>
      </c>
      <c r="AV6" s="16">
        <v>639</v>
      </c>
      <c r="AW6" s="369">
        <v>0</v>
      </c>
      <c r="AX6" s="370">
        <v>0</v>
      </c>
      <c r="AY6" s="370">
        <v>0</v>
      </c>
      <c r="AZ6" s="370">
        <v>0</v>
      </c>
      <c r="BA6" s="371">
        <v>0</v>
      </c>
      <c r="BH6" s="499" t="s">
        <v>637</v>
      </c>
      <c r="BI6" s="500"/>
      <c r="BJ6" s="500">
        <v>456</v>
      </c>
      <c r="BK6" s="500" t="s">
        <v>638</v>
      </c>
      <c r="BL6" s="500" t="s">
        <v>639</v>
      </c>
      <c r="BM6" s="500"/>
      <c r="BN6" s="500"/>
      <c r="BO6" s="500"/>
      <c r="BR6" s="35"/>
      <c r="BS6" s="35"/>
      <c r="BT6" s="35"/>
      <c r="BU6" s="35"/>
      <c r="BV6" s="35"/>
      <c r="BW6" s="252"/>
      <c r="BZ6" s="13" t="s">
        <v>292</v>
      </c>
      <c r="CA6" s="11">
        <v>74.099999999999994</v>
      </c>
      <c r="CB6" s="11">
        <f>3/1000</f>
        <v>3.0000000000000001E-3</v>
      </c>
      <c r="CC6" s="11">
        <f>0.6/1000</f>
        <v>5.9999999999999995E-4</v>
      </c>
      <c r="CD6" s="14">
        <f>CA6+CB6*CF5+CC6*CF6</f>
        <v>74.353799999999993</v>
      </c>
      <c r="CE6" s="13" t="s">
        <v>287</v>
      </c>
      <c r="CF6" s="14">
        <v>298</v>
      </c>
    </row>
    <row r="7" spans="2:91" ht="18.75" customHeight="1" x14ac:dyDescent="0.35">
      <c r="F7" s="374"/>
      <c r="J7" s="561" t="s">
        <v>569</v>
      </c>
      <c r="K7" s="13" t="s">
        <v>570</v>
      </c>
      <c r="L7" s="14" t="s">
        <v>571</v>
      </c>
      <c r="M7" s="139" t="s">
        <v>572</v>
      </c>
      <c r="N7" s="35"/>
      <c r="O7" s="13" t="s">
        <v>573</v>
      </c>
      <c r="P7" s="148" t="s">
        <v>574</v>
      </c>
      <c r="Q7" s="139" t="s">
        <v>575</v>
      </c>
      <c r="R7" s="35"/>
      <c r="S7" s="35"/>
      <c r="T7" s="367" t="s">
        <v>569</v>
      </c>
      <c r="U7" s="13" t="s">
        <v>576</v>
      </c>
      <c r="V7" s="148" t="s">
        <v>571</v>
      </c>
      <c r="W7" s="139" t="s">
        <v>572</v>
      </c>
      <c r="X7" s="35"/>
      <c r="Y7" s="13" t="s">
        <v>573</v>
      </c>
      <c r="Z7" s="148" t="s">
        <v>577</v>
      </c>
      <c r="AA7" s="139" t="s">
        <v>575</v>
      </c>
      <c r="AB7" s="35"/>
      <c r="AC7" s="35"/>
      <c r="AD7" s="367" t="s">
        <v>569</v>
      </c>
      <c r="AE7" s="13" t="s">
        <v>578</v>
      </c>
      <c r="AF7" s="14" t="s">
        <v>571</v>
      </c>
      <c r="AG7" s="139" t="s">
        <v>572</v>
      </c>
      <c r="AH7" s="35"/>
      <c r="AI7" s="13" t="s">
        <v>573</v>
      </c>
      <c r="AJ7" s="139" t="s">
        <v>579</v>
      </c>
      <c r="AK7" s="139" t="s">
        <v>575</v>
      </c>
      <c r="AL7" s="35"/>
      <c r="AM7" s="35"/>
      <c r="AN7" s="252"/>
      <c r="AS7" s="15" t="s">
        <v>580</v>
      </c>
      <c r="AT7" t="s">
        <v>581</v>
      </c>
      <c r="AU7">
        <v>228.4</v>
      </c>
      <c r="AV7" s="16">
        <v>723.2</v>
      </c>
      <c r="AW7" s="369">
        <v>0</v>
      </c>
      <c r="AX7" s="370">
        <v>2.5</v>
      </c>
      <c r="AY7" s="370">
        <v>0.1</v>
      </c>
      <c r="AZ7" s="370">
        <v>0</v>
      </c>
      <c r="BA7" s="371">
        <v>0</v>
      </c>
      <c r="BH7" s="499" t="s">
        <v>643</v>
      </c>
      <c r="BI7" s="500"/>
      <c r="BJ7" s="500">
        <v>9.1999999999999993</v>
      </c>
      <c r="BK7" s="500" t="s">
        <v>638</v>
      </c>
      <c r="BL7" s="500" t="s">
        <v>644</v>
      </c>
      <c r="BM7" s="500"/>
      <c r="BN7" s="500"/>
      <c r="BO7" s="500"/>
      <c r="BP7" s="139" t="s">
        <v>736</v>
      </c>
      <c r="BQ7" s="138">
        <f>CN43</f>
        <v>3.6016262660121821</v>
      </c>
      <c r="BR7" s="1205" t="s">
        <v>660</v>
      </c>
      <c r="BS7" s="1205" t="s">
        <v>323</v>
      </c>
      <c r="BT7" s="1031" t="s">
        <v>740</v>
      </c>
      <c r="BU7" s="1205" t="s">
        <v>710</v>
      </c>
      <c r="BV7" s="1156" t="s">
        <v>741</v>
      </c>
      <c r="BW7" s="252"/>
      <c r="CC7" s="29"/>
      <c r="CE7" s="35"/>
      <c r="CF7" s="35"/>
      <c r="CG7" s="35"/>
      <c r="CH7" s="35"/>
      <c r="CM7">
        <v>4.0999999999999996</v>
      </c>
    </row>
    <row r="8" spans="2:91" ht="29.1" customHeight="1" x14ac:dyDescent="0.25">
      <c r="B8" s="893" t="s">
        <v>660</v>
      </c>
      <c r="C8" s="1156" t="s">
        <v>627</v>
      </c>
      <c r="D8" s="1156" t="s">
        <v>642</v>
      </c>
      <c r="E8" s="1156"/>
      <c r="F8" s="1156"/>
      <c r="G8" s="1156"/>
      <c r="H8" s="1156"/>
      <c r="J8" s="564" t="s">
        <v>584</v>
      </c>
      <c r="K8" s="36">
        <v>57</v>
      </c>
      <c r="L8" s="38">
        <v>0</v>
      </c>
      <c r="M8" s="146">
        <f>K8+L8</f>
        <v>57</v>
      </c>
      <c r="N8" s="35"/>
      <c r="O8" s="36">
        <v>3</v>
      </c>
      <c r="P8" s="226">
        <f>18*3</f>
        <v>54</v>
      </c>
      <c r="Q8" s="146">
        <f>O8+P8</f>
        <v>57</v>
      </c>
      <c r="R8" s="35"/>
      <c r="S8" s="35"/>
      <c r="T8" s="375" t="s">
        <v>584</v>
      </c>
      <c r="U8" s="36">
        <v>57</v>
      </c>
      <c r="V8" s="226">
        <v>0</v>
      </c>
      <c r="W8" s="146">
        <f>U8+V8</f>
        <v>57</v>
      </c>
      <c r="X8" s="35"/>
      <c r="Y8" s="36">
        <v>3</v>
      </c>
      <c r="Z8" s="226">
        <f>18*3</f>
        <v>54</v>
      </c>
      <c r="AA8" s="146">
        <f>Y8+Z8</f>
        <v>57</v>
      </c>
      <c r="AB8" s="35"/>
      <c r="AC8" s="35"/>
      <c r="AD8" s="375" t="s">
        <v>584</v>
      </c>
      <c r="AE8" s="36">
        <v>51</v>
      </c>
      <c r="AF8" s="38">
        <v>0</v>
      </c>
      <c r="AG8" s="146">
        <f>AE8+AF8</f>
        <v>51</v>
      </c>
      <c r="AH8" s="35"/>
      <c r="AI8" s="36">
        <v>3</v>
      </c>
      <c r="AJ8" s="226">
        <f>16*3</f>
        <v>48</v>
      </c>
      <c r="AK8" s="146">
        <f>AI8+AJ8</f>
        <v>51</v>
      </c>
      <c r="AL8" s="35"/>
      <c r="AM8" s="35"/>
      <c r="AN8" s="252"/>
      <c r="AS8" s="376" t="s">
        <v>258</v>
      </c>
      <c r="AT8" s="7" t="s">
        <v>321</v>
      </c>
      <c r="AU8" s="7">
        <v>256.39999999999998</v>
      </c>
      <c r="AV8" s="377">
        <v>807.3</v>
      </c>
      <c r="AW8" s="378">
        <v>15.9</v>
      </c>
      <c r="AX8" s="379">
        <v>40.799999999999997</v>
      </c>
      <c r="AY8" s="379">
        <v>5.0999999999999996</v>
      </c>
      <c r="AZ8" s="379">
        <v>11.5</v>
      </c>
      <c r="BA8" s="380">
        <v>6.5</v>
      </c>
      <c r="BH8" s="499"/>
      <c r="BI8" s="500" t="s">
        <v>173</v>
      </c>
      <c r="BJ8" s="500">
        <v>179.1</v>
      </c>
      <c r="BK8" s="500" t="s">
        <v>638</v>
      </c>
      <c r="BL8" s="500" t="s">
        <v>650</v>
      </c>
      <c r="BM8" s="500"/>
      <c r="BN8" s="500"/>
      <c r="BO8" s="500"/>
      <c r="BP8" s="139" t="s">
        <v>1001</v>
      </c>
      <c r="BQ8" s="261">
        <f>(BS10+BS12)/BS15</f>
        <v>0.27803228166912991</v>
      </c>
      <c r="BR8" s="1206"/>
      <c r="BS8" s="1206"/>
      <c r="BT8" s="1031"/>
      <c r="BU8" s="1206"/>
      <c r="BV8" s="1156"/>
      <c r="BW8" s="252"/>
      <c r="CF8" s="35"/>
      <c r="CG8" s="35"/>
      <c r="CH8" s="35"/>
    </row>
    <row r="9" spans="2:91" x14ac:dyDescent="0.25">
      <c r="B9" s="893"/>
      <c r="C9" s="1156"/>
      <c r="D9" s="1156"/>
      <c r="E9" s="1156"/>
      <c r="F9" s="1156"/>
      <c r="G9" s="1156"/>
      <c r="H9" s="1156"/>
      <c r="J9" s="562" t="s">
        <v>586</v>
      </c>
      <c r="K9" s="15">
        <v>104</v>
      </c>
      <c r="L9" s="16">
        <v>6</v>
      </c>
      <c r="M9" s="146">
        <f>K9+L9</f>
        <v>110</v>
      </c>
      <c r="N9" s="35"/>
      <c r="O9" s="15">
        <v>8</v>
      </c>
      <c r="P9" s="146">
        <f>34*3</f>
        <v>102</v>
      </c>
      <c r="Q9" s="146">
        <f>O9+P9</f>
        <v>110</v>
      </c>
      <c r="R9" s="35"/>
      <c r="S9" s="35"/>
      <c r="T9" s="368" t="s">
        <v>586</v>
      </c>
      <c r="U9" s="15">
        <v>98</v>
      </c>
      <c r="V9" s="146">
        <v>6</v>
      </c>
      <c r="W9" s="146">
        <f>U9+V9</f>
        <v>104</v>
      </c>
      <c r="X9" s="35"/>
      <c r="Y9" s="15">
        <v>8</v>
      </c>
      <c r="Z9" s="146">
        <f>32*3</f>
        <v>96</v>
      </c>
      <c r="AA9" s="146">
        <f>Y9+Z9</f>
        <v>104</v>
      </c>
      <c r="AB9" s="35"/>
      <c r="AC9" s="35"/>
      <c r="AD9" s="368" t="s">
        <v>586</v>
      </c>
      <c r="AE9" s="15">
        <v>98</v>
      </c>
      <c r="AF9" s="16">
        <v>6</v>
      </c>
      <c r="AG9" s="146">
        <f>AE9+AF9</f>
        <v>104</v>
      </c>
      <c r="AH9" s="35"/>
      <c r="AI9" s="15">
        <v>8</v>
      </c>
      <c r="AJ9" s="146">
        <f>32*3</f>
        <v>96</v>
      </c>
      <c r="AK9" s="146">
        <f>AI9+AJ9</f>
        <v>104</v>
      </c>
      <c r="AL9" s="35"/>
      <c r="AM9" s="35"/>
      <c r="AN9" s="252"/>
      <c r="AS9" s="15" t="s">
        <v>587</v>
      </c>
      <c r="AT9" t="s">
        <v>588</v>
      </c>
      <c r="AU9">
        <v>254.4</v>
      </c>
      <c r="AV9" s="16">
        <v>801.3</v>
      </c>
      <c r="AW9" s="369">
        <v>0.9</v>
      </c>
      <c r="AX9" s="370">
        <v>0</v>
      </c>
      <c r="AY9" s="370">
        <v>0</v>
      </c>
      <c r="AZ9" s="370">
        <v>0</v>
      </c>
      <c r="BA9" s="371">
        <v>0.2</v>
      </c>
      <c r="BH9" s="499"/>
      <c r="BI9" s="500"/>
      <c r="BJ9" s="500">
        <v>-115</v>
      </c>
      <c r="BK9" s="500" t="s">
        <v>638</v>
      </c>
      <c r="BL9" s="500" t="s">
        <v>654</v>
      </c>
      <c r="BM9" s="500"/>
      <c r="BN9" s="500"/>
      <c r="BO9" s="500"/>
      <c r="BP9" s="268"/>
      <c r="BQ9" s="35"/>
      <c r="BR9" s="140" t="s">
        <v>467</v>
      </c>
      <c r="BS9" s="513">
        <f>FuelProd2!S78</f>
        <v>29.957213396963475</v>
      </c>
      <c r="BT9" s="139"/>
      <c r="BU9" s="513">
        <f>(BS9)/BL100</f>
        <v>124.82172248734781</v>
      </c>
      <c r="BV9" s="1182" t="e">
        <f>(BU9+BU10)*BQ7*BQ31</f>
        <v>#REF!</v>
      </c>
      <c r="BW9" s="252"/>
      <c r="BZ9" t="s">
        <v>550</v>
      </c>
      <c r="CB9">
        <v>42.8</v>
      </c>
      <c r="CC9" t="s">
        <v>59</v>
      </c>
      <c r="CF9" s="35"/>
      <c r="CG9" s="35"/>
      <c r="CH9" s="35"/>
    </row>
    <row r="10" spans="2:91" x14ac:dyDescent="0.25">
      <c r="B10" s="893"/>
      <c r="C10" s="1156"/>
      <c r="D10" s="1156"/>
      <c r="E10" s="1156"/>
      <c r="F10" s="1156"/>
      <c r="G10" s="1156"/>
      <c r="H10" s="1156"/>
      <c r="J10" s="561" t="s">
        <v>591</v>
      </c>
      <c r="K10" s="13">
        <v>6</v>
      </c>
      <c r="L10" s="14">
        <v>0</v>
      </c>
      <c r="M10" s="148">
        <f>K10+L10</f>
        <v>6</v>
      </c>
      <c r="N10" s="35"/>
      <c r="O10" s="13">
        <v>0</v>
      </c>
      <c r="P10" s="148">
        <f>2*3</f>
        <v>6</v>
      </c>
      <c r="Q10" s="148">
        <f>O10+P10</f>
        <v>6</v>
      </c>
      <c r="R10" s="35"/>
      <c r="S10" s="35"/>
      <c r="T10" s="367" t="s">
        <v>591</v>
      </c>
      <c r="U10" s="13">
        <v>6</v>
      </c>
      <c r="V10" s="148">
        <v>0</v>
      </c>
      <c r="W10" s="148">
        <f>U10+V10</f>
        <v>6</v>
      </c>
      <c r="X10" s="35"/>
      <c r="Y10" s="13">
        <v>0</v>
      </c>
      <c r="Z10" s="148">
        <f>2*3</f>
        <v>6</v>
      </c>
      <c r="AA10" s="148">
        <f>Y10+Z10</f>
        <v>6</v>
      </c>
      <c r="AB10" s="35"/>
      <c r="AC10" s="35"/>
      <c r="AD10" s="367" t="s">
        <v>591</v>
      </c>
      <c r="AE10" s="13">
        <v>6</v>
      </c>
      <c r="AF10" s="14">
        <v>0</v>
      </c>
      <c r="AG10" s="148">
        <f>AE10+AF10</f>
        <v>6</v>
      </c>
      <c r="AH10" s="35"/>
      <c r="AI10" s="13">
        <v>0</v>
      </c>
      <c r="AJ10" s="148">
        <f>2*3</f>
        <v>6</v>
      </c>
      <c r="AK10" s="148">
        <f>AI10+AJ10</f>
        <v>6</v>
      </c>
      <c r="AL10" s="35"/>
      <c r="AM10" s="35"/>
      <c r="AN10" s="252"/>
      <c r="AS10" s="376" t="s">
        <v>261</v>
      </c>
      <c r="AT10" s="7" t="s">
        <v>327</v>
      </c>
      <c r="AU10" s="7">
        <v>284.5</v>
      </c>
      <c r="AV10" s="377">
        <v>891.5</v>
      </c>
      <c r="AW10" s="378">
        <v>6.9</v>
      </c>
      <c r="AX10" s="379">
        <v>3.6</v>
      </c>
      <c r="AY10" s="379">
        <v>2.1</v>
      </c>
      <c r="AZ10" s="379">
        <v>4</v>
      </c>
      <c r="BA10" s="380">
        <v>5.8</v>
      </c>
      <c r="BH10" s="499"/>
      <c r="BI10" s="500"/>
      <c r="BJ10" s="500"/>
      <c r="BK10" s="500"/>
      <c r="BL10" s="500"/>
      <c r="BM10" s="500"/>
      <c r="BN10" s="500"/>
      <c r="BO10" s="500"/>
      <c r="BP10" s="268"/>
      <c r="BQ10" s="35"/>
      <c r="BR10" s="140" t="s">
        <v>468</v>
      </c>
      <c r="BS10" s="513">
        <f>FuelProd2!S79</f>
        <v>12.646593184615387</v>
      </c>
      <c r="BT10" s="513">
        <f>BS10*BI56</f>
        <v>18969.889776923083</v>
      </c>
      <c r="BU10" s="513">
        <f>(BS10)/BK100</f>
        <v>53.136946153846168</v>
      </c>
      <c r="BV10" s="1182"/>
      <c r="BW10" s="252"/>
      <c r="CF10" s="35"/>
      <c r="CG10" s="35"/>
      <c r="CH10" s="36">
        <v>7.6999999999999999E-2</v>
      </c>
      <c r="CI10" s="37" t="s">
        <v>1104</v>
      </c>
      <c r="CJ10" s="38"/>
    </row>
    <row r="11" spans="2:91" x14ac:dyDescent="0.25">
      <c r="B11" s="139" t="s">
        <v>646</v>
      </c>
      <c r="C11" s="139">
        <v>-2193.6999999999998</v>
      </c>
      <c r="D11" s="139" t="s">
        <v>647</v>
      </c>
      <c r="E11" s="139"/>
      <c r="F11" s="139"/>
      <c r="G11" s="139"/>
      <c r="H11" s="139"/>
      <c r="I11" t="s">
        <v>173</v>
      </c>
      <c r="J11" s="268" t="s">
        <v>594</v>
      </c>
      <c r="K11" s="139">
        <f>K8*12+K9*1+16*K10</f>
        <v>884</v>
      </c>
      <c r="L11" s="14">
        <f>L8*12+L9+L10*16</f>
        <v>6</v>
      </c>
      <c r="M11" s="16">
        <f>L11+K11</f>
        <v>890</v>
      </c>
      <c r="N11" s="35" t="s">
        <v>594</v>
      </c>
      <c r="O11" s="139">
        <f>O8*12+O9*1</f>
        <v>44</v>
      </c>
      <c r="P11" s="14">
        <f>P8*12+P9+P10*16</f>
        <v>846</v>
      </c>
      <c r="Q11" s="16">
        <f>P11+O11</f>
        <v>890</v>
      </c>
      <c r="R11" s="35"/>
      <c r="S11" s="35"/>
      <c r="T11" s="35" t="s">
        <v>594</v>
      </c>
      <c r="U11" s="139">
        <f>U8*12+U9*1+16*U10</f>
        <v>878</v>
      </c>
      <c r="V11" s="14">
        <f>V8*12+V9+V10*16</f>
        <v>6</v>
      </c>
      <c r="W11" s="16">
        <f>V11+U11</f>
        <v>884</v>
      </c>
      <c r="X11" s="35" t="s">
        <v>594</v>
      </c>
      <c r="Y11" s="139">
        <f>Y8*12+Y9*1</f>
        <v>44</v>
      </c>
      <c r="Z11" s="14">
        <f>Z8*12+Z9+Z10*16</f>
        <v>840</v>
      </c>
      <c r="AA11" s="16">
        <f>Z11+Y11</f>
        <v>884</v>
      </c>
      <c r="AB11" s="35"/>
      <c r="AC11" s="35"/>
      <c r="AD11" s="35" t="s">
        <v>594</v>
      </c>
      <c r="AE11" s="139">
        <f>AE8*12+AE9*1+16*AE10</f>
        <v>806</v>
      </c>
      <c r="AF11" s="14">
        <f>AF8*12+AF9+AF10*16</f>
        <v>6</v>
      </c>
      <c r="AG11" s="16">
        <f>AF11+AE11</f>
        <v>812</v>
      </c>
      <c r="AH11" s="35" t="s">
        <v>594</v>
      </c>
      <c r="AI11" s="139">
        <f>AI8*12+AI9*1</f>
        <v>44</v>
      </c>
      <c r="AJ11" s="14">
        <f>AJ8*12+AJ9+AJ10*16</f>
        <v>768</v>
      </c>
      <c r="AK11" s="16">
        <f>AJ11+AI11</f>
        <v>812</v>
      </c>
      <c r="AL11" s="35"/>
      <c r="AM11" s="35"/>
      <c r="AN11" s="252"/>
      <c r="AS11" s="376"/>
      <c r="AT11" s="7"/>
      <c r="AU11" s="7"/>
      <c r="AV11" s="377"/>
      <c r="AW11" s="378"/>
      <c r="AX11" s="379"/>
      <c r="AY11" s="379"/>
      <c r="AZ11" s="379"/>
      <c r="BA11" s="380"/>
      <c r="BH11" s="499" t="s">
        <v>659</v>
      </c>
      <c r="BI11" s="500" t="s">
        <v>660</v>
      </c>
      <c r="BJ11" s="500" t="s">
        <v>62</v>
      </c>
      <c r="BK11" s="500" t="s">
        <v>661</v>
      </c>
      <c r="BL11" s="500"/>
      <c r="BM11" s="500"/>
      <c r="BN11" s="500"/>
      <c r="BO11" s="500"/>
      <c r="BP11" s="268"/>
      <c r="BQ11" s="35"/>
      <c r="BR11" s="140" t="s">
        <v>471</v>
      </c>
      <c r="BS11" s="513">
        <f>FuelProd2!S80</f>
        <v>12.949814194954984</v>
      </c>
      <c r="BT11" s="139"/>
      <c r="BU11" s="513">
        <f>(BS11)/BJ100</f>
        <v>50.983520452578674</v>
      </c>
      <c r="BV11" s="1182" t="e">
        <f>(BU11+BU12)*BQ7*BQ30</f>
        <v>#REF!</v>
      </c>
      <c r="BW11" s="252"/>
      <c r="BZ11" t="s">
        <v>563</v>
      </c>
      <c r="CB11">
        <f>FuelProd1!I31</f>
        <v>98.728799999999993</v>
      </c>
      <c r="CC11" t="s">
        <v>564</v>
      </c>
      <c r="CE11" s="35"/>
      <c r="CF11" s="35"/>
      <c r="CG11" s="35"/>
      <c r="CH11" s="15">
        <f>CH10/1000</f>
        <v>7.7000000000000001E-5</v>
      </c>
      <c r="CI11" s="35" t="s">
        <v>1103</v>
      </c>
      <c r="CJ11" s="16"/>
    </row>
    <row r="12" spans="2:91" x14ac:dyDescent="0.25">
      <c r="B12" s="139" t="s">
        <v>341</v>
      </c>
      <c r="C12" s="139">
        <v>-1880.1</v>
      </c>
      <c r="D12" s="139" t="s">
        <v>652</v>
      </c>
      <c r="E12" s="139"/>
      <c r="F12" s="139"/>
      <c r="G12" s="139"/>
      <c r="H12" s="139"/>
      <c r="I12" t="s">
        <v>173</v>
      </c>
      <c r="J12" s="562" t="s">
        <v>597</v>
      </c>
      <c r="K12" s="35">
        <f>FuelProd2!AA10*1000/FuelProd3!K11</f>
        <v>29.349321266968325</v>
      </c>
      <c r="L12" s="35">
        <f>L6*K12</f>
        <v>88.047963800904967</v>
      </c>
      <c r="M12" s="16"/>
      <c r="N12" s="35"/>
      <c r="O12" s="35"/>
      <c r="P12" s="35"/>
      <c r="Q12" s="16"/>
      <c r="R12" s="35"/>
      <c r="S12" s="35"/>
      <c r="T12" s="110" t="s">
        <v>597</v>
      </c>
      <c r="U12" s="35">
        <f>FuelProd2!AA12*1000/FuelProd3!U11</f>
        <v>54.054669703872428</v>
      </c>
      <c r="V12" s="35">
        <f>V6*U12</f>
        <v>162.16400911161728</v>
      </c>
      <c r="W12" s="16"/>
      <c r="X12" s="35"/>
      <c r="Y12" s="35"/>
      <c r="Z12" s="35"/>
      <c r="AA12" s="16"/>
      <c r="AB12" s="35"/>
      <c r="AC12" s="35"/>
      <c r="AD12" s="110" t="s">
        <v>597</v>
      </c>
      <c r="AE12" s="35">
        <f>FuelProd2!AA11*1000/FuelProd3!AE11</f>
        <v>6.379032258064516</v>
      </c>
      <c r="AF12" s="35">
        <f>AF6*AE12</f>
        <v>19.137096774193548</v>
      </c>
      <c r="AG12" s="16"/>
      <c r="AH12" s="35"/>
      <c r="AI12" s="35"/>
      <c r="AJ12" s="35"/>
      <c r="AK12" s="16"/>
      <c r="AL12" s="35"/>
      <c r="AM12" s="35"/>
      <c r="AN12" s="252"/>
      <c r="AS12" s="376"/>
      <c r="AT12" s="7"/>
      <c r="AU12" s="7"/>
      <c r="AV12" s="377"/>
      <c r="AW12" s="378"/>
      <c r="AX12" s="379"/>
      <c r="AY12" s="379"/>
      <c r="AZ12" s="379"/>
      <c r="BA12" s="380"/>
      <c r="BH12" s="499"/>
      <c r="BI12" s="501" t="s">
        <v>332</v>
      </c>
      <c r="BJ12" s="502">
        <f>FuelProd2!AA10</f>
        <v>25.944800000000001</v>
      </c>
      <c r="BK12" s="500">
        <f>BJ12/BI111</f>
        <v>29.349321266968328</v>
      </c>
      <c r="BL12" s="500"/>
      <c r="BM12" s="500"/>
      <c r="BN12" s="500"/>
      <c r="BO12" s="500"/>
      <c r="BP12" s="268"/>
      <c r="BQ12" s="35"/>
      <c r="BR12" s="140" t="s">
        <v>478</v>
      </c>
      <c r="BS12" s="513">
        <f>FuelProd2!S83</f>
        <v>5.4693634153846151</v>
      </c>
      <c r="BT12" s="513">
        <f>BS12*BI56</f>
        <v>8204.0451230769231</v>
      </c>
      <c r="BU12" s="513">
        <f>BS12/BI100</f>
        <v>21.703823076923076</v>
      </c>
      <c r="BV12" s="1182"/>
      <c r="BW12" s="252"/>
      <c r="BZ12" t="s">
        <v>568</v>
      </c>
      <c r="CB12">
        <f>FuelProd1!I32</f>
        <v>56.672000000000004</v>
      </c>
      <c r="CC12" t="s">
        <v>564</v>
      </c>
      <c r="CE12" s="35"/>
      <c r="CF12" s="35"/>
      <c r="CG12" s="35"/>
      <c r="CH12" s="15">
        <f>CH11*1000000</f>
        <v>77</v>
      </c>
      <c r="CI12" s="35" t="s">
        <v>79</v>
      </c>
      <c r="CJ12" s="16"/>
    </row>
    <row r="13" spans="2:91" x14ac:dyDescent="0.25">
      <c r="B13" s="139" t="s">
        <v>337</v>
      </c>
      <c r="C13" s="139">
        <v>-2468.6999999999998</v>
      </c>
      <c r="D13" s="139" t="s">
        <v>656</v>
      </c>
      <c r="E13" s="139"/>
      <c r="F13" s="139"/>
      <c r="G13" s="139"/>
      <c r="H13" s="139"/>
      <c r="I13" t="s">
        <v>173</v>
      </c>
      <c r="J13" s="268" t="s">
        <v>599</v>
      </c>
      <c r="K13" s="35">
        <f>K11/M11</f>
        <v>0.99325842696629218</v>
      </c>
      <c r="L13" s="35">
        <f>L11/M11</f>
        <v>6.7415730337078653E-3</v>
      </c>
      <c r="M13" s="16"/>
      <c r="N13" s="35" t="s">
        <v>599</v>
      </c>
      <c r="O13" s="35">
        <f>O11/Q11</f>
        <v>4.9438202247191011E-2</v>
      </c>
      <c r="P13" s="35">
        <f>P11/Q11</f>
        <v>0.95056179775280902</v>
      </c>
      <c r="Q13" s="16"/>
      <c r="R13" s="35">
        <f>SUM(O13:Q13)</f>
        <v>1</v>
      </c>
      <c r="S13" s="35"/>
      <c r="T13" s="35" t="s">
        <v>599</v>
      </c>
      <c r="U13" s="35">
        <f>U11/W11</f>
        <v>0.99321266968325794</v>
      </c>
      <c r="V13" s="35">
        <f>V11/W11</f>
        <v>6.7873303167420816E-3</v>
      </c>
      <c r="W13" s="16"/>
      <c r="X13" s="35" t="s">
        <v>599</v>
      </c>
      <c r="Y13" s="35">
        <f>Y11/AA11</f>
        <v>4.9773755656108594E-2</v>
      </c>
      <c r="Z13" s="35">
        <f>Z11/AA11</f>
        <v>0.95022624434389136</v>
      </c>
      <c r="AA13" s="16"/>
      <c r="AB13" s="35">
        <f>SUM(Y13:AA13)</f>
        <v>1</v>
      </c>
      <c r="AC13" s="35"/>
      <c r="AD13" s="35" t="s">
        <v>599</v>
      </c>
      <c r="AE13" s="35">
        <f>AE11/AG11</f>
        <v>0.9926108374384236</v>
      </c>
      <c r="AF13" s="35">
        <f>AF11/AG11</f>
        <v>7.3891625615763543E-3</v>
      </c>
      <c r="AG13" s="16"/>
      <c r="AH13" s="35" t="s">
        <v>599</v>
      </c>
      <c r="AI13" s="35">
        <f>AI11/AK11</f>
        <v>5.4187192118226604E-2</v>
      </c>
      <c r="AJ13" s="35">
        <f>AJ11/AK11</f>
        <v>0.94581280788177335</v>
      </c>
      <c r="AK13" s="16"/>
      <c r="AL13" s="35">
        <f>SUM(AI13:AK13)</f>
        <v>1</v>
      </c>
      <c r="AM13" s="35"/>
      <c r="AN13" s="252"/>
      <c r="AS13" s="376"/>
      <c r="AT13" s="7"/>
      <c r="AU13" s="7"/>
      <c r="AV13" s="377"/>
      <c r="AW13" s="378"/>
      <c r="AX13" s="379"/>
      <c r="AY13" s="379"/>
      <c r="AZ13" s="379"/>
      <c r="BA13" s="380"/>
      <c r="BH13" s="499"/>
      <c r="BI13" s="501" t="s">
        <v>337</v>
      </c>
      <c r="BJ13" s="502">
        <f>FuelProd2!AA11</f>
        <v>5.1414999999999997</v>
      </c>
      <c r="BK13" s="500">
        <f>BJ13/BK111</f>
        <v>6.3790322580645151</v>
      </c>
      <c r="BL13" s="500"/>
      <c r="BM13" s="500"/>
      <c r="BN13" s="500"/>
      <c r="BO13" s="500"/>
      <c r="BP13" s="268"/>
      <c r="BQ13" s="35"/>
      <c r="BR13" s="140" t="s">
        <v>474</v>
      </c>
      <c r="BS13" s="513">
        <f>FuelProd2!S81</f>
        <v>2.8805158064516134</v>
      </c>
      <c r="BT13" s="139"/>
      <c r="BU13" s="513">
        <f>BS13/BN100</f>
        <v>13.587338709677422</v>
      </c>
      <c r="BV13" s="513" t="e">
        <f>BU13*BQ7*BQ33</f>
        <v>#REF!</v>
      </c>
      <c r="BW13" s="252"/>
      <c r="BZ13" t="s">
        <v>583</v>
      </c>
      <c r="CB13">
        <f>FuelProd1!I33</f>
        <v>74.379799999999989</v>
      </c>
      <c r="CC13" t="s">
        <v>564</v>
      </c>
      <c r="CE13" s="35"/>
      <c r="CH13" s="15">
        <f>CH12/3.6</f>
        <v>21.388888888888889</v>
      </c>
      <c r="CI13" s="35" t="s">
        <v>167</v>
      </c>
      <c r="CJ13" s="16"/>
    </row>
    <row r="14" spans="2:91" x14ac:dyDescent="0.25">
      <c r="B14" s="139" t="s">
        <v>381</v>
      </c>
      <c r="C14" s="139">
        <v>-848.4</v>
      </c>
      <c r="D14" s="507" t="s">
        <v>658</v>
      </c>
      <c r="E14" s="139"/>
      <c r="F14" s="139"/>
      <c r="G14" s="139"/>
      <c r="H14" s="139"/>
      <c r="I14" t="s">
        <v>173</v>
      </c>
      <c r="J14" s="276" t="s">
        <v>601</v>
      </c>
      <c r="K14" s="35">
        <f>FuelProd2!AA10</f>
        <v>25.944800000000001</v>
      </c>
      <c r="L14" s="35">
        <f>(FuelProd3!L12*2)/1000</f>
        <v>0.17609592760180992</v>
      </c>
      <c r="M14" s="35" t="s">
        <v>62</v>
      </c>
      <c r="N14" s="35"/>
      <c r="O14" s="35">
        <f>(K14+L14)*O13</f>
        <v>1.2913701357466063</v>
      </c>
      <c r="P14" s="35">
        <f>(K14+L14)*P13</f>
        <v>24.829525791855207</v>
      </c>
      <c r="Q14" s="16"/>
      <c r="R14" s="35"/>
      <c r="S14" s="35"/>
      <c r="T14" s="536" t="s">
        <v>602</v>
      </c>
      <c r="U14" s="35">
        <f>FuelProd2!AA12</f>
        <v>47.459999999999994</v>
      </c>
      <c r="V14" s="35">
        <f>(FuelProd3!V12*2)/1000</f>
        <v>0.32432801822323454</v>
      </c>
      <c r="W14" s="35" t="s">
        <v>62</v>
      </c>
      <c r="X14" s="35"/>
      <c r="Y14" s="35">
        <f>(U14+V14)*Y13</f>
        <v>2.3784054669703867</v>
      </c>
      <c r="Z14" s="35">
        <f>(U14+V14)*Z13</f>
        <v>45.405922551252836</v>
      </c>
      <c r="AA14" s="16"/>
      <c r="AB14" s="35"/>
      <c r="AC14" s="35"/>
      <c r="AD14" s="536" t="s">
        <v>602</v>
      </c>
      <c r="AE14" s="35">
        <f>FuelProd2!AA11</f>
        <v>5.1414999999999997</v>
      </c>
      <c r="AF14" s="35">
        <f>(FuelProd3!AF12*2)/1000</f>
        <v>3.8274193548387098E-2</v>
      </c>
      <c r="AG14" s="35" t="s">
        <v>62</v>
      </c>
      <c r="AH14" s="35"/>
      <c r="AI14" s="35">
        <f>(AE14+AF14)*AI13</f>
        <v>0.28067741935483875</v>
      </c>
      <c r="AJ14" s="35">
        <f>(AE14+AF14)*AJ13</f>
        <v>4.8990967741935485</v>
      </c>
      <c r="AK14" s="16"/>
      <c r="AL14" s="35"/>
      <c r="AM14" s="35"/>
      <c r="AN14" s="252"/>
      <c r="AS14" s="376"/>
      <c r="AT14" s="7"/>
      <c r="AU14" s="7"/>
      <c r="AV14" s="377"/>
      <c r="AW14" s="378"/>
      <c r="AX14" s="379"/>
      <c r="AY14" s="379"/>
      <c r="AZ14" s="379"/>
      <c r="BA14" s="380"/>
      <c r="BH14" s="499"/>
      <c r="BI14" s="501" t="s">
        <v>341</v>
      </c>
      <c r="BJ14" s="502">
        <f>FuelProd2!AA12</f>
        <v>47.459999999999994</v>
      </c>
      <c r="BK14" s="500">
        <f>BJ14/BJ111</f>
        <v>54.054669703872428</v>
      </c>
      <c r="BL14" s="500"/>
      <c r="BM14" s="500"/>
      <c r="BN14" s="500"/>
      <c r="BO14" s="500"/>
      <c r="BP14" s="268"/>
      <c r="BQ14" s="35"/>
      <c r="BR14" s="140" t="s">
        <v>476</v>
      </c>
      <c r="BS14" s="513">
        <f>FuelProd2!S82</f>
        <v>1.2542453225806449</v>
      </c>
      <c r="BT14" s="139"/>
      <c r="BU14" s="513">
        <f>BS14/BM100</f>
        <v>5.5497580645161282</v>
      </c>
      <c r="BV14" s="513" t="e">
        <f>BU14*BQ7*BQ32</f>
        <v>#REF!</v>
      </c>
      <c r="BW14" s="252"/>
      <c r="CH14" s="13"/>
      <c r="CI14" s="11"/>
      <c r="CJ14" s="14"/>
    </row>
    <row r="15" spans="2:91" x14ac:dyDescent="0.25">
      <c r="B15" s="139" t="s">
        <v>379</v>
      </c>
      <c r="C15" s="139">
        <v>-764.8</v>
      </c>
      <c r="D15" s="139" t="s">
        <v>663</v>
      </c>
      <c r="E15" s="139"/>
      <c r="F15" s="139"/>
      <c r="G15" s="139"/>
      <c r="H15" s="139"/>
      <c r="I15" t="s">
        <v>173</v>
      </c>
      <c r="J15" s="268"/>
      <c r="K15" s="978" t="s">
        <v>320</v>
      </c>
      <c r="L15" s="978"/>
      <c r="M15" s="35"/>
      <c r="N15" s="35"/>
      <c r="O15" s="978" t="s">
        <v>320</v>
      </c>
      <c r="P15" s="978"/>
      <c r="Q15" s="16"/>
      <c r="R15" s="35"/>
      <c r="S15" s="35"/>
      <c r="T15" s="15"/>
      <c r="U15" s="978" t="s">
        <v>320</v>
      </c>
      <c r="V15" s="978"/>
      <c r="W15" s="35"/>
      <c r="X15" s="35"/>
      <c r="Y15" s="978" t="s">
        <v>320</v>
      </c>
      <c r="Z15" s="978"/>
      <c r="AA15" s="16"/>
      <c r="AB15" s="35"/>
      <c r="AC15" s="35"/>
      <c r="AD15" s="15"/>
      <c r="AE15" s="978" t="s">
        <v>320</v>
      </c>
      <c r="AF15" s="978"/>
      <c r="AG15" s="35"/>
      <c r="AH15" s="35"/>
      <c r="AI15" s="978" t="s">
        <v>320</v>
      </c>
      <c r="AJ15" s="978"/>
      <c r="AK15" s="16"/>
      <c r="AL15" s="35"/>
      <c r="AM15" s="35"/>
      <c r="AN15" s="252"/>
      <c r="AS15" s="376" t="s">
        <v>263</v>
      </c>
      <c r="AT15" s="7" t="s">
        <v>330</v>
      </c>
      <c r="AU15" s="7">
        <v>282.5</v>
      </c>
      <c r="AV15" s="377">
        <v>885.4</v>
      </c>
      <c r="AW15" s="378">
        <v>41.1</v>
      </c>
      <c r="AX15" s="379">
        <v>45.2</v>
      </c>
      <c r="AY15" s="379">
        <v>57.9</v>
      </c>
      <c r="AZ15" s="379">
        <v>24.5</v>
      </c>
      <c r="BA15" s="380">
        <v>27</v>
      </c>
      <c r="BH15" s="499"/>
      <c r="BI15" s="500"/>
      <c r="BJ15" s="500" t="s">
        <v>278</v>
      </c>
      <c r="BK15" s="500">
        <f>SUM(BK12:BK14)</f>
        <v>89.783023228905279</v>
      </c>
      <c r="BL15" s="500"/>
      <c r="BM15" s="500" t="s">
        <v>679</v>
      </c>
      <c r="BN15" s="500">
        <f>BK15*BJ6</f>
        <v>40941.05859238081</v>
      </c>
      <c r="BO15" s="500"/>
      <c r="BP15" s="268"/>
      <c r="BQ15" s="35"/>
      <c r="BR15" s="140" t="s">
        <v>278</v>
      </c>
      <c r="BS15" s="513">
        <f>FuelProd2!S84</f>
        <v>65.157745320950724</v>
      </c>
      <c r="BT15" s="139"/>
      <c r="BU15" s="139"/>
      <c r="BV15" s="139"/>
      <c r="BW15" s="252"/>
      <c r="BZ15" t="s">
        <v>549</v>
      </c>
      <c r="CC15" s="29"/>
      <c r="CE15" s="35"/>
    </row>
    <row r="16" spans="2:91" x14ac:dyDescent="0.25">
      <c r="B16" s="139" t="s">
        <v>382</v>
      </c>
      <c r="C16" s="139">
        <v>-634.70000000000005</v>
      </c>
      <c r="D16" s="139" t="s">
        <v>667</v>
      </c>
      <c r="E16" s="139"/>
      <c r="F16" s="139"/>
      <c r="G16" s="139"/>
      <c r="H16" s="139"/>
      <c r="I16" t="s">
        <v>173</v>
      </c>
      <c r="J16" s="553"/>
      <c r="K16" s="493" t="s">
        <v>323</v>
      </c>
      <c r="L16" s="493" t="s">
        <v>326</v>
      </c>
      <c r="M16" s="35"/>
      <c r="N16" s="35"/>
      <c r="O16" s="493" t="s">
        <v>323</v>
      </c>
      <c r="P16" s="493" t="s">
        <v>326</v>
      </c>
      <c r="Q16" s="16"/>
      <c r="R16" s="35"/>
      <c r="S16" s="35"/>
      <c r="T16" s="381"/>
      <c r="U16" s="493" t="s">
        <v>323</v>
      </c>
      <c r="V16" s="493" t="s">
        <v>326</v>
      </c>
      <c r="W16" s="35"/>
      <c r="X16" s="35"/>
      <c r="Y16" s="493" t="s">
        <v>323</v>
      </c>
      <c r="Z16" s="493" t="s">
        <v>326</v>
      </c>
      <c r="AA16" s="16"/>
      <c r="AB16" s="35"/>
      <c r="AC16" s="35"/>
      <c r="AD16" s="381"/>
      <c r="AE16" s="493" t="s">
        <v>323</v>
      </c>
      <c r="AF16" s="493" t="s">
        <v>326</v>
      </c>
      <c r="AG16" s="35"/>
      <c r="AH16" s="35"/>
      <c r="AI16" s="493" t="s">
        <v>323</v>
      </c>
      <c r="AJ16" s="493" t="s">
        <v>326</v>
      </c>
      <c r="AK16" s="16"/>
      <c r="AL16" s="35"/>
      <c r="AM16" s="35"/>
      <c r="AN16" s="252"/>
      <c r="AS16" s="376" t="s">
        <v>266</v>
      </c>
      <c r="AT16" s="7" t="s">
        <v>335</v>
      </c>
      <c r="AU16" s="7">
        <v>280.39999999999998</v>
      </c>
      <c r="AV16" s="377">
        <v>879.4</v>
      </c>
      <c r="AW16" s="378">
        <v>34.700000000000003</v>
      </c>
      <c r="AX16" s="379">
        <v>7.9</v>
      </c>
      <c r="AY16" s="379">
        <v>24.7</v>
      </c>
      <c r="AZ16" s="379">
        <v>53</v>
      </c>
      <c r="BA16" s="380">
        <v>60</v>
      </c>
      <c r="BH16" s="499"/>
      <c r="BI16" s="500" t="s">
        <v>379</v>
      </c>
      <c r="BJ16" s="503">
        <v>5.1097347285067887</v>
      </c>
      <c r="BK16" s="500">
        <f>BJ16/BL111</f>
        <v>18.119626696832587</v>
      </c>
      <c r="BL16" s="500"/>
      <c r="BM16" s="500"/>
      <c r="BN16" s="500"/>
      <c r="BO16" s="500"/>
      <c r="BP16" s="268"/>
      <c r="BQ16" s="35"/>
      <c r="BR16" s="124" t="s">
        <v>279</v>
      </c>
      <c r="BS16" s="139"/>
      <c r="BT16" s="139"/>
      <c r="BU16" s="139"/>
      <c r="BV16" s="139"/>
      <c r="BW16" s="252"/>
      <c r="BZ16">
        <v>4.0999999999999996</v>
      </c>
      <c r="CA16" t="s">
        <v>296</v>
      </c>
      <c r="CB16" t="s">
        <v>300</v>
      </c>
      <c r="CC16" t="s">
        <v>127</v>
      </c>
      <c r="CD16" t="s">
        <v>301</v>
      </c>
      <c r="CE16" t="s">
        <v>560</v>
      </c>
    </row>
    <row r="17" spans="2:98" x14ac:dyDescent="0.25">
      <c r="B17" s="139" t="s">
        <v>384</v>
      </c>
      <c r="C17" s="139">
        <v>-891</v>
      </c>
      <c r="D17" s="139" t="s">
        <v>673</v>
      </c>
      <c r="E17" s="139"/>
      <c r="F17" s="139"/>
      <c r="G17" s="139"/>
      <c r="H17" s="139"/>
      <c r="I17" t="s">
        <v>173</v>
      </c>
      <c r="J17" s="563" t="s">
        <v>333</v>
      </c>
      <c r="K17" s="139">
        <f>((K8+L8)*C6)/1000</f>
        <v>0.68400000000000005</v>
      </c>
      <c r="L17" s="261">
        <f>(K17/K22)</f>
        <v>0.76853932584269669</v>
      </c>
      <c r="M17" s="35"/>
      <c r="N17" s="35"/>
      <c r="O17" s="139">
        <f>((O8+P8)*C6)/1000</f>
        <v>0.68400000000000005</v>
      </c>
      <c r="P17" s="261">
        <f>(O17/O22)</f>
        <v>0.76853932584269669</v>
      </c>
      <c r="Q17" s="16"/>
      <c r="R17" s="35"/>
      <c r="S17" s="35"/>
      <c r="T17" s="372" t="s">
        <v>333</v>
      </c>
      <c r="U17" s="139">
        <f>((U8+V8)*C6)/1000</f>
        <v>0.68400000000000005</v>
      </c>
      <c r="V17" s="261">
        <f>(U17/U22)</f>
        <v>0.77375565610859731</v>
      </c>
      <c r="W17" s="35"/>
      <c r="X17" s="35"/>
      <c r="Y17" s="139">
        <f>((Y8+Z8)*C6)/1000</f>
        <v>0.68400000000000005</v>
      </c>
      <c r="Z17" s="261">
        <f>(Y17/Y22)</f>
        <v>0.77375565610859731</v>
      </c>
      <c r="AA17" s="16"/>
      <c r="AB17" s="35"/>
      <c r="AC17" s="35"/>
      <c r="AD17" s="372" t="s">
        <v>333</v>
      </c>
      <c r="AE17" s="139">
        <f>((AE8+AF8)*C6)/1000</f>
        <v>0.61199999999999999</v>
      </c>
      <c r="AF17" s="261">
        <f>(AE17/AE22)</f>
        <v>0.75369458128078826</v>
      </c>
      <c r="AG17" s="35"/>
      <c r="AH17" s="35"/>
      <c r="AI17" s="139">
        <f>((AI8+AJ8)*C6)/1000</f>
        <v>0.61199999999999999</v>
      </c>
      <c r="AJ17" s="261">
        <f>(AI17/AI22)</f>
        <v>0.75369458128078826</v>
      </c>
      <c r="AK17" s="16"/>
      <c r="AL17" s="35"/>
      <c r="AM17" s="35"/>
      <c r="AN17" s="252"/>
      <c r="AS17" s="15" t="s">
        <v>609</v>
      </c>
      <c r="AT17" t="s">
        <v>610</v>
      </c>
      <c r="AU17">
        <v>278.39999999999998</v>
      </c>
      <c r="AV17" s="16">
        <v>873.3</v>
      </c>
      <c r="AW17" s="369">
        <v>0.3</v>
      </c>
      <c r="AX17" s="370">
        <v>0</v>
      </c>
      <c r="AY17" s="370">
        <v>7.9</v>
      </c>
      <c r="AZ17" s="370">
        <v>7</v>
      </c>
      <c r="BA17" s="371">
        <v>0.2</v>
      </c>
      <c r="BH17" s="499"/>
      <c r="BI17" s="500" t="s">
        <v>381</v>
      </c>
      <c r="BJ17" s="503">
        <v>4.8990967741935494</v>
      </c>
      <c r="BK17" s="500">
        <f>BJ17/BN111</f>
        <v>19.137096774193552</v>
      </c>
      <c r="BL17" s="500"/>
      <c r="BM17" s="500"/>
      <c r="BN17" s="500"/>
      <c r="BO17" s="500"/>
      <c r="BP17" s="268"/>
      <c r="BQ17" s="35"/>
      <c r="BR17" s="140" t="s">
        <v>483</v>
      </c>
      <c r="BS17" s="513">
        <f>FuelProd2!S86</f>
        <v>18.127943055503174</v>
      </c>
      <c r="BT17" s="513">
        <f>BQ8*BS17*BI56</f>
        <v>7560.2300545344096</v>
      </c>
      <c r="BU17" s="513">
        <f>BS17/((BN100+BM100+BL100+BK100+BJ100+BI100+BV100+BW100+BU100+BO100+BP100)/11)</f>
        <v>94.77536768561545</v>
      </c>
      <c r="BV17" s="513" t="e">
        <f>BU17*BQ7*((BQ33+BQ32+BQ31+BQ31+BQ30+BQ30+BQ41+BQ42+BQ40+BQ34+BQ35)/11)</f>
        <v>#REF!</v>
      </c>
      <c r="BW17" s="252"/>
      <c r="BZ17">
        <v>2021</v>
      </c>
      <c r="CA17">
        <f>FuelProd1!D38</f>
        <v>21.388888888888889</v>
      </c>
      <c r="CB17">
        <f>FuelProd1!D39</f>
        <v>72.61444444</v>
      </c>
      <c r="CC17">
        <f>FuelProd1!D40</f>
        <v>107.2747222</v>
      </c>
      <c r="CD17">
        <f>FuelProd1!D41</f>
        <v>12.19444444</v>
      </c>
    </row>
    <row r="18" spans="2:98" x14ac:dyDescent="0.25">
      <c r="B18" s="139" t="s">
        <v>471</v>
      </c>
      <c r="C18" s="139">
        <v>-505.4</v>
      </c>
      <c r="D18" s="139" t="s">
        <v>678</v>
      </c>
      <c r="E18" s="139"/>
      <c r="F18" s="139"/>
      <c r="G18" s="139"/>
      <c r="H18" s="139"/>
      <c r="I18" t="s">
        <v>173</v>
      </c>
      <c r="J18" s="563" t="s">
        <v>328</v>
      </c>
      <c r="K18" s="139">
        <f>((K9+L9)*C4)/1000</f>
        <v>0.11</v>
      </c>
      <c r="L18" s="261">
        <f>(K18/K22)</f>
        <v>0.12359550561797752</v>
      </c>
      <c r="M18" s="35"/>
      <c r="N18" s="35"/>
      <c r="O18" s="139">
        <f>((O9+P9)*C4)/1000</f>
        <v>0.11</v>
      </c>
      <c r="P18" s="261">
        <f>(O18/O22)</f>
        <v>0.12359550561797752</v>
      </c>
      <c r="Q18" s="16"/>
      <c r="R18" s="35"/>
      <c r="S18" s="35"/>
      <c r="T18" s="372" t="s">
        <v>328</v>
      </c>
      <c r="U18" s="139">
        <f>((U9+V9)*C4)/1000</f>
        <v>0.104</v>
      </c>
      <c r="V18" s="261">
        <f>(U18/U22)</f>
        <v>0.11764705882352941</v>
      </c>
      <c r="W18" s="35"/>
      <c r="X18" s="35"/>
      <c r="Y18" s="139">
        <f>((Y9+Z9)*C4)/1000</f>
        <v>0.104</v>
      </c>
      <c r="Z18" s="261">
        <f>(Y18/Y22)</f>
        <v>0.11764705882352941</v>
      </c>
      <c r="AA18" s="16"/>
      <c r="AB18" s="35"/>
      <c r="AC18" s="35"/>
      <c r="AD18" s="372" t="s">
        <v>328</v>
      </c>
      <c r="AE18" s="139">
        <f>((AE9+AF9)*C4)/1000</f>
        <v>0.104</v>
      </c>
      <c r="AF18" s="261">
        <f>(AE18/AE22)</f>
        <v>0.12807881773399016</v>
      </c>
      <c r="AG18" s="35"/>
      <c r="AH18" s="35"/>
      <c r="AI18" s="139">
        <f>((AI9+AJ9)*C4)/1000</f>
        <v>0.104</v>
      </c>
      <c r="AJ18" s="261">
        <f>(AI18/AI22)</f>
        <v>0.12807881773399016</v>
      </c>
      <c r="AK18" s="16"/>
      <c r="AL18" s="35"/>
      <c r="AM18" s="35"/>
      <c r="AN18" s="252"/>
      <c r="AS18" s="15" t="s">
        <v>616</v>
      </c>
      <c r="AT18" t="s">
        <v>617</v>
      </c>
      <c r="AU18">
        <v>312.5</v>
      </c>
      <c r="AV18" s="16">
        <v>975.6</v>
      </c>
      <c r="AW18" s="369">
        <v>0</v>
      </c>
      <c r="AX18" s="370">
        <v>0</v>
      </c>
      <c r="AY18" s="370">
        <v>0.2</v>
      </c>
      <c r="AZ18" s="370">
        <v>0</v>
      </c>
      <c r="BA18" s="371">
        <v>0.3</v>
      </c>
      <c r="BH18" s="499"/>
      <c r="BI18" s="500" t="s">
        <v>384</v>
      </c>
      <c r="BJ18" s="503">
        <v>61.420022026613339</v>
      </c>
      <c r="BK18" s="500">
        <f>BJ18/BO111</f>
        <v>216.2676831923005</v>
      </c>
      <c r="BL18" s="500"/>
      <c r="BM18" s="500"/>
      <c r="BN18" s="500"/>
      <c r="BO18" s="500"/>
      <c r="BP18" s="268"/>
      <c r="BQ18" s="35"/>
      <c r="BR18" s="140" t="s">
        <v>278</v>
      </c>
      <c r="BS18" s="513">
        <f>FuelProd2!S87</f>
        <v>18.127943055503174</v>
      </c>
      <c r="BT18" s="139"/>
      <c r="BU18" s="139"/>
      <c r="BV18" s="139"/>
      <c r="BW18" s="252"/>
      <c r="CA18">
        <v>42.403055559999999</v>
      </c>
      <c r="CB18">
        <v>72.61444444</v>
      </c>
      <c r="CC18" s="29">
        <v>107.2747222</v>
      </c>
      <c r="CD18">
        <v>12.19444444</v>
      </c>
      <c r="CE18" s="35"/>
      <c r="CF18" s="35"/>
      <c r="CG18" s="35"/>
      <c r="CH18" s="35"/>
    </row>
    <row r="19" spans="2:98" x14ac:dyDescent="0.25">
      <c r="B19" s="139" t="s">
        <v>478</v>
      </c>
      <c r="C19" s="139">
        <f>C18+125.9</f>
        <v>-379.5</v>
      </c>
      <c r="D19" s="139" t="s">
        <v>681</v>
      </c>
      <c r="E19" s="139"/>
      <c r="F19" s="139"/>
      <c r="G19" s="139"/>
      <c r="H19" s="139"/>
      <c r="I19" t="s">
        <v>173</v>
      </c>
      <c r="J19" s="563" t="s">
        <v>342</v>
      </c>
      <c r="K19" s="139">
        <f>((K10+L10)*C5)/1000</f>
        <v>9.6000000000000002E-2</v>
      </c>
      <c r="L19" s="261">
        <f>(K19/K22)</f>
        <v>0.10786516853932585</v>
      </c>
      <c r="M19" s="35"/>
      <c r="N19" s="35"/>
      <c r="O19" s="139">
        <f>((O10+P10)*C5)/1000</f>
        <v>9.6000000000000002E-2</v>
      </c>
      <c r="P19" s="261">
        <f>(O19/O22)</f>
        <v>0.10786516853932585</v>
      </c>
      <c r="Q19" s="16"/>
      <c r="R19" s="35"/>
      <c r="S19" s="35"/>
      <c r="T19" s="372" t="s">
        <v>342</v>
      </c>
      <c r="U19" s="139">
        <f>((U10+V10)*C5)/1000</f>
        <v>9.6000000000000002E-2</v>
      </c>
      <c r="V19" s="261">
        <f>(U19/U22)</f>
        <v>0.10859728506787331</v>
      </c>
      <c r="W19" s="35"/>
      <c r="X19" s="35"/>
      <c r="Y19" s="139">
        <f>((Y10+Z10)*C5)/1000</f>
        <v>9.6000000000000002E-2</v>
      </c>
      <c r="Z19" s="261">
        <f>(Y19/Y22)</f>
        <v>0.10859728506787331</v>
      </c>
      <c r="AA19" s="16"/>
      <c r="AB19" s="35"/>
      <c r="AC19" s="35"/>
      <c r="AD19" s="372" t="s">
        <v>342</v>
      </c>
      <c r="AE19" s="139">
        <f>((AE10+AF10)*C5)/1000</f>
        <v>9.6000000000000002E-2</v>
      </c>
      <c r="AF19" s="261">
        <f>(AE19/AE22)</f>
        <v>0.11822660098522168</v>
      </c>
      <c r="AG19" s="35"/>
      <c r="AH19" s="35"/>
      <c r="AI19" s="139">
        <f>((AI10+AJ10)*C5)/1000</f>
        <v>9.6000000000000002E-2</v>
      </c>
      <c r="AJ19" s="261">
        <f>(AI19/AI22)</f>
        <v>0.11822660098522168</v>
      </c>
      <c r="AK19" s="16"/>
      <c r="AL19" s="35"/>
      <c r="AM19" s="35"/>
      <c r="AN19" s="252"/>
      <c r="AS19" s="15" t="s">
        <v>620</v>
      </c>
      <c r="AT19" t="s">
        <v>621</v>
      </c>
      <c r="AU19">
        <v>310.5</v>
      </c>
      <c r="AV19" s="16">
        <v>969.6</v>
      </c>
      <c r="AW19" s="369">
        <v>0.2</v>
      </c>
      <c r="AX19" s="370">
        <v>0</v>
      </c>
      <c r="AY19" s="370">
        <v>1</v>
      </c>
      <c r="AZ19" s="370">
        <v>0</v>
      </c>
      <c r="BA19" s="371">
        <v>0</v>
      </c>
      <c r="BH19" s="499"/>
      <c r="BI19" s="500"/>
      <c r="BJ19" s="500" t="s">
        <v>278</v>
      </c>
      <c r="BK19" s="500">
        <f>SUM(BK16:BK18)</f>
        <v>253.52440666332663</v>
      </c>
      <c r="BL19" s="500"/>
      <c r="BM19" s="500" t="s">
        <v>679</v>
      </c>
      <c r="BN19" s="500">
        <f>BK19*(SUM(BJ7:BJ9))</f>
        <v>18583.339008421837</v>
      </c>
      <c r="BO19" s="500"/>
      <c r="BP19" s="268"/>
      <c r="BQ19" s="35"/>
      <c r="BR19" s="140" t="s">
        <v>283</v>
      </c>
      <c r="BS19" s="513">
        <f>FuelProd2!S88</f>
        <v>83.285688376453891</v>
      </c>
      <c r="BT19" s="139"/>
      <c r="BU19" s="139"/>
      <c r="BV19" s="139"/>
      <c r="BW19" s="252"/>
      <c r="BZ19">
        <v>4.0999999999999996</v>
      </c>
      <c r="CA19" t="s">
        <v>582</v>
      </c>
      <c r="CC19" s="29"/>
      <c r="CE19" s="35"/>
      <c r="CF19" s="35"/>
      <c r="CG19" s="35"/>
      <c r="CH19" s="35"/>
    </row>
    <row r="20" spans="2:98" ht="15" customHeight="1" x14ac:dyDescent="0.25">
      <c r="B20" s="139" t="s">
        <v>467</v>
      </c>
      <c r="C20" s="139">
        <v>-479.5</v>
      </c>
      <c r="D20" s="139" t="s">
        <v>683</v>
      </c>
      <c r="E20" s="139"/>
      <c r="F20" s="139"/>
      <c r="G20" s="139"/>
      <c r="H20" s="139"/>
      <c r="I20" t="s">
        <v>173</v>
      </c>
      <c r="J20" s="563" t="s">
        <v>338</v>
      </c>
      <c r="K20" s="139">
        <v>0</v>
      </c>
      <c r="L20" s="261">
        <f>(K20/K22)</f>
        <v>0</v>
      </c>
      <c r="M20" s="35"/>
      <c r="N20" s="35"/>
      <c r="O20" s="139">
        <v>0</v>
      </c>
      <c r="P20" s="261">
        <f>(O20/O22)</f>
        <v>0</v>
      </c>
      <c r="Q20" s="16"/>
      <c r="R20" s="35"/>
      <c r="S20" s="35"/>
      <c r="T20" s="372" t="s">
        <v>338</v>
      </c>
      <c r="U20" s="139">
        <v>0</v>
      </c>
      <c r="V20" s="261">
        <f>(U20/U22)</f>
        <v>0</v>
      </c>
      <c r="W20" s="35"/>
      <c r="X20" s="35"/>
      <c r="Y20" s="139">
        <v>0</v>
      </c>
      <c r="Z20" s="261">
        <f>(Y20/Y22)</f>
        <v>0</v>
      </c>
      <c r="AA20" s="16"/>
      <c r="AB20" s="35"/>
      <c r="AC20" s="35"/>
      <c r="AD20" s="372" t="s">
        <v>338</v>
      </c>
      <c r="AE20" s="139">
        <v>0</v>
      </c>
      <c r="AF20" s="261">
        <f>(AE20/AE22)</f>
        <v>0</v>
      </c>
      <c r="AG20" s="35"/>
      <c r="AH20" s="35"/>
      <c r="AI20" s="139">
        <v>0</v>
      </c>
      <c r="AJ20" s="261">
        <f>(AI20/AI22)</f>
        <v>0</v>
      </c>
      <c r="AK20" s="16"/>
      <c r="AL20" s="35"/>
      <c r="AM20" s="35"/>
      <c r="AN20" s="252"/>
      <c r="AS20" s="15" t="s">
        <v>628</v>
      </c>
      <c r="AT20" t="s">
        <v>629</v>
      </c>
      <c r="AU20">
        <v>340.6</v>
      </c>
      <c r="AV20" s="16">
        <v>1059.8</v>
      </c>
      <c r="AW20" s="369">
        <v>0</v>
      </c>
      <c r="AX20" s="370">
        <v>0</v>
      </c>
      <c r="AY20" s="370">
        <v>0.2</v>
      </c>
      <c r="AZ20" s="370">
        <v>0</v>
      </c>
      <c r="BA20" s="371">
        <v>0</v>
      </c>
      <c r="BH20" s="499"/>
      <c r="BI20" s="500"/>
      <c r="BJ20" s="500"/>
      <c r="BK20" s="500"/>
      <c r="BL20" s="500"/>
      <c r="BM20" s="500"/>
      <c r="BN20" s="500"/>
      <c r="BO20" s="500"/>
      <c r="BP20" s="268"/>
      <c r="BQ20" s="35"/>
      <c r="BR20" s="139"/>
      <c r="BS20" s="139"/>
      <c r="BT20" s="139"/>
      <c r="BU20" s="139"/>
      <c r="BV20" s="139"/>
      <c r="BW20" s="252"/>
      <c r="BZ20">
        <v>4.2</v>
      </c>
      <c r="CA20" t="s">
        <v>550</v>
      </c>
      <c r="CC20" t="s">
        <v>585</v>
      </c>
    </row>
    <row r="21" spans="2:98" ht="15" customHeight="1" x14ac:dyDescent="0.25">
      <c r="B21" s="139" t="s">
        <v>468</v>
      </c>
      <c r="C21" s="139">
        <f>C20+124.1</f>
        <v>-355.4</v>
      </c>
      <c r="D21" s="139" t="s">
        <v>685</v>
      </c>
      <c r="E21" s="139"/>
      <c r="F21" s="139"/>
      <c r="G21" s="139"/>
      <c r="H21" s="139"/>
      <c r="I21" t="s">
        <v>173</v>
      </c>
      <c r="J21" s="564" t="s">
        <v>344</v>
      </c>
      <c r="K21" s="226">
        <v>0</v>
      </c>
      <c r="L21" s="261">
        <f>(K21/K22)</f>
        <v>0</v>
      </c>
      <c r="M21" s="35"/>
      <c r="N21" s="35"/>
      <c r="O21" s="226">
        <v>0</v>
      </c>
      <c r="P21" s="261">
        <f>(O21/O22)</f>
        <v>0</v>
      </c>
      <c r="Q21" s="16"/>
      <c r="R21" s="35"/>
      <c r="S21" s="35"/>
      <c r="T21" s="375" t="s">
        <v>344</v>
      </c>
      <c r="U21" s="226">
        <v>0</v>
      </c>
      <c r="V21" s="261">
        <f>(U21/U22)</f>
        <v>0</v>
      </c>
      <c r="W21" s="35"/>
      <c r="X21" s="35"/>
      <c r="Y21" s="226">
        <v>0</v>
      </c>
      <c r="Z21" s="261">
        <f>(Y21/Y22)</f>
        <v>0</v>
      </c>
      <c r="AA21" s="16"/>
      <c r="AB21" s="35"/>
      <c r="AC21" s="35"/>
      <c r="AD21" s="375" t="s">
        <v>344</v>
      </c>
      <c r="AE21" s="226">
        <v>0</v>
      </c>
      <c r="AF21" s="261">
        <f>(AE21/AE22)</f>
        <v>0</v>
      </c>
      <c r="AG21" s="35"/>
      <c r="AH21" s="35"/>
      <c r="AI21" s="226">
        <v>0</v>
      </c>
      <c r="AJ21" s="261">
        <f>(AI21/AI22)</f>
        <v>0</v>
      </c>
      <c r="AK21" s="16"/>
      <c r="AL21" s="35"/>
      <c r="AM21" s="35"/>
      <c r="AN21" s="252"/>
      <c r="AS21" s="13" t="s">
        <v>635</v>
      </c>
      <c r="AT21" s="11" t="s">
        <v>636</v>
      </c>
      <c r="AU21" s="11">
        <v>338.6</v>
      </c>
      <c r="AV21" s="14">
        <v>1053.8</v>
      </c>
      <c r="AW21" s="383">
        <v>0</v>
      </c>
      <c r="AX21" s="384">
        <v>0</v>
      </c>
      <c r="AY21" s="384">
        <v>0.2</v>
      </c>
      <c r="AZ21" s="384">
        <v>0</v>
      </c>
      <c r="BA21" s="385">
        <v>0</v>
      </c>
      <c r="BH21" s="499"/>
      <c r="BI21" s="500"/>
      <c r="BJ21" s="500"/>
      <c r="BK21" s="500"/>
      <c r="BL21" s="500"/>
      <c r="BM21" s="500" t="s">
        <v>693</v>
      </c>
      <c r="BN21" s="500">
        <f>BN15+BN19</f>
        <v>59524.397600802651</v>
      </c>
      <c r="BO21" s="500" t="s">
        <v>694</v>
      </c>
      <c r="BP21" s="268"/>
      <c r="BQ21" s="35"/>
      <c r="BR21" s="139" t="s">
        <v>748</v>
      </c>
      <c r="BS21" s="139"/>
      <c r="BT21" s="513">
        <f>SUM(BT9:BT19)</f>
        <v>34734.164954534419</v>
      </c>
      <c r="BU21" s="139"/>
      <c r="BV21" s="513" t="e">
        <f>SUM(BV9:BV19)/1000</f>
        <v>#REF!</v>
      </c>
      <c r="BW21" s="252"/>
      <c r="CC21" t="s">
        <v>590</v>
      </c>
    </row>
    <row r="22" spans="2:98" ht="15.75" thickBot="1" x14ac:dyDescent="0.3">
      <c r="B22" s="139" t="s">
        <v>476</v>
      </c>
      <c r="C22" s="139">
        <v>-456.3</v>
      </c>
      <c r="D22" s="139" t="s">
        <v>687</v>
      </c>
      <c r="E22" s="139"/>
      <c r="F22" s="139"/>
      <c r="G22" s="139"/>
      <c r="H22" s="139"/>
      <c r="I22" t="s">
        <v>173</v>
      </c>
      <c r="J22" s="563" t="s">
        <v>278</v>
      </c>
      <c r="K22" s="139">
        <f>K17+K18+K19+K20+K21</f>
        <v>0.89</v>
      </c>
      <c r="L22" s="139"/>
      <c r="M22" s="35"/>
      <c r="N22" s="35"/>
      <c r="O22" s="139">
        <f>O17+O18+O19+O20+O21</f>
        <v>0.89</v>
      </c>
      <c r="P22" s="139"/>
      <c r="Q22" s="16"/>
      <c r="R22" s="35"/>
      <c r="S22" s="35"/>
      <c r="T22" s="372" t="s">
        <v>278</v>
      </c>
      <c r="U22" s="139">
        <f>U17+U18+U19+U20+U21</f>
        <v>0.88400000000000001</v>
      </c>
      <c r="V22" s="139"/>
      <c r="W22" s="35"/>
      <c r="X22" s="35"/>
      <c r="Y22" s="139">
        <f>Y17+Y18+Y19+Y20+Y21</f>
        <v>0.88400000000000001</v>
      </c>
      <c r="Z22" s="139"/>
      <c r="AA22" s="16"/>
      <c r="AB22" s="35"/>
      <c r="AC22" s="35"/>
      <c r="AD22" s="372" t="s">
        <v>278</v>
      </c>
      <c r="AE22" s="139">
        <f>AE17+AE18+AE19+AE20+AE21</f>
        <v>0.81199999999999994</v>
      </c>
      <c r="AF22" s="139"/>
      <c r="AG22" s="35"/>
      <c r="AH22" s="35"/>
      <c r="AI22" s="139">
        <f>AI17+AI18+AI19+AI20+AI21</f>
        <v>0.81199999999999994</v>
      </c>
      <c r="AJ22" s="139"/>
      <c r="AK22" s="16"/>
      <c r="AL22" s="35"/>
      <c r="AM22" s="35"/>
      <c r="AN22" s="252"/>
      <c r="BH22" s="504" t="s">
        <v>697</v>
      </c>
      <c r="BI22" s="505"/>
      <c r="BJ22" s="505"/>
      <c r="BK22" s="505"/>
      <c r="BL22" s="505"/>
      <c r="BM22" s="505"/>
      <c r="BN22" s="505"/>
      <c r="BO22" s="505"/>
      <c r="BP22" s="268"/>
      <c r="BQ22" s="35"/>
      <c r="BR22" s="139"/>
      <c r="BS22" s="139"/>
      <c r="BT22" s="139"/>
      <c r="BU22" s="139"/>
      <c r="BV22" s="139"/>
      <c r="BW22" s="252"/>
      <c r="CC22" t="s">
        <v>593</v>
      </c>
    </row>
    <row r="23" spans="2:98" ht="16.5" thickBot="1" x14ac:dyDescent="0.3">
      <c r="B23" s="139" t="s">
        <v>474</v>
      </c>
      <c r="C23" s="139">
        <v>-428.8</v>
      </c>
      <c r="D23" s="139" t="s">
        <v>689</v>
      </c>
      <c r="E23" s="139"/>
      <c r="F23" s="139"/>
      <c r="G23" s="139"/>
      <c r="H23" s="139"/>
      <c r="I23" t="s">
        <v>173</v>
      </c>
      <c r="J23" s="565" t="s">
        <v>173</v>
      </c>
      <c r="K23" s="35"/>
      <c r="L23" s="14"/>
      <c r="M23" s="11"/>
      <c r="N23" s="11"/>
      <c r="O23" s="13"/>
      <c r="P23" s="14"/>
      <c r="Q23" s="14"/>
      <c r="R23" s="35"/>
      <c r="S23" s="35"/>
      <c r="T23" s="13"/>
      <c r="U23" s="35"/>
      <c r="V23" s="35"/>
      <c r="W23" s="11"/>
      <c r="X23" s="11"/>
      <c r="Y23" s="13"/>
      <c r="Z23" s="14"/>
      <c r="AA23" s="14"/>
      <c r="AB23" s="35"/>
      <c r="AC23" s="35"/>
      <c r="AD23" s="13"/>
      <c r="AE23" s="35"/>
      <c r="AF23" s="35"/>
      <c r="AG23" s="11"/>
      <c r="AH23" s="11"/>
      <c r="AI23" s="13"/>
      <c r="AJ23" s="14"/>
      <c r="AK23" s="14"/>
      <c r="AL23" s="35"/>
      <c r="AM23" s="35"/>
      <c r="AN23" s="252"/>
      <c r="AS23" s="7"/>
      <c r="AT23" t="s">
        <v>648</v>
      </c>
      <c r="AV23" s="128" t="s">
        <v>649</v>
      </c>
      <c r="AW23" s="387">
        <f>(AW8+AW10+AW15+AW16)/SUM(AW5:AW21)</f>
        <v>0.98599999999999999</v>
      </c>
      <c r="AX23" s="388">
        <f>(AX8+AX10+AX15+AX16)/SUM(AX5:AX21)</f>
        <v>0.97499999999999998</v>
      </c>
      <c r="AY23" s="388">
        <f>(AY8+AY10+AY15+AY16)/SUM(AY5:AY21)</f>
        <v>0.8979999999999998</v>
      </c>
      <c r="AZ23" s="388">
        <f>(AZ8+AZ10+AZ15+AZ16)/SUM(AZ5:AZ21)</f>
        <v>0.93</v>
      </c>
      <c r="BA23" s="389">
        <f>(BA8+BA10+BA15+BA16)/SUM(BA5:BA21)</f>
        <v>0.99299999999999999</v>
      </c>
      <c r="BE23" s="1070" t="s">
        <v>340</v>
      </c>
      <c r="BF23" s="1190"/>
      <c r="BG23" s="1071"/>
      <c r="BH23" s="1212" t="s">
        <v>990</v>
      </c>
      <c r="BI23" s="1213"/>
      <c r="BJ23" s="1213"/>
      <c r="BK23" s="1213"/>
      <c r="BL23" s="1213"/>
      <c r="BM23" s="1213"/>
      <c r="BN23" s="1213"/>
      <c r="BO23" s="1213"/>
      <c r="BP23" s="268"/>
      <c r="BQ23" s="35"/>
      <c r="BR23" s="226" t="s">
        <v>1022</v>
      </c>
      <c r="BS23" s="226"/>
      <c r="BT23" s="226"/>
      <c r="BU23" s="226"/>
      <c r="BV23" s="521" t="e">
        <f>BT21+BV21</f>
        <v>#REF!</v>
      </c>
      <c r="BW23" s="252"/>
      <c r="CD23" t="s">
        <v>596</v>
      </c>
    </row>
    <row r="24" spans="2:98" ht="16.5" thickBot="1" x14ac:dyDescent="0.3">
      <c r="B24" s="139" t="s">
        <v>274</v>
      </c>
      <c r="C24" s="139">
        <v>-393.51</v>
      </c>
      <c r="D24" s="139" t="s">
        <v>691</v>
      </c>
      <c r="E24" s="139"/>
      <c r="F24" s="139"/>
      <c r="G24" s="139"/>
      <c r="H24" s="139"/>
      <c r="I24" t="s">
        <v>173</v>
      </c>
      <c r="J24" s="268"/>
      <c r="K24" s="35"/>
      <c r="L24" s="35"/>
      <c r="M24" s="13" t="s">
        <v>653</v>
      </c>
      <c r="N24" s="35">
        <f>(O6*C25+P6*C15)-(K6*C11+L6*C26)</f>
        <v>-205.39999999999964</v>
      </c>
      <c r="O24" s="35"/>
      <c r="P24" s="35"/>
      <c r="Q24" s="35"/>
      <c r="R24" s="35"/>
      <c r="S24" s="35"/>
      <c r="T24" s="35"/>
      <c r="U24" s="35"/>
      <c r="V24" s="35"/>
      <c r="W24" s="13" t="s">
        <v>336</v>
      </c>
      <c r="X24" s="35">
        <f>(Y6*C25+Z6*C16)-(U6*C12+V6*C26)</f>
        <v>-128.70000000000027</v>
      </c>
      <c r="Y24" s="35"/>
      <c r="Z24" s="35"/>
      <c r="AA24" s="35"/>
      <c r="AB24" s="35"/>
      <c r="AC24" s="35"/>
      <c r="AD24" s="35"/>
      <c r="AE24" s="35"/>
      <c r="AF24" s="35"/>
      <c r="AG24" s="13" t="s">
        <v>336</v>
      </c>
      <c r="AH24" s="35">
        <f>(AI6*C25+AJ6*C14)-(AE6*C13+AF6*C26)</f>
        <v>-181.19999999999982</v>
      </c>
      <c r="AI24" s="35"/>
      <c r="AJ24" s="35"/>
      <c r="AK24" s="35"/>
      <c r="AL24" s="35"/>
      <c r="AM24" s="35"/>
      <c r="AN24" s="252"/>
      <c r="BE24" s="268" t="s">
        <v>1409</v>
      </c>
      <c r="BF24" s="35"/>
      <c r="BG24" s="252"/>
      <c r="BH24" s="401" t="s">
        <v>714</v>
      </c>
      <c r="BI24" s="510">
        <f>'Fuel Production'!C106</f>
        <v>25</v>
      </c>
      <c r="BJ24" s="353" t="s">
        <v>333</v>
      </c>
      <c r="BK24" s="245"/>
      <c r="BL24" s="245"/>
      <c r="BM24" s="139" t="s">
        <v>660</v>
      </c>
      <c r="BN24" s="139" t="s">
        <v>336</v>
      </c>
      <c r="BO24" s="518" t="s">
        <v>991</v>
      </c>
      <c r="BP24" s="1179" t="s">
        <v>1192</v>
      </c>
      <c r="BQ24" s="1180"/>
      <c r="BR24" s="1180"/>
      <c r="BS24" s="1180"/>
      <c r="BT24" s="1180"/>
      <c r="BU24" s="1180"/>
      <c r="BV24" s="1180"/>
      <c r="BW24" s="1181"/>
      <c r="BZ24">
        <v>4.3</v>
      </c>
      <c r="CA24" t="s">
        <v>604</v>
      </c>
    </row>
    <row r="25" spans="2:98" ht="15.75" thickBot="1" x14ac:dyDescent="0.3">
      <c r="B25" s="139" t="s">
        <v>270</v>
      </c>
      <c r="C25" s="139">
        <v>-104.7</v>
      </c>
      <c r="D25" s="139" t="s">
        <v>695</v>
      </c>
      <c r="E25" s="139"/>
      <c r="F25" s="139"/>
      <c r="G25" s="139"/>
      <c r="H25" s="139"/>
      <c r="I25" t="s">
        <v>173</v>
      </c>
      <c r="J25" s="268"/>
      <c r="K25" s="35"/>
      <c r="L25" s="35"/>
      <c r="M25" s="35" t="s">
        <v>336</v>
      </c>
      <c r="N25" s="35">
        <f>N24*K12</f>
        <v>-6028.3505882352829</v>
      </c>
      <c r="O25" s="35"/>
      <c r="P25" s="35"/>
      <c r="Q25" s="35"/>
      <c r="R25" s="35"/>
      <c r="S25" s="35"/>
      <c r="T25" s="35"/>
      <c r="U25" s="35"/>
      <c r="V25" s="35"/>
      <c r="W25" s="35"/>
      <c r="X25" s="35">
        <f>X24*U12</f>
        <v>-6956.8359908883958</v>
      </c>
      <c r="Y25" s="35"/>
      <c r="Z25" s="35"/>
      <c r="AA25" s="35"/>
      <c r="AB25" s="35"/>
      <c r="AC25" s="35"/>
      <c r="AD25" s="35"/>
      <c r="AE25" s="35"/>
      <c r="AF25" s="35"/>
      <c r="AG25" s="35"/>
      <c r="AH25" s="35">
        <f>AH24*AE12</f>
        <v>-1155.8806451612891</v>
      </c>
      <c r="AI25" s="35"/>
      <c r="AJ25" s="35"/>
      <c r="AK25" s="35"/>
      <c r="AL25" s="35"/>
      <c r="AM25" s="35"/>
      <c r="AN25" s="252"/>
      <c r="BE25" s="401" t="s">
        <v>714</v>
      </c>
      <c r="BF25" s="510">
        <v>25</v>
      </c>
      <c r="BG25" s="484" t="s">
        <v>333</v>
      </c>
      <c r="BH25" s="232" t="s">
        <v>717</v>
      </c>
      <c r="BI25" s="138">
        <f>'Fuel Production'!C107</f>
        <v>420</v>
      </c>
      <c r="BJ25" s="498" t="s">
        <v>333</v>
      </c>
      <c r="BK25" s="35"/>
      <c r="BL25" s="35"/>
      <c r="BM25" s="139" t="s">
        <v>332</v>
      </c>
      <c r="BN25" s="513">
        <f>(BI25-BI24)*BJ31*BK31</f>
        <v>21828.657479999998</v>
      </c>
      <c r="BO25" s="35"/>
      <c r="BP25" s="673" t="s">
        <v>611</v>
      </c>
      <c r="BQ25" s="675" t="s">
        <v>612</v>
      </c>
      <c r="BR25" s="510">
        <f>'Fuel Production'!C222</f>
        <v>420</v>
      </c>
      <c r="BS25" s="675" t="s">
        <v>613</v>
      </c>
      <c r="BT25" s="510">
        <f>'Fuel Production'!C241</f>
        <v>0</v>
      </c>
      <c r="BU25" s="675" t="s">
        <v>736</v>
      </c>
      <c r="BV25" s="675">
        <f>CN44</f>
        <v>4.0087398373773064</v>
      </c>
      <c r="BW25" s="676" t="s">
        <v>1010</v>
      </c>
      <c r="CA25" t="s">
        <v>606</v>
      </c>
    </row>
    <row r="26" spans="2:98" ht="15.75" thickBot="1" x14ac:dyDescent="0.3">
      <c r="B26" s="139" t="s">
        <v>376</v>
      </c>
      <c r="C26" s="139">
        <v>0</v>
      </c>
      <c r="D26" s="139" t="s">
        <v>698</v>
      </c>
      <c r="E26" s="139"/>
      <c r="F26" s="139"/>
      <c r="G26" s="139"/>
      <c r="H26" s="139"/>
      <c r="I26" t="s">
        <v>173</v>
      </c>
      <c r="J26" s="268"/>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252"/>
      <c r="BE26" s="232" t="s">
        <v>717</v>
      </c>
      <c r="BF26" s="510">
        <f>'Fuel Production'!C83</f>
        <v>35</v>
      </c>
      <c r="BG26" s="311" t="s">
        <v>333</v>
      </c>
      <c r="BH26" s="232"/>
      <c r="BI26" s="138"/>
      <c r="BJ26" s="35"/>
      <c r="BK26" s="35"/>
      <c r="BL26" s="35"/>
      <c r="BM26" s="139" t="s">
        <v>341</v>
      </c>
      <c r="BN26" s="513">
        <f>(BI25-BI24)*BJ32*BK32</f>
        <v>38430.734999999986</v>
      </c>
      <c r="BO26" s="35"/>
      <c r="BP26" s="674" t="s">
        <v>618</v>
      </c>
      <c r="BQ26" s="672" t="s">
        <v>612</v>
      </c>
      <c r="BR26" s="138">
        <f>'Fuel Production'!C249</f>
        <v>420</v>
      </c>
      <c r="BS26" s="672" t="s">
        <v>613</v>
      </c>
      <c r="BT26" s="138">
        <f>'Fuel Production'!C250</f>
        <v>0</v>
      </c>
      <c r="BU26" s="672" t="s">
        <v>736</v>
      </c>
      <c r="BV26" s="672">
        <f>CN45</f>
        <v>2.4665453308942062</v>
      </c>
      <c r="BW26" s="671"/>
      <c r="CA26" t="s">
        <v>607</v>
      </c>
    </row>
    <row r="27" spans="2:98" ht="19.5" thickBot="1" x14ac:dyDescent="0.3">
      <c r="B27" s="139" t="s">
        <v>268</v>
      </c>
      <c r="C27" s="139">
        <v>-285.83</v>
      </c>
      <c r="D27" s="139" t="s">
        <v>704</v>
      </c>
      <c r="E27" s="139"/>
      <c r="F27" s="139"/>
      <c r="G27" s="139"/>
      <c r="H27" s="139"/>
      <c r="I27" t="s">
        <v>173</v>
      </c>
      <c r="J27" s="547">
        <v>4</v>
      </c>
      <c r="K27" s="1201" t="s">
        <v>664</v>
      </c>
      <c r="L27" s="1201"/>
      <c r="M27" s="1201"/>
      <c r="N27" s="1201"/>
      <c r="O27" s="1201"/>
      <c r="P27" s="1201"/>
      <c r="Q27" s="1201"/>
      <c r="R27" s="35"/>
      <c r="S27" s="35"/>
      <c r="T27" s="365">
        <v>5</v>
      </c>
      <c r="U27" s="982" t="s">
        <v>664</v>
      </c>
      <c r="V27" s="982"/>
      <c r="W27" s="982"/>
      <c r="X27" s="982"/>
      <c r="Y27" s="982"/>
      <c r="Z27" s="982"/>
      <c r="AA27" s="982"/>
      <c r="AB27" s="35"/>
      <c r="AC27" s="35"/>
      <c r="AD27" s="35"/>
      <c r="AE27" s="35"/>
      <c r="AF27" s="35"/>
      <c r="AG27" s="35"/>
      <c r="AH27" s="35"/>
      <c r="AI27" s="35"/>
      <c r="AJ27" s="35"/>
      <c r="AK27" s="35"/>
      <c r="AL27" s="35"/>
      <c r="AM27" s="35"/>
      <c r="AN27" s="252"/>
      <c r="BE27" s="771" t="s">
        <v>1410</v>
      </c>
      <c r="BF27" s="35"/>
      <c r="BG27" s="252"/>
      <c r="BH27" s="232" t="s">
        <v>1144</v>
      </c>
      <c r="BI27" s="138">
        <f>'Fuel Production'!C133</f>
        <v>400</v>
      </c>
      <c r="BJ27" s="35" t="s">
        <v>333</v>
      </c>
      <c r="BK27" s="35"/>
      <c r="BL27" s="35"/>
      <c r="BM27" s="139" t="s">
        <v>337</v>
      </c>
      <c r="BN27" s="513">
        <f>(BI25-BI24)*BJ33*BK33</f>
        <v>4427.3456500000002</v>
      </c>
      <c r="BO27" s="35"/>
      <c r="BP27" s="670"/>
      <c r="BQ27" s="659"/>
      <c r="BR27" s="659"/>
      <c r="BS27" s="659"/>
      <c r="BT27" s="659"/>
      <c r="BU27" s="659"/>
      <c r="BV27" s="659"/>
      <c r="BW27" s="671"/>
      <c r="CA27" t="s">
        <v>614</v>
      </c>
    </row>
    <row r="28" spans="2:98" x14ac:dyDescent="0.25">
      <c r="B28" s="139" t="s">
        <v>276</v>
      </c>
      <c r="C28" s="139">
        <v>-110.53</v>
      </c>
      <c r="D28" s="139" t="s">
        <v>713</v>
      </c>
      <c r="E28" s="139"/>
      <c r="F28" s="139"/>
      <c r="G28" s="139"/>
      <c r="H28" s="139"/>
      <c r="I28" t="s">
        <v>173</v>
      </c>
      <c r="J28" s="563" t="s">
        <v>668</v>
      </c>
      <c r="K28" s="982" t="s">
        <v>552</v>
      </c>
      <c r="L28" s="982"/>
      <c r="M28" s="37"/>
      <c r="N28" s="37"/>
      <c r="O28" s="548" t="s">
        <v>553</v>
      </c>
      <c r="P28" s="372"/>
      <c r="Q28" s="38"/>
      <c r="R28" s="35"/>
      <c r="S28" s="35"/>
      <c r="T28" s="367" t="s">
        <v>669</v>
      </c>
      <c r="U28" s="1160" t="s">
        <v>552</v>
      </c>
      <c r="V28" s="1160"/>
      <c r="W28" s="35"/>
      <c r="X28" s="35"/>
      <c r="Y28" s="390" t="s">
        <v>553</v>
      </c>
      <c r="Z28" s="372"/>
      <c r="AA28" s="16"/>
      <c r="AB28" s="35"/>
      <c r="AC28" s="35"/>
      <c r="AD28" s="35"/>
      <c r="AE28" s="35"/>
      <c r="AF28" s="35"/>
      <c r="AG28" s="35"/>
      <c r="AH28" s="35"/>
      <c r="AI28" s="35"/>
      <c r="AJ28" s="35"/>
      <c r="AK28" s="35"/>
      <c r="AL28" s="35"/>
      <c r="AM28" s="35"/>
      <c r="AN28" s="252"/>
      <c r="BE28" s="401" t="s">
        <v>714</v>
      </c>
      <c r="BF28" s="510">
        <f>BF26</f>
        <v>35</v>
      </c>
      <c r="BG28" s="484" t="s">
        <v>333</v>
      </c>
      <c r="BH28" s="268"/>
      <c r="BI28" s="35"/>
      <c r="BJ28" s="35"/>
      <c r="BK28" s="498">
        <f>SUM(BK31:BK33)</f>
        <v>78.546299999999988</v>
      </c>
      <c r="BL28" s="35"/>
      <c r="BM28" s="769" t="s">
        <v>1408</v>
      </c>
      <c r="BN28" s="770">
        <f>(FuelProd2!AA19*(BJ31+BJ32+BJ33+BJ34+BJ35+BJ36)/6)*(BI25-BI24)</f>
        <v>19038.728503333328</v>
      </c>
      <c r="BO28" s="35"/>
      <c r="BP28" s="1178" t="s">
        <v>660</v>
      </c>
      <c r="BQ28" s="679" t="s">
        <v>622</v>
      </c>
      <c r="BR28" s="679" t="s">
        <v>623</v>
      </c>
      <c r="BS28" s="1177" t="s">
        <v>624</v>
      </c>
      <c r="BT28" s="1175" t="s">
        <v>625</v>
      </c>
      <c r="BU28" s="1175"/>
      <c r="BV28" s="1175"/>
      <c r="BW28" s="1176"/>
      <c r="CB28" t="s">
        <v>619</v>
      </c>
      <c r="CR28" s="1189" t="s">
        <v>135</v>
      </c>
      <c r="CS28" s="893" t="s">
        <v>660</v>
      </c>
      <c r="CT28" s="855" t="s">
        <v>715</v>
      </c>
    </row>
    <row r="29" spans="2:98" x14ac:dyDescent="0.25">
      <c r="I29" t="s">
        <v>173</v>
      </c>
      <c r="J29" s="562" t="s">
        <v>322</v>
      </c>
      <c r="K29" s="36" t="s">
        <v>379</v>
      </c>
      <c r="L29" s="38" t="s">
        <v>376</v>
      </c>
      <c r="M29" s="35"/>
      <c r="N29" s="35"/>
      <c r="O29" s="36" t="s">
        <v>384</v>
      </c>
      <c r="P29" s="226"/>
      <c r="Q29" s="16"/>
      <c r="R29" s="35"/>
      <c r="S29" s="35"/>
      <c r="T29" s="368" t="s">
        <v>322</v>
      </c>
      <c r="U29" s="38" t="s">
        <v>382</v>
      </c>
      <c r="V29" s="38" t="s">
        <v>376</v>
      </c>
      <c r="W29" s="35"/>
      <c r="X29" s="35"/>
      <c r="Y29" s="36" t="s">
        <v>384</v>
      </c>
      <c r="Z29" s="226"/>
      <c r="AA29" s="16"/>
      <c r="AB29" s="35"/>
      <c r="AC29" s="35"/>
      <c r="AD29" s="35"/>
      <c r="AE29" s="35"/>
      <c r="AF29" s="35"/>
      <c r="AG29" s="35"/>
      <c r="AH29" s="35"/>
      <c r="AI29" s="35"/>
      <c r="AJ29" s="35"/>
      <c r="AK29" s="35"/>
      <c r="AL29" s="35"/>
      <c r="AM29" s="35"/>
      <c r="AN29" s="252"/>
      <c r="BE29" s="232" t="s">
        <v>717</v>
      </c>
      <c r="BF29" s="138">
        <f>'Fuel Production'!C84</f>
        <v>100</v>
      </c>
      <c r="BG29" s="311" t="s">
        <v>333</v>
      </c>
      <c r="BH29" s="1189" t="s">
        <v>135</v>
      </c>
      <c r="BI29" s="893" t="s">
        <v>660</v>
      </c>
      <c r="BJ29" s="496" t="s">
        <v>715</v>
      </c>
      <c r="BK29" s="893" t="s">
        <v>716</v>
      </c>
      <c r="BL29" s="35"/>
      <c r="BO29" s="35"/>
      <c r="BP29" s="1178"/>
      <c r="BQ29" s="679" t="s">
        <v>630</v>
      </c>
      <c r="BR29" s="679" t="s">
        <v>631</v>
      </c>
      <c r="BS29" s="1177"/>
      <c r="BT29" s="1175"/>
      <c r="BU29" s="1175"/>
      <c r="BV29" s="1175"/>
      <c r="BW29" s="1176"/>
      <c r="CB29" t="s">
        <v>626</v>
      </c>
      <c r="CR29" s="1189"/>
      <c r="CS29" s="893"/>
      <c r="CT29" s="855" t="s">
        <v>718</v>
      </c>
    </row>
    <row r="30" spans="2:98" x14ac:dyDescent="0.25">
      <c r="B30" s="1031" t="s">
        <v>1028</v>
      </c>
      <c r="C30" s="1031"/>
      <c r="D30" s="1031"/>
      <c r="E30" s="1031"/>
      <c r="F30" s="1031"/>
      <c r="G30" s="1031"/>
      <c r="H30" s="1031"/>
      <c r="I30" t="s">
        <v>173</v>
      </c>
      <c r="J30" s="563" t="s">
        <v>565</v>
      </c>
      <c r="K30" s="128">
        <v>1</v>
      </c>
      <c r="L30" s="155">
        <v>1</v>
      </c>
      <c r="M30" s="35"/>
      <c r="N30" s="35"/>
      <c r="O30" s="128">
        <v>1</v>
      </c>
      <c r="P30" s="139"/>
      <c r="Q30" s="16"/>
      <c r="R30" s="35"/>
      <c r="S30" s="35"/>
      <c r="T30" s="372" t="s">
        <v>565</v>
      </c>
      <c r="U30" s="155">
        <v>1</v>
      </c>
      <c r="V30" s="155">
        <v>2</v>
      </c>
      <c r="W30" s="35"/>
      <c r="X30" s="35"/>
      <c r="Y30" s="128">
        <v>1</v>
      </c>
      <c r="Z30" s="139"/>
      <c r="AA30" s="16"/>
      <c r="AB30" s="35"/>
      <c r="AC30" s="35"/>
      <c r="AD30" s="35"/>
      <c r="AE30" s="35"/>
      <c r="AF30" s="35"/>
      <c r="AG30" s="35"/>
      <c r="AH30" s="35"/>
      <c r="AI30" s="35"/>
      <c r="AJ30" s="35"/>
      <c r="AK30" s="35"/>
      <c r="AL30" s="35"/>
      <c r="AM30" s="35"/>
      <c r="AN30" s="252"/>
      <c r="BE30" s="268"/>
      <c r="BF30" s="35" t="s">
        <v>1409</v>
      </c>
      <c r="BG30" s="772" t="s">
        <v>1410</v>
      </c>
      <c r="BH30" s="1189"/>
      <c r="BI30" s="893"/>
      <c r="BJ30" s="496" t="s">
        <v>718</v>
      </c>
      <c r="BK30" s="893"/>
      <c r="BL30" s="35"/>
      <c r="BM30" s="140" t="s">
        <v>278</v>
      </c>
      <c r="BN30" s="525">
        <f>SUM(BN25:BN28)</f>
        <v>83725.466633333315</v>
      </c>
      <c r="BO30" s="35"/>
      <c r="BP30" s="677" t="s">
        <v>471</v>
      </c>
      <c r="BQ30" s="149" t="e">
        <f>'Fuel Production'!#REF!</f>
        <v>#REF!</v>
      </c>
      <c r="BR30" s="149" t="e">
        <f>'Fuel Production'!#REF!</f>
        <v>#REF!</v>
      </c>
      <c r="BS30" s="680" t="s">
        <v>640</v>
      </c>
      <c r="BT30" s="680" t="s">
        <v>641</v>
      </c>
      <c r="BU30" s="680"/>
      <c r="BV30" s="680"/>
      <c r="BW30" s="681"/>
      <c r="BX30" t="s">
        <v>173</v>
      </c>
      <c r="CC30" s="35" t="s">
        <v>173</v>
      </c>
      <c r="CE30" t="s">
        <v>173</v>
      </c>
      <c r="CR30" s="509" t="s">
        <v>992</v>
      </c>
      <c r="CS30" s="139" t="s">
        <v>332</v>
      </c>
      <c r="CT30" s="512">
        <v>2.08</v>
      </c>
    </row>
    <row r="31" spans="2:98" ht="18.75" thickBot="1" x14ac:dyDescent="0.4">
      <c r="B31" s="15"/>
      <c r="C31" s="148" t="s">
        <v>1027</v>
      </c>
      <c r="D31" s="148" t="s">
        <v>376</v>
      </c>
      <c r="E31" s="148" t="s">
        <v>283</v>
      </c>
      <c r="F31" s="35"/>
      <c r="G31" s="148" t="s">
        <v>274</v>
      </c>
      <c r="H31" s="549">
        <f>P62+Z62+AJ62</f>
        <v>8.0719106196310868</v>
      </c>
      <c r="I31" t="s">
        <v>173</v>
      </c>
      <c r="J31" s="561" t="s">
        <v>569</v>
      </c>
      <c r="K31" s="13" t="s">
        <v>574</v>
      </c>
      <c r="L31" s="14" t="s">
        <v>571</v>
      </c>
      <c r="M31" s="139" t="s">
        <v>572</v>
      </c>
      <c r="N31" s="35"/>
      <c r="O31" s="128" t="s">
        <v>674</v>
      </c>
      <c r="P31" s="139"/>
      <c r="Q31" s="139" t="s">
        <v>575</v>
      </c>
      <c r="R31" s="35"/>
      <c r="S31" s="35"/>
      <c r="T31" s="367" t="s">
        <v>569</v>
      </c>
      <c r="U31" s="14" t="s">
        <v>577</v>
      </c>
      <c r="V31" s="14" t="s">
        <v>571</v>
      </c>
      <c r="W31" s="139" t="s">
        <v>572</v>
      </c>
      <c r="X31" s="35"/>
      <c r="Y31" s="128" t="s">
        <v>674</v>
      </c>
      <c r="Z31" s="139"/>
      <c r="AA31" s="139" t="s">
        <v>575</v>
      </c>
      <c r="AB31" s="35"/>
      <c r="AC31" s="35"/>
      <c r="AD31" s="35"/>
      <c r="AE31" s="35"/>
      <c r="AF31" s="35"/>
      <c r="AG31" s="35"/>
      <c r="AH31" s="35"/>
      <c r="AI31" s="35"/>
      <c r="AJ31" s="35"/>
      <c r="AK31" s="35"/>
      <c r="AL31" s="35"/>
      <c r="AM31" s="35"/>
      <c r="AN31" s="252"/>
      <c r="BE31" s="232" t="s">
        <v>332</v>
      </c>
      <c r="BF31" s="513">
        <f>(BF26-BF25)*BJ31*BK31</f>
        <v>552.62423999999999</v>
      </c>
      <c r="BG31" s="773">
        <f>(BF29-BF28)*BJ31*BK31</f>
        <v>3592.0575599999997</v>
      </c>
      <c r="BH31" s="509" t="s">
        <v>992</v>
      </c>
      <c r="BI31" s="139" t="s">
        <v>332</v>
      </c>
      <c r="BJ31" s="512">
        <v>2.13</v>
      </c>
      <c r="BK31" s="618">
        <f>FuelProd2!AA10</f>
        <v>25.944800000000001</v>
      </c>
      <c r="BL31" s="1186" t="s">
        <v>447</v>
      </c>
      <c r="BM31" s="1187"/>
      <c r="BN31" s="1187"/>
      <c r="BO31" s="1188"/>
      <c r="BP31" s="678" t="s">
        <v>467</v>
      </c>
      <c r="BQ31" s="138" t="e">
        <f>'Fuel Production'!#REF!</f>
        <v>#REF!</v>
      </c>
      <c r="BR31" s="138" t="e">
        <f>'Fuel Production'!#REF!</f>
        <v>#REF!</v>
      </c>
      <c r="BS31" s="672" t="s">
        <v>640</v>
      </c>
      <c r="BT31" s="672" t="s">
        <v>645</v>
      </c>
      <c r="BU31" s="672"/>
      <c r="BV31" s="672"/>
      <c r="BW31" s="682"/>
      <c r="BX31" t="s">
        <v>173</v>
      </c>
      <c r="CC31" s="35" t="s">
        <v>173</v>
      </c>
      <c r="CE31" t="s">
        <v>173</v>
      </c>
      <c r="CR31" s="232" t="s">
        <v>992</v>
      </c>
      <c r="CS31" s="139" t="s">
        <v>341</v>
      </c>
      <c r="CT31" s="512">
        <v>2.0099999999999998</v>
      </c>
    </row>
    <row r="32" spans="2:98" ht="16.5" thickBot="1" x14ac:dyDescent="0.3">
      <c r="B32" s="139" t="s">
        <v>771</v>
      </c>
      <c r="C32" s="544">
        <f>SUM(O86:Q86)+SUM(Y86:AA86)+SUM(AI86:AK86)+SUM(O110:P110)+SUM(Y110:Z110)+SUM(AI110:AJ110)+SUM(O62:P62)+SUM(Y62:Z62)+SUM(AI62:AJ62)</f>
        <v>76.418492288310389</v>
      </c>
      <c r="D32" s="523">
        <f>FuelProd2!AI22-(FuelProd3!L14+FuelProd3!V14+FuelProd3!AF14+FuelProd3!L38+FuelProd3!V38+C38+C45+C47)</f>
        <v>3.0098913270920349</v>
      </c>
      <c r="E32" s="523">
        <f>SUM(C32:D32)</f>
        <v>79.428383615402424</v>
      </c>
      <c r="F32" s="35"/>
      <c r="G32" s="139" t="s">
        <v>276</v>
      </c>
      <c r="H32" s="523">
        <f>P86+Z86+AJ86</f>
        <v>0.226617811513707</v>
      </c>
      <c r="J32" s="564" t="s">
        <v>584</v>
      </c>
      <c r="K32" s="36">
        <v>18</v>
      </c>
      <c r="L32" s="38">
        <v>0</v>
      </c>
      <c r="M32" s="146">
        <f>K32+L32</f>
        <v>18</v>
      </c>
      <c r="N32" s="35"/>
      <c r="O32" s="36">
        <v>18</v>
      </c>
      <c r="P32" s="226"/>
      <c r="Q32" s="146">
        <f>O32+P32</f>
        <v>18</v>
      </c>
      <c r="R32" s="35"/>
      <c r="S32" s="35"/>
      <c r="T32" s="375" t="s">
        <v>584</v>
      </c>
      <c r="U32" s="38">
        <f>18</f>
        <v>18</v>
      </c>
      <c r="V32" s="38">
        <v>0</v>
      </c>
      <c r="W32" s="146">
        <f>U32+V32</f>
        <v>18</v>
      </c>
      <c r="X32" s="35"/>
      <c r="Y32" s="36">
        <v>18</v>
      </c>
      <c r="Z32" s="226"/>
      <c r="AA32" s="146">
        <f>Y32+Z32</f>
        <v>18</v>
      </c>
      <c r="AB32" s="35"/>
      <c r="AC32" s="35"/>
      <c r="AD32" s="35"/>
      <c r="AE32" s="35"/>
      <c r="AF32" s="35"/>
      <c r="AG32" s="35"/>
      <c r="AH32" s="35"/>
      <c r="AI32" s="35"/>
      <c r="AJ32" s="35"/>
      <c r="AK32" s="35"/>
      <c r="AL32" s="35"/>
      <c r="AM32" s="35"/>
      <c r="AN32" s="252"/>
      <c r="BE32" s="232" t="s">
        <v>341</v>
      </c>
      <c r="BF32" s="513">
        <f>(BF26-BF25)*BJ32*BK32</f>
        <v>972.92999999999984</v>
      </c>
      <c r="BG32" s="773">
        <f>(BF29-BF28)*BJ32*BK32</f>
        <v>6324.0449999999992</v>
      </c>
      <c r="BH32" s="509" t="s">
        <v>993</v>
      </c>
      <c r="BI32" s="139" t="s">
        <v>341</v>
      </c>
      <c r="BJ32" s="512">
        <v>2.0499999999999998</v>
      </c>
      <c r="BK32" s="225">
        <f>FuelProd2!AA12</f>
        <v>47.459999999999994</v>
      </c>
      <c r="BL32" s="750"/>
      <c r="BM32" s="752"/>
      <c r="BN32" s="752"/>
      <c r="BO32" s="750"/>
      <c r="BP32" s="674" t="s">
        <v>476</v>
      </c>
      <c r="BQ32" s="138" t="e">
        <f>'Fuel Production'!#REF!</f>
        <v>#REF!</v>
      </c>
      <c r="BR32" s="138" t="e">
        <f>'Fuel Production'!#REF!</f>
        <v>#REF!</v>
      </c>
      <c r="BS32" s="672" t="s">
        <v>640</v>
      </c>
      <c r="BT32" s="672" t="s">
        <v>651</v>
      </c>
      <c r="BU32" s="672"/>
      <c r="BV32" s="672"/>
      <c r="BW32" s="682"/>
      <c r="BX32" t="s">
        <v>173</v>
      </c>
      <c r="CA32" s="1191" t="s">
        <v>1191</v>
      </c>
      <c r="CB32" s="1192"/>
      <c r="CC32" s="1192"/>
      <c r="CD32" s="1192"/>
      <c r="CE32" s="1192"/>
      <c r="CF32" s="1192"/>
      <c r="CG32" s="1192"/>
      <c r="CH32" s="1193"/>
      <c r="CR32" s="509" t="s">
        <v>993</v>
      </c>
      <c r="CS32" s="139" t="s">
        <v>337</v>
      </c>
      <c r="CT32" s="512">
        <v>2.1800000000000002</v>
      </c>
    </row>
    <row r="33" spans="2:98" x14ac:dyDescent="0.25">
      <c r="B33" s="15"/>
      <c r="C33" s="35"/>
      <c r="D33" s="35"/>
      <c r="E33" s="35"/>
      <c r="F33" s="35"/>
      <c r="G33" s="139" t="s">
        <v>268</v>
      </c>
      <c r="H33" s="523">
        <f>AK86+AA86+Q86+AJ110+Z110+P110</f>
        <v>2.9622185362148841</v>
      </c>
      <c r="J33" s="562" t="s">
        <v>586</v>
      </c>
      <c r="K33" s="15">
        <v>34</v>
      </c>
      <c r="L33" s="16">
        <v>2</v>
      </c>
      <c r="M33" s="146">
        <f>K33+L33</f>
        <v>36</v>
      </c>
      <c r="N33" s="35"/>
      <c r="O33" s="15">
        <v>36</v>
      </c>
      <c r="P33" s="146"/>
      <c r="Q33" s="146">
        <f>O33+P33</f>
        <v>36</v>
      </c>
      <c r="R33" s="35"/>
      <c r="S33" s="35"/>
      <c r="T33" s="368" t="s">
        <v>586</v>
      </c>
      <c r="U33" s="16">
        <f>32</f>
        <v>32</v>
      </c>
      <c r="V33" s="16">
        <v>4</v>
      </c>
      <c r="W33" s="146">
        <f>U33+V33</f>
        <v>36</v>
      </c>
      <c r="X33" s="35"/>
      <c r="Y33" s="15">
        <v>36</v>
      </c>
      <c r="Z33" s="146"/>
      <c r="AA33" s="146">
        <f>Y33+Z33</f>
        <v>36</v>
      </c>
      <c r="AB33" s="35"/>
      <c r="AC33" s="35"/>
      <c r="AD33" s="35"/>
      <c r="AE33" s="35"/>
      <c r="AF33" s="35"/>
      <c r="AG33" s="35"/>
      <c r="AH33" s="35"/>
      <c r="AI33" s="35"/>
      <c r="AJ33" s="35"/>
      <c r="AK33" s="35"/>
      <c r="AL33" s="35"/>
      <c r="AM33" s="35"/>
      <c r="AN33" s="252"/>
      <c r="BE33" s="232" t="s">
        <v>337</v>
      </c>
      <c r="BF33" s="513">
        <f>(BF26-BF25)*BJ33*BK33</f>
        <v>112.0847</v>
      </c>
      <c r="BG33" s="773">
        <f>(BF29-BF28)*BJ33*BK33</f>
        <v>728.55055000000004</v>
      </c>
      <c r="BH33" s="509" t="s">
        <v>992</v>
      </c>
      <c r="BI33" s="139" t="s">
        <v>337</v>
      </c>
      <c r="BJ33" s="512">
        <v>2.1800000000000002</v>
      </c>
      <c r="BK33" s="225">
        <f>FuelProd2!AA11</f>
        <v>5.1414999999999997</v>
      </c>
      <c r="BL33" s="750"/>
      <c r="BM33" s="672" t="s">
        <v>379</v>
      </c>
      <c r="BN33" s="513">
        <f>(CN42)*BJ34*BK34</f>
        <v>212.85046727229673</v>
      </c>
      <c r="BO33" s="750"/>
      <c r="BP33" s="674" t="s">
        <v>474</v>
      </c>
      <c r="BQ33" s="138" t="e">
        <f>'Fuel Production'!#REF!</f>
        <v>#REF!</v>
      </c>
      <c r="BR33" s="138" t="e">
        <f>'Fuel Production'!#REF!</f>
        <v>#REF!</v>
      </c>
      <c r="BS33" s="672" t="s">
        <v>640</v>
      </c>
      <c r="BT33" s="683" t="s">
        <v>655</v>
      </c>
      <c r="BU33" s="672"/>
      <c r="BV33" s="672"/>
      <c r="BW33" s="682"/>
      <c r="BX33" t="s">
        <v>173</v>
      </c>
      <c r="BZ33" s="5"/>
      <c r="CA33" s="5" t="s">
        <v>1129</v>
      </c>
      <c r="CB33" s="5"/>
      <c r="CC33" s="5"/>
      <c r="CD33" s="29"/>
      <c r="CE33" s="29"/>
      <c r="CF33" s="29"/>
      <c r="CG33" s="29"/>
      <c r="CH33" s="29"/>
      <c r="CI33" s="5"/>
      <c r="CR33" s="232" t="s">
        <v>994</v>
      </c>
      <c r="CS33" s="139" t="s">
        <v>379</v>
      </c>
      <c r="CT33" s="512">
        <v>2.31</v>
      </c>
    </row>
    <row r="34" spans="2:98" x14ac:dyDescent="0.25">
      <c r="B34" s="15"/>
      <c r="C34" s="35"/>
      <c r="D34" s="35"/>
      <c r="E34" s="35"/>
      <c r="F34" s="35"/>
      <c r="G34" s="139" t="s">
        <v>467</v>
      </c>
      <c r="H34" s="523">
        <f>O62+O86</f>
        <v>29.957213396963475</v>
      </c>
      <c r="J34" s="561" t="s">
        <v>591</v>
      </c>
      <c r="K34" s="13">
        <v>2</v>
      </c>
      <c r="L34" s="14">
        <v>0</v>
      </c>
      <c r="M34" s="148">
        <f>K34+L34</f>
        <v>2</v>
      </c>
      <c r="N34" s="35"/>
      <c r="O34" s="13">
        <v>2</v>
      </c>
      <c r="P34" s="148"/>
      <c r="Q34" s="148">
        <f>O34+P34</f>
        <v>2</v>
      </c>
      <c r="R34" s="35"/>
      <c r="S34" s="35"/>
      <c r="T34" s="367" t="s">
        <v>591</v>
      </c>
      <c r="U34" s="14">
        <f>2</f>
        <v>2</v>
      </c>
      <c r="V34" s="14">
        <v>0</v>
      </c>
      <c r="W34" s="148">
        <f>U34+V34</f>
        <v>2</v>
      </c>
      <c r="X34" s="35"/>
      <c r="Y34" s="13">
        <v>2</v>
      </c>
      <c r="Z34" s="148"/>
      <c r="AA34" s="148">
        <f>Y34+Z34</f>
        <v>2</v>
      </c>
      <c r="AB34" s="35"/>
      <c r="AC34" s="35"/>
      <c r="AD34" s="35"/>
      <c r="AE34" s="35"/>
      <c r="AF34" s="35"/>
      <c r="AG34" s="35"/>
      <c r="AH34" s="35"/>
      <c r="AI34" s="35"/>
      <c r="AJ34" s="35"/>
      <c r="AK34" s="35"/>
      <c r="AL34" s="35"/>
      <c r="AM34" s="35"/>
      <c r="AN34" s="252"/>
      <c r="BE34" s="232" t="s">
        <v>1408</v>
      </c>
      <c r="BF34" s="513">
        <f>(FuelProd2!AA19*(BJ31+BJ32+BJ33+BJ34+BJ35+BJ36)/6)*(BF26-BF25)</f>
        <v>481.99312666666651</v>
      </c>
      <c r="BG34" s="773">
        <f>(FuelProd2!AA19*(BJ31+BJ32+BJ33+BJ34+BJ35+BJ36)/6)*(BF29-BF28)</f>
        <v>3132.9553233333322</v>
      </c>
      <c r="BH34" s="509" t="s">
        <v>993</v>
      </c>
      <c r="BI34" s="139" t="s">
        <v>379</v>
      </c>
      <c r="BJ34" s="512">
        <v>2.31</v>
      </c>
      <c r="BK34" s="225">
        <f>FuelProd2!AA53</f>
        <v>21.105096923076925</v>
      </c>
      <c r="BL34" s="750"/>
      <c r="BM34" s="672" t="s">
        <v>381</v>
      </c>
      <c r="BN34" s="513">
        <f>(CN42)*BJ35*BK35</f>
        <v>49.194792316356938</v>
      </c>
      <c r="BO34" s="750"/>
      <c r="BP34" s="674" t="s">
        <v>512</v>
      </c>
      <c r="BQ34" s="138" t="e">
        <f>'Fuel Production'!#REF!</f>
        <v>#REF!</v>
      </c>
      <c r="BR34" s="138" t="e">
        <f>'Fuel Production'!#REF!</f>
        <v>#REF!</v>
      </c>
      <c r="BS34" s="672" t="s">
        <v>640</v>
      </c>
      <c r="BT34" s="672" t="s">
        <v>657</v>
      </c>
      <c r="BU34" s="672"/>
      <c r="BV34" s="672"/>
      <c r="BW34" s="682"/>
      <c r="BX34" t="s">
        <v>173</v>
      </c>
      <c r="BZ34" s="5"/>
      <c r="CA34" s="5" t="s">
        <v>1513</v>
      </c>
      <c r="CB34" s="5">
        <v>0.10199999999999999</v>
      </c>
      <c r="CC34" s="5" t="s">
        <v>1122</v>
      </c>
      <c r="CD34" s="29"/>
      <c r="CE34" s="29"/>
      <c r="CF34" s="29"/>
      <c r="CG34" s="29"/>
      <c r="CH34" s="29"/>
      <c r="CI34" s="5"/>
      <c r="CR34" s="232"/>
      <c r="CS34" s="139" t="s">
        <v>381</v>
      </c>
      <c r="CT34" s="512">
        <v>2.2999999999999998</v>
      </c>
    </row>
    <row r="35" spans="2:98" x14ac:dyDescent="0.25">
      <c r="B35" s="15"/>
      <c r="C35" s="35"/>
      <c r="D35" s="35"/>
      <c r="E35" s="35"/>
      <c r="F35" s="35"/>
      <c r="G35" s="139" t="s">
        <v>468</v>
      </c>
      <c r="H35" s="523">
        <f>Y62+Y86</f>
        <v>12.646593184615387</v>
      </c>
      <c r="J35" s="268" t="s">
        <v>594</v>
      </c>
      <c r="K35" s="139">
        <f>K32*12+K33*1+16*K34</f>
        <v>282</v>
      </c>
      <c r="L35" s="14">
        <f>L32*12+L33+L34*16</f>
        <v>2</v>
      </c>
      <c r="M35" s="16">
        <f>L35+K35</f>
        <v>284</v>
      </c>
      <c r="N35" s="35" t="s">
        <v>594</v>
      </c>
      <c r="O35" s="139">
        <f>O32*12+O33*1+16*O34</f>
        <v>284</v>
      </c>
      <c r="P35" s="14">
        <f>P32*12+P33+P34*16</f>
        <v>0</v>
      </c>
      <c r="Q35" s="16">
        <f>P35+O35</f>
        <v>284</v>
      </c>
      <c r="R35" s="35"/>
      <c r="S35" s="35"/>
      <c r="T35" s="35" t="s">
        <v>594</v>
      </c>
      <c r="U35" s="139">
        <f>U32*12+U33*1+16*U34</f>
        <v>280</v>
      </c>
      <c r="V35" s="14">
        <f>V32*12+V33+V34*16</f>
        <v>4</v>
      </c>
      <c r="W35" s="16">
        <f>V35+U35</f>
        <v>284</v>
      </c>
      <c r="X35" s="35" t="s">
        <v>594</v>
      </c>
      <c r="Y35" s="139">
        <f>Y32*12+Y33*1+16*Y34</f>
        <v>284</v>
      </c>
      <c r="Z35" s="14">
        <f>Z32*12+Z33+Z34*16</f>
        <v>0</v>
      </c>
      <c r="AA35" s="16">
        <f>Z35+Y35</f>
        <v>284</v>
      </c>
      <c r="AB35" s="35"/>
      <c r="AC35" s="35"/>
      <c r="AD35" s="35"/>
      <c r="AE35" s="35"/>
      <c r="AF35" s="35"/>
      <c r="AG35" s="35"/>
      <c r="AH35" s="35"/>
      <c r="AI35" s="35"/>
      <c r="AJ35" s="35"/>
      <c r="AK35" s="35"/>
      <c r="AL35" s="35"/>
      <c r="AM35" s="35"/>
      <c r="AN35" s="252"/>
      <c r="BE35" s="232" t="s">
        <v>278</v>
      </c>
      <c r="BF35" s="513">
        <f>SUM(BF31:BF34)</f>
        <v>2119.6320666666661</v>
      </c>
      <c r="BG35" s="773">
        <f>SUM(BG31:BG34)</f>
        <v>13777.608433333331</v>
      </c>
      <c r="BH35" s="509" t="s">
        <v>993</v>
      </c>
      <c r="BI35" s="139" t="s">
        <v>381</v>
      </c>
      <c r="BJ35" s="512">
        <v>2.2999999999999998</v>
      </c>
      <c r="BK35" s="225">
        <f>FuelProd2!AA54</f>
        <v>4.8990967741935485</v>
      </c>
      <c r="BL35" s="750"/>
      <c r="BM35" s="672" t="s">
        <v>384</v>
      </c>
      <c r="BN35" s="513">
        <f>(CN42)*BJ36*BK36</f>
        <v>547.1408757974765</v>
      </c>
      <c r="BO35" s="750"/>
      <c r="BP35" s="674" t="s">
        <v>513</v>
      </c>
      <c r="BQ35" s="138" t="e">
        <f>'Fuel Production'!#REF!</f>
        <v>#REF!</v>
      </c>
      <c r="BR35" s="138" t="e">
        <f>'Fuel Production'!#REF!</f>
        <v>#REF!</v>
      </c>
      <c r="BS35" s="672" t="s">
        <v>640</v>
      </c>
      <c r="BT35" s="672" t="s">
        <v>662</v>
      </c>
      <c r="BU35" s="672"/>
      <c r="BV35" s="672"/>
      <c r="BW35" s="682"/>
      <c r="BX35" t="s">
        <v>173</v>
      </c>
      <c r="BZ35" s="5"/>
      <c r="CA35" s="5" t="s">
        <v>1511</v>
      </c>
      <c r="CB35" s="5">
        <v>0.115</v>
      </c>
      <c r="CC35" s="5" t="s">
        <v>1122</v>
      </c>
      <c r="CD35" s="29"/>
      <c r="CE35" s="29"/>
      <c r="CF35" s="29"/>
      <c r="CG35" s="29"/>
      <c r="CH35" s="29"/>
      <c r="CI35" s="5"/>
      <c r="CR35" s="232"/>
      <c r="CS35" s="139" t="s">
        <v>384</v>
      </c>
      <c r="CT35" s="512">
        <v>2.5099999999999998</v>
      </c>
    </row>
    <row r="36" spans="2:98" ht="15" customHeight="1" thickBot="1" x14ac:dyDescent="0.3">
      <c r="B36" s="892" t="s">
        <v>1031</v>
      </c>
      <c r="C36" s="892"/>
      <c r="D36" s="82" t="s">
        <v>1118</v>
      </c>
      <c r="E36" s="35"/>
      <c r="F36" s="35"/>
      <c r="G36" s="139" t="s">
        <v>471</v>
      </c>
      <c r="H36" s="523">
        <f>O110</f>
        <v>12.949814194954984</v>
      </c>
      <c r="J36" s="562" t="s">
        <v>597</v>
      </c>
      <c r="K36" s="35">
        <f>(FuelProd2!AA53)*1000/FuelProd3!K35</f>
        <v>74.84076923076924</v>
      </c>
      <c r="L36" s="35">
        <f>L30*K36</f>
        <v>74.84076923076924</v>
      </c>
      <c r="M36" s="16"/>
      <c r="N36" s="35"/>
      <c r="O36" s="35"/>
      <c r="P36" s="35"/>
      <c r="Q36" s="16"/>
      <c r="R36" s="35"/>
      <c r="S36" s="35"/>
      <c r="T36" s="110" t="s">
        <v>597</v>
      </c>
      <c r="U36" s="35">
        <f>Z14*1*1000/FuelProd3!U35</f>
        <v>162.16400911161728</v>
      </c>
      <c r="V36" s="35">
        <f>V30*U36</f>
        <v>324.32801822323455</v>
      </c>
      <c r="W36" s="16"/>
      <c r="X36" s="35"/>
      <c r="Y36" s="35"/>
      <c r="Z36" s="35"/>
      <c r="AA36" s="16"/>
      <c r="AB36" s="35"/>
      <c r="AC36" s="35"/>
      <c r="AD36" s="35"/>
      <c r="AE36" s="35"/>
      <c r="AF36" s="35"/>
      <c r="AG36" s="35"/>
      <c r="AH36" s="35"/>
      <c r="AI36" s="35"/>
      <c r="AJ36" s="35"/>
      <c r="AK36" s="35"/>
      <c r="AL36" s="35"/>
      <c r="AM36" s="35"/>
      <c r="AN36" s="252"/>
      <c r="BE36" s="271"/>
      <c r="BF36" s="272" t="s">
        <v>1411</v>
      </c>
      <c r="BG36" s="774">
        <f>BF35+BG35</f>
        <v>15897.240499999996</v>
      </c>
      <c r="BH36" s="509" t="s">
        <v>993</v>
      </c>
      <c r="BI36" s="139" t="s">
        <v>384</v>
      </c>
      <c r="BJ36" s="512">
        <v>2.5099999999999998</v>
      </c>
      <c r="BK36" s="225">
        <f>FuelProd2!AA56</f>
        <v>49.928688994939122</v>
      </c>
      <c r="BL36" s="750"/>
      <c r="BM36" s="753" t="s">
        <v>278</v>
      </c>
      <c r="BN36" s="519">
        <f>SUM(BN33:BN35)</f>
        <v>809.18613538613022</v>
      </c>
      <c r="BO36" s="750"/>
      <c r="BP36" s="674" t="s">
        <v>515</v>
      </c>
      <c r="BQ36" s="138" t="e">
        <f>'Fuel Production'!#REF!</f>
        <v>#REF!</v>
      </c>
      <c r="BR36" s="138" t="e">
        <f>'Fuel Production'!#REF!</f>
        <v>#REF!</v>
      </c>
      <c r="BS36" s="672" t="s">
        <v>640</v>
      </c>
      <c r="BT36" s="672" t="s">
        <v>666</v>
      </c>
      <c r="BU36" s="672"/>
      <c r="BV36" s="672"/>
      <c r="BW36" s="682"/>
      <c r="BX36" t="s">
        <v>173</v>
      </c>
      <c r="BZ36" s="5"/>
      <c r="CD36" s="29"/>
      <c r="CE36" s="29"/>
      <c r="CF36" s="29"/>
      <c r="CG36" s="29"/>
      <c r="CH36" s="29"/>
      <c r="CI36" s="5"/>
    </row>
    <row r="37" spans="2:98" ht="16.5" customHeight="1" thickBot="1" x14ac:dyDescent="0.3">
      <c r="B37" s="139" t="s">
        <v>692</v>
      </c>
      <c r="C37" s="523">
        <f>FuelProd3!L14+FuelProd3!V14+FuelProd3!AF14+FuelProd3!L38+FuelProd3!V38</f>
        <v>1.3370357142814391</v>
      </c>
      <c r="D37" s="35"/>
      <c r="E37" s="35"/>
      <c r="F37" s="35"/>
      <c r="G37" s="139" t="s">
        <v>474</v>
      </c>
      <c r="H37" s="523">
        <f>AI86+AI62</f>
        <v>2.8805158064516134</v>
      </c>
      <c r="J37" s="268" t="s">
        <v>599</v>
      </c>
      <c r="K37" s="35">
        <f>K35/M35</f>
        <v>0.99295774647887325</v>
      </c>
      <c r="L37" s="35">
        <f>L35/M35</f>
        <v>7.0422535211267607E-3</v>
      </c>
      <c r="M37" s="16"/>
      <c r="N37" s="35" t="s">
        <v>599</v>
      </c>
      <c r="O37" s="35">
        <f>O35/Q35</f>
        <v>1</v>
      </c>
      <c r="P37" s="35">
        <f>P35/Q35</f>
        <v>0</v>
      </c>
      <c r="Q37" s="16"/>
      <c r="R37" s="35"/>
      <c r="S37" s="35"/>
      <c r="T37" s="35" t="s">
        <v>599</v>
      </c>
      <c r="U37" s="35">
        <f>U35/W35</f>
        <v>0.9859154929577465</v>
      </c>
      <c r="V37" s="35">
        <f>V35/W35</f>
        <v>1.4084507042253521E-2</v>
      </c>
      <c r="W37" s="16"/>
      <c r="X37" s="35" t="s">
        <v>599</v>
      </c>
      <c r="Y37" s="35">
        <f>Y35/AA35</f>
        <v>1</v>
      </c>
      <c r="Z37" s="35">
        <f>Z35/AA35</f>
        <v>0</v>
      </c>
      <c r="AA37" s="16"/>
      <c r="AB37" s="35"/>
      <c r="AC37" s="35"/>
      <c r="AD37" s="35"/>
      <c r="AE37" s="35"/>
      <c r="AF37" s="35"/>
      <c r="AG37" s="35"/>
      <c r="AH37" s="35"/>
      <c r="AI37" s="35"/>
      <c r="AJ37" s="35"/>
      <c r="AK37" s="35"/>
      <c r="AL37" s="35"/>
      <c r="AM37" s="35"/>
      <c r="AN37" s="252"/>
      <c r="AR37" s="1214" t="s">
        <v>1038</v>
      </c>
      <c r="AS37" s="1215"/>
      <c r="AT37" s="1215"/>
      <c r="AU37" s="1215"/>
      <c r="AV37" s="1215"/>
      <c r="AW37" s="1215"/>
      <c r="AX37" s="1215"/>
      <c r="AY37" s="1215"/>
      <c r="AZ37" s="1215"/>
      <c r="BA37" s="1215"/>
      <c r="BB37" s="1215"/>
      <c r="BC37" s="1215"/>
      <c r="BD37" s="1216"/>
      <c r="BH37" s="271"/>
      <c r="BI37" s="272"/>
      <c r="BJ37" s="272"/>
      <c r="BK37" s="272"/>
      <c r="BL37" s="751"/>
      <c r="BM37" s="751"/>
      <c r="BN37" s="751"/>
      <c r="BO37" s="751"/>
      <c r="BP37" s="674" t="s">
        <v>517</v>
      </c>
      <c r="BQ37" s="138" t="e">
        <f>'Fuel Production'!#REF!</f>
        <v>#REF!</v>
      </c>
      <c r="BR37" s="138" t="e">
        <f>'Fuel Production'!#REF!</f>
        <v>#REF!</v>
      </c>
      <c r="BS37" s="672" t="s">
        <v>640</v>
      </c>
      <c r="BT37" s="672" t="s">
        <v>672</v>
      </c>
      <c r="BU37" s="672"/>
      <c r="BV37" s="672"/>
      <c r="BW37" s="682"/>
      <c r="BX37" t="s">
        <v>173</v>
      </c>
      <c r="BZ37" s="5"/>
      <c r="CA37" s="5"/>
      <c r="CD37" s="5"/>
      <c r="CE37" s="29"/>
      <c r="CF37" s="29"/>
      <c r="CG37" s="29"/>
      <c r="CH37" s="29"/>
      <c r="CI37" s="5"/>
    </row>
    <row r="38" spans="2:98" ht="15.75" customHeight="1" thickBot="1" x14ac:dyDescent="0.3">
      <c r="B38" s="139" t="s">
        <v>696</v>
      </c>
      <c r="C38" s="523">
        <f>AF110+V110+L110+L86+V86+AF86</f>
        <v>0.48560959610080073</v>
      </c>
      <c r="D38" s="35"/>
      <c r="E38" s="35"/>
      <c r="F38" s="35"/>
      <c r="G38" s="139" t="s">
        <v>476</v>
      </c>
      <c r="H38" s="523">
        <f>AI110</f>
        <v>1.2542453225806449</v>
      </c>
      <c r="J38" s="276" t="s">
        <v>601</v>
      </c>
      <c r="K38" s="35">
        <f>P14*(F4)</f>
        <v>3.7244288687782809</v>
      </c>
      <c r="L38" s="35">
        <f>(FuelProd3!L36*2)/1000</f>
        <v>0.14968153846153848</v>
      </c>
      <c r="M38" s="35" t="s">
        <v>62</v>
      </c>
      <c r="N38" s="35"/>
      <c r="O38" s="35">
        <f>(K38+L38)*O37</f>
        <v>3.8741104072398196</v>
      </c>
      <c r="P38" s="35">
        <f>(K38+L38)*P37</f>
        <v>0</v>
      </c>
      <c r="Q38" s="16"/>
      <c r="R38" s="35"/>
      <c r="S38" s="35"/>
      <c r="T38" s="536" t="s">
        <v>601</v>
      </c>
      <c r="U38" s="35">
        <f>Z14*F5</f>
        <v>45.405922551252836</v>
      </c>
      <c r="V38" s="35">
        <f>(FuelProd3!V36*2)/1000</f>
        <v>0.64865603644646908</v>
      </c>
      <c r="W38" s="35" t="s">
        <v>62</v>
      </c>
      <c r="X38" s="35"/>
      <c r="Y38" s="35">
        <f>(U38+V38)*Y37</f>
        <v>46.054578587699304</v>
      </c>
      <c r="Z38" s="35">
        <f>(U38+V38)*Z37</f>
        <v>0</v>
      </c>
      <c r="AA38" s="16"/>
      <c r="AB38" s="35"/>
      <c r="AC38" s="35"/>
      <c r="AD38" s="35"/>
      <c r="AE38" s="35"/>
      <c r="AF38" s="35"/>
      <c r="AG38" s="35"/>
      <c r="AH38" s="35"/>
      <c r="AI38" s="35"/>
      <c r="AJ38" s="35"/>
      <c r="AK38" s="35"/>
      <c r="AL38" s="35"/>
      <c r="AM38" s="35"/>
      <c r="AN38" s="252"/>
      <c r="AR38" s="1217"/>
      <c r="AS38" s="1218"/>
      <c r="AT38" s="1218"/>
      <c r="AU38" s="1218"/>
      <c r="AV38" s="1218"/>
      <c r="AW38" s="1218"/>
      <c r="AX38" s="1218"/>
      <c r="AY38" s="1218"/>
      <c r="AZ38" s="1218"/>
      <c r="BA38" s="1218"/>
      <c r="BB38" s="1218"/>
      <c r="BC38" s="1218"/>
      <c r="BD38" s="1219"/>
      <c r="BH38" s="1210" t="s">
        <v>496</v>
      </c>
      <c r="BI38" s="1211"/>
      <c r="BJ38" s="1211"/>
      <c r="BK38" s="1211"/>
      <c r="BL38" s="1211"/>
      <c r="BM38" s="1211"/>
      <c r="BN38" s="1211"/>
      <c r="BO38" s="1211"/>
      <c r="BP38" s="674" t="s">
        <v>518</v>
      </c>
      <c r="BQ38" s="138" t="e">
        <f>'Fuel Production'!#REF!</f>
        <v>#REF!</v>
      </c>
      <c r="BR38" s="138" t="e">
        <f>'Fuel Production'!#REF!</f>
        <v>#REF!</v>
      </c>
      <c r="BS38" s="672" t="s">
        <v>640</v>
      </c>
      <c r="BT38" s="683" t="s">
        <v>677</v>
      </c>
      <c r="BU38" s="672"/>
      <c r="BV38" s="672"/>
      <c r="BW38" s="682"/>
      <c r="BX38" t="s">
        <v>173</v>
      </c>
      <c r="BZ38" s="5"/>
      <c r="CA38" s="5"/>
      <c r="CE38" s="29"/>
      <c r="CF38" s="29"/>
      <c r="CG38" s="29"/>
      <c r="CH38" s="29"/>
      <c r="CI38" s="5"/>
    </row>
    <row r="39" spans="2:98" ht="15.75" customHeight="1" thickBot="1" x14ac:dyDescent="0.3">
      <c r="B39" s="139" t="s">
        <v>705</v>
      </c>
      <c r="C39" s="523">
        <f>C37+C38</f>
        <v>1.8226453103822398</v>
      </c>
      <c r="D39" s="498">
        <f>C37+C38+C45+C47+FuelProd2!S115</f>
        <v>2.7066979809097349</v>
      </c>
      <c r="E39" s="35"/>
      <c r="F39" s="35"/>
      <c r="G39" s="139" t="s">
        <v>478</v>
      </c>
      <c r="H39" s="523">
        <f>Y110</f>
        <v>5.4693634153846151</v>
      </c>
      <c r="J39" s="268"/>
      <c r="K39" s="978" t="s">
        <v>320</v>
      </c>
      <c r="L39" s="978"/>
      <c r="M39" s="35"/>
      <c r="N39" s="35"/>
      <c r="O39" s="128" t="s">
        <v>320</v>
      </c>
      <c r="P39" s="155"/>
      <c r="Q39" s="16"/>
      <c r="R39" s="35"/>
      <c r="S39" s="35"/>
      <c r="T39" s="15"/>
      <c r="U39" s="978" t="s">
        <v>320</v>
      </c>
      <c r="V39" s="978"/>
      <c r="W39" s="35"/>
      <c r="X39" s="35"/>
      <c r="Y39" s="128" t="s">
        <v>320</v>
      </c>
      <c r="Z39" s="155"/>
      <c r="AA39" s="16"/>
      <c r="AB39" s="35"/>
      <c r="AC39" s="35"/>
      <c r="AD39" s="35"/>
      <c r="AE39" s="35"/>
      <c r="AF39" s="35"/>
      <c r="AG39" s="35"/>
      <c r="AH39" s="35"/>
      <c r="AI39" s="35"/>
      <c r="AJ39" s="35"/>
      <c r="AK39" s="35"/>
      <c r="AL39" s="35"/>
      <c r="AM39" s="35"/>
      <c r="AN39" s="252"/>
      <c r="AR39" s="1172" t="s">
        <v>706</v>
      </c>
      <c r="AS39" s="1173"/>
      <c r="AT39" s="1173"/>
      <c r="AU39" s="1173"/>
      <c r="AV39" s="1173"/>
      <c r="AW39" s="1173"/>
      <c r="AX39" s="1173"/>
      <c r="AY39" s="1173"/>
      <c r="AZ39" s="1173"/>
      <c r="BA39" s="1173"/>
      <c r="BB39" s="1173"/>
      <c r="BC39" s="1173"/>
      <c r="BD39" s="1174"/>
      <c r="BH39" s="514" t="s">
        <v>364</v>
      </c>
      <c r="BI39" s="291" t="s">
        <v>728</v>
      </c>
      <c r="BJ39" s="510">
        <f>'Fuel Production'!C149</f>
        <v>5.45</v>
      </c>
      <c r="BK39" s="291" t="s">
        <v>729</v>
      </c>
      <c r="BL39" s="245"/>
      <c r="BM39" s="245"/>
      <c r="BN39" s="245"/>
      <c r="BO39" s="520" t="s">
        <v>995</v>
      </c>
      <c r="BP39" s="674" t="s">
        <v>519</v>
      </c>
      <c r="BQ39" s="138" t="e">
        <f>'Fuel Production'!#REF!</f>
        <v>#REF!</v>
      </c>
      <c r="BR39" s="138" t="e">
        <f>'Fuel Production'!#REF!</f>
        <v>#REF!</v>
      </c>
      <c r="BS39" s="672" t="s">
        <v>640</v>
      </c>
      <c r="BT39" s="672" t="s">
        <v>680</v>
      </c>
      <c r="BU39" s="672"/>
      <c r="BV39" s="672"/>
      <c r="BW39" s="682"/>
      <c r="BX39" t="s">
        <v>173</v>
      </c>
      <c r="BZ39" s="5"/>
      <c r="CA39" s="5"/>
      <c r="CB39" s="635"/>
      <c r="CC39" s="5"/>
      <c r="CD39" s="5"/>
      <c r="CE39" s="29" t="s">
        <v>1190</v>
      </c>
      <c r="CF39" s="29"/>
      <c r="CG39" s="29"/>
      <c r="CH39" s="29"/>
      <c r="CI39" s="5"/>
    </row>
    <row r="40" spans="2:98" ht="15.75" customHeight="1" x14ac:dyDescent="0.25">
      <c r="B40" s="545" t="s">
        <v>1029</v>
      </c>
      <c r="C40" s="550">
        <v>5</v>
      </c>
      <c r="D40" s="35"/>
      <c r="E40" s="35"/>
      <c r="F40" s="35"/>
      <c r="G40" s="139" t="s">
        <v>376</v>
      </c>
      <c r="H40" s="544"/>
      <c r="J40" s="553"/>
      <c r="K40" s="493" t="s">
        <v>323</v>
      </c>
      <c r="L40" s="493" t="s">
        <v>326</v>
      </c>
      <c r="M40" s="35"/>
      <c r="N40" s="35"/>
      <c r="O40" s="493" t="s">
        <v>323</v>
      </c>
      <c r="P40" s="493" t="s">
        <v>326</v>
      </c>
      <c r="Q40" s="16"/>
      <c r="R40" s="35"/>
      <c r="S40" s="35"/>
      <c r="T40" s="381"/>
      <c r="U40" s="493" t="s">
        <v>323</v>
      </c>
      <c r="V40" s="493" t="s">
        <v>326</v>
      </c>
      <c r="W40" s="35"/>
      <c r="X40" s="35"/>
      <c r="Y40" s="493" t="s">
        <v>323</v>
      </c>
      <c r="Z40" s="493" t="s">
        <v>326</v>
      </c>
      <c r="AA40" s="16"/>
      <c r="AB40" s="35"/>
      <c r="AC40" s="35"/>
      <c r="AD40" s="35"/>
      <c r="AE40" s="35"/>
      <c r="AF40" s="35"/>
      <c r="AG40" s="35"/>
      <c r="AH40" s="35"/>
      <c r="AI40" s="35"/>
      <c r="AJ40" s="35"/>
      <c r="AK40" s="35"/>
      <c r="AL40" s="35"/>
      <c r="AM40" s="35"/>
      <c r="AN40" s="252"/>
      <c r="AR40" s="1044" t="s">
        <v>319</v>
      </c>
      <c r="AS40" s="1044"/>
      <c r="AT40" s="1044"/>
      <c r="AU40" s="892" t="s">
        <v>320</v>
      </c>
      <c r="AV40" s="892"/>
      <c r="AW40" s="892"/>
      <c r="AX40" s="35"/>
      <c r="AY40" s="139"/>
      <c r="AZ40" s="139" t="s">
        <v>376</v>
      </c>
      <c r="BA40" s="139" t="s">
        <v>707</v>
      </c>
      <c r="BB40" s="139" t="s">
        <v>708</v>
      </c>
      <c r="BC40" s="139" t="s">
        <v>608</v>
      </c>
      <c r="BD40" s="233" t="s">
        <v>709</v>
      </c>
      <c r="BH40" s="515" t="s">
        <v>364</v>
      </c>
      <c r="BI40" s="139" t="s">
        <v>728</v>
      </c>
      <c r="BJ40" s="138">
        <f>'Fuel Production'!C150</f>
        <v>1.47</v>
      </c>
      <c r="BK40" s="139" t="s">
        <v>730</v>
      </c>
      <c r="BL40" s="35"/>
      <c r="BM40" s="35"/>
      <c r="BN40" s="35"/>
      <c r="BO40" s="35"/>
      <c r="BP40" s="674" t="s">
        <v>520</v>
      </c>
      <c r="BQ40" s="138" t="e">
        <f>'Fuel Production'!#REF!</f>
        <v>#REF!</v>
      </c>
      <c r="BR40" s="138" t="e">
        <f>'Fuel Production'!#REF!</f>
        <v>#REF!</v>
      </c>
      <c r="BS40" s="672" t="s">
        <v>640</v>
      </c>
      <c r="BT40" s="672" t="s">
        <v>682</v>
      </c>
      <c r="BU40" s="672"/>
      <c r="BV40" s="672"/>
      <c r="BW40" s="682"/>
      <c r="BX40" t="s">
        <v>173</v>
      </c>
      <c r="BZ40" s="5"/>
      <c r="CA40" s="5"/>
      <c r="CB40" s="5"/>
      <c r="CC40" s="29"/>
      <c r="CD40" s="5"/>
      <c r="CE40" s="659"/>
      <c r="CF40" s="659"/>
      <c r="CG40" s="659"/>
      <c r="CH40" s="659"/>
      <c r="CI40" s="660"/>
      <c r="CJ40" s="660"/>
      <c r="CK40" s="660"/>
      <c r="CL40" s="660"/>
      <c r="CM40" s="660"/>
      <c r="CN40" s="660"/>
    </row>
    <row r="41" spans="2:98" ht="15.75" customHeight="1" x14ac:dyDescent="0.25">
      <c r="B41" s="546" t="s">
        <v>1030</v>
      </c>
      <c r="C41" s="523">
        <f>C40-(FuelProd3!L14+FuelProd3!V14+FuelProd3!AF14+FuelProd3!L38+FuelProd3!V38+C38+C45+C47)</f>
        <v>3.0098913270920349</v>
      </c>
      <c r="D41" s="11"/>
      <c r="E41" s="11"/>
      <c r="F41" s="11"/>
      <c r="G41" s="543" t="s">
        <v>278</v>
      </c>
      <c r="H41" s="523">
        <f>SUM(H31:H40)</f>
        <v>76.418492288310404</v>
      </c>
      <c r="J41" s="563" t="s">
        <v>333</v>
      </c>
      <c r="K41" s="139">
        <f>((K32+L32)*C6)/1000</f>
        <v>0.216</v>
      </c>
      <c r="L41" s="261">
        <f>(K41/K46)</f>
        <v>0.76056338028169002</v>
      </c>
      <c r="M41" s="35"/>
      <c r="N41" s="35"/>
      <c r="O41" s="139">
        <f>((O32+P32)*C6)/1000</f>
        <v>0.216</v>
      </c>
      <c r="P41" s="261">
        <f>(O41/O46)</f>
        <v>0.76056338028169002</v>
      </c>
      <c r="Q41" s="16"/>
      <c r="R41" s="35"/>
      <c r="S41" s="35"/>
      <c r="T41" s="372" t="s">
        <v>333</v>
      </c>
      <c r="U41" s="139">
        <f>((U32+V32)*C6)/1000</f>
        <v>0.216</v>
      </c>
      <c r="V41" s="261">
        <f>(U41/U46)</f>
        <v>0.76056338028169002</v>
      </c>
      <c r="W41" s="35"/>
      <c r="X41" s="35"/>
      <c r="Y41" s="139">
        <f>((Y32+Z32)*C6)/1000</f>
        <v>0.216</v>
      </c>
      <c r="Z41" s="261">
        <f>(Y41/Y46)</f>
        <v>0.76056338028169002</v>
      </c>
      <c r="AA41" s="16"/>
      <c r="AB41" s="35"/>
      <c r="AC41" s="35"/>
      <c r="AD41" s="35"/>
      <c r="AE41" s="35"/>
      <c r="AF41" s="35"/>
      <c r="AG41" s="35"/>
      <c r="AH41" s="35"/>
      <c r="AI41" s="35"/>
      <c r="AJ41" s="35"/>
      <c r="AK41" s="35"/>
      <c r="AL41" s="35"/>
      <c r="AM41" s="35"/>
      <c r="AN41" s="252"/>
      <c r="AR41" s="492" t="s">
        <v>322</v>
      </c>
      <c r="AS41" s="493" t="s">
        <v>323</v>
      </c>
      <c r="AT41" s="493" t="s">
        <v>326</v>
      </c>
      <c r="AU41" s="493"/>
      <c r="AV41" s="493" t="s">
        <v>323</v>
      </c>
      <c r="AW41" s="494" t="s">
        <v>326</v>
      </c>
      <c r="AX41" s="35"/>
      <c r="AY41" s="139" t="s">
        <v>270</v>
      </c>
      <c r="AZ41" s="139">
        <f>(BT108*BD49/BT110)*AS42</f>
        <v>0.71826418583124219</v>
      </c>
      <c r="BA41" s="139">
        <f>AS42*(BT107*BD50/BT110)</f>
        <v>3.2321888362405899</v>
      </c>
      <c r="BB41" s="139">
        <v>0</v>
      </c>
      <c r="BC41" s="139">
        <f>AS42*(BT109*BD52/BT110)</f>
        <v>0</v>
      </c>
      <c r="BD41" s="233">
        <v>0</v>
      </c>
      <c r="BH41" s="268"/>
      <c r="BI41" s="35"/>
      <c r="BJ41" s="35"/>
      <c r="BK41" s="35"/>
      <c r="BL41" s="35"/>
      <c r="BM41" s="35"/>
      <c r="BN41" s="35"/>
      <c r="BO41" s="35"/>
      <c r="BP41" s="674" t="s">
        <v>521</v>
      </c>
      <c r="BQ41" s="138" t="e">
        <f>'Fuel Production'!#REF!</f>
        <v>#REF!</v>
      </c>
      <c r="BR41" s="138" t="e">
        <f>'Fuel Production'!#REF!</f>
        <v>#REF!</v>
      </c>
      <c r="BS41" s="672" t="s">
        <v>640</v>
      </c>
      <c r="BT41" s="683" t="s">
        <v>684</v>
      </c>
      <c r="BU41" s="672"/>
      <c r="BV41" s="672"/>
      <c r="BW41" s="682"/>
      <c r="BX41" t="s">
        <v>173</v>
      </c>
      <c r="BZ41" s="5"/>
      <c r="CA41" s="5" t="s">
        <v>1130</v>
      </c>
      <c r="CB41" s="5"/>
      <c r="CC41" s="29"/>
      <c r="CD41" s="5"/>
      <c r="CE41" s="659" t="s">
        <v>1137</v>
      </c>
      <c r="CF41" s="659"/>
      <c r="CG41" s="659"/>
      <c r="CH41" s="659"/>
      <c r="CI41" s="660" t="s">
        <v>716</v>
      </c>
      <c r="CJ41" s="660" t="s">
        <v>1140</v>
      </c>
      <c r="CK41" s="660" t="s">
        <v>1139</v>
      </c>
      <c r="CL41" s="660" t="s">
        <v>1133</v>
      </c>
      <c r="CM41" s="660" t="s">
        <v>1141</v>
      </c>
      <c r="CN41" s="660" t="s">
        <v>736</v>
      </c>
    </row>
    <row r="42" spans="2:98" ht="15.75" customHeight="1" x14ac:dyDescent="0.25">
      <c r="J42" s="563" t="s">
        <v>328</v>
      </c>
      <c r="K42" s="139">
        <f>((K33+L33)*C4)/1000</f>
        <v>3.5999999999999997E-2</v>
      </c>
      <c r="L42" s="261">
        <f>(K42/K46)</f>
        <v>0.12676056338028166</v>
      </c>
      <c r="M42" s="35"/>
      <c r="N42" s="35"/>
      <c r="O42" s="139">
        <f>((O33+P33)*C4)/1000</f>
        <v>3.5999999999999997E-2</v>
      </c>
      <c r="P42" s="261">
        <f>(O42/O46)</f>
        <v>0.12676056338028166</v>
      </c>
      <c r="Q42" s="16"/>
      <c r="R42" s="35"/>
      <c r="S42" s="35"/>
      <c r="T42" s="372" t="s">
        <v>328</v>
      </c>
      <c r="U42" s="139">
        <f>((U33+V33)*C4)/1000</f>
        <v>3.5999999999999997E-2</v>
      </c>
      <c r="V42" s="261">
        <f>(U42/U46)</f>
        <v>0.12676056338028166</v>
      </c>
      <c r="W42" s="35"/>
      <c r="X42" s="35"/>
      <c r="Y42" s="139">
        <f>((Y33+Z33)*C4)/1000</f>
        <v>3.5999999999999997E-2</v>
      </c>
      <c r="Z42" s="261">
        <f>(Y42/Y46)</f>
        <v>0.12676056338028166</v>
      </c>
      <c r="AA42" s="16"/>
      <c r="AB42" s="35"/>
      <c r="AC42" s="35"/>
      <c r="AD42" s="35"/>
      <c r="AE42" s="35"/>
      <c r="AF42" s="35"/>
      <c r="AG42" s="35"/>
      <c r="AH42" s="35"/>
      <c r="AI42" s="35"/>
      <c r="AJ42" s="35"/>
      <c r="AK42" s="35"/>
      <c r="AL42" s="35"/>
      <c r="AM42" s="35"/>
      <c r="AN42" s="252"/>
      <c r="AR42" s="232" t="s">
        <v>270</v>
      </c>
      <c r="AS42" s="225">
        <f>FuelProd2!AA30</f>
        <v>3.9504530220718319</v>
      </c>
      <c r="AT42" s="139"/>
      <c r="AU42" s="139" t="s">
        <v>328</v>
      </c>
      <c r="AV42" s="225">
        <f>AZ47</f>
        <v>13.867190468007504</v>
      </c>
      <c r="AW42" s="233"/>
      <c r="AX42" s="35"/>
      <c r="AY42" s="139" t="s">
        <v>379</v>
      </c>
      <c r="AZ42" s="139">
        <f>AS43*(BL108*BD49/BL110)</f>
        <v>2.5445861538461538</v>
      </c>
      <c r="BA42" s="139">
        <f>AS43*(BL107*BD50/BL110)</f>
        <v>16.165606153846156</v>
      </c>
      <c r="BB42" s="139">
        <v>0</v>
      </c>
      <c r="BC42" s="139">
        <f>AS43*(BL109*BD52/BL110)</f>
        <v>2.3949046153846156</v>
      </c>
      <c r="BD42" s="233">
        <v>0</v>
      </c>
      <c r="BH42" s="496" t="s">
        <v>660</v>
      </c>
      <c r="BI42" s="496" t="s">
        <v>62</v>
      </c>
      <c r="BJ42" s="740" t="s">
        <v>660</v>
      </c>
      <c r="BK42" s="740" t="s">
        <v>62</v>
      </c>
      <c r="BL42" s="35"/>
      <c r="BM42" s="35"/>
      <c r="BN42" s="35"/>
      <c r="BO42" s="35"/>
      <c r="BP42" s="674" t="s">
        <v>522</v>
      </c>
      <c r="BQ42" s="138" t="e">
        <f>'Fuel Production'!#REF!</f>
        <v>#REF!</v>
      </c>
      <c r="BR42" s="138" t="e">
        <f>'Fuel Production'!#REF!</f>
        <v>#REF!</v>
      </c>
      <c r="BS42" s="672" t="s">
        <v>640</v>
      </c>
      <c r="BT42" s="683" t="s">
        <v>686</v>
      </c>
      <c r="BU42" s="672"/>
      <c r="BV42" s="672"/>
      <c r="BW42" s="682"/>
      <c r="BX42" t="s">
        <v>173</v>
      </c>
      <c r="BZ42" s="5"/>
      <c r="CA42" s="5" t="s">
        <v>1124</v>
      </c>
      <c r="CB42" s="5">
        <f>CD43</f>
        <v>18.499573742540495</v>
      </c>
      <c r="CD42" s="5"/>
      <c r="CE42" s="661" t="s">
        <v>447</v>
      </c>
      <c r="CF42" s="662"/>
      <c r="CG42" s="662"/>
      <c r="CH42" s="662"/>
      <c r="CI42" s="663">
        <f>FuelProd2!AA89</f>
        <v>100.95945833092748</v>
      </c>
      <c r="CJ42" s="662">
        <v>0.8</v>
      </c>
      <c r="CK42" s="662">
        <f>CI42*CJ42</f>
        <v>80.767566664741992</v>
      </c>
      <c r="CL42" s="662">
        <f>CK42*CB43</f>
        <v>4.3659150091125509</v>
      </c>
      <c r="CM42" s="664">
        <f>CB52*CL42</f>
        <v>1.0914787522781378E-2</v>
      </c>
      <c r="CN42" s="662">
        <f>CM42*BI27</f>
        <v>4.3659150091125509</v>
      </c>
      <c r="CO42" s="42"/>
      <c r="CP42" s="42"/>
    </row>
    <row r="43" spans="2:98" ht="15.75" customHeight="1" x14ac:dyDescent="0.25">
      <c r="C43" t="s">
        <v>770</v>
      </c>
      <c r="D43" s="523">
        <f>AH121+X121+N121+N97+X97+AH97+AH73+X73+N73+N49+X49+AH25+X25+N25</f>
        <v>-48824.596786686867</v>
      </c>
      <c r="E43" t="s">
        <v>1032</v>
      </c>
      <c r="J43" s="563" t="s">
        <v>342</v>
      </c>
      <c r="K43" s="139">
        <f>((K34+L34)*C5)/1000</f>
        <v>3.2000000000000001E-2</v>
      </c>
      <c r="L43" s="261">
        <f>(K43/K46)</f>
        <v>0.11267605633802816</v>
      </c>
      <c r="M43" s="35"/>
      <c r="N43" s="35"/>
      <c r="O43" s="139">
        <f>((O34+P34)*C5)/1000</f>
        <v>3.2000000000000001E-2</v>
      </c>
      <c r="P43" s="261">
        <f>(O43/O46)</f>
        <v>0.11267605633802816</v>
      </c>
      <c r="Q43" s="16"/>
      <c r="R43" s="35"/>
      <c r="S43" s="35"/>
      <c r="T43" s="372" t="s">
        <v>342</v>
      </c>
      <c r="U43" s="139">
        <f>((U34+V34)*C5)/1000</f>
        <v>3.2000000000000001E-2</v>
      </c>
      <c r="V43" s="261">
        <f>(U43/U46)</f>
        <v>0.11267605633802816</v>
      </c>
      <c r="W43" s="35"/>
      <c r="X43" s="35"/>
      <c r="Y43" s="139">
        <f>((Y34+Z34)*C5)/1000</f>
        <v>3.2000000000000001E-2</v>
      </c>
      <c r="Z43" s="261">
        <f>(Y43/Y46)</f>
        <v>0.11267605633802816</v>
      </c>
      <c r="AA43" s="16"/>
      <c r="AB43" s="35"/>
      <c r="AC43" s="35"/>
      <c r="AD43" s="35"/>
      <c r="AE43" s="35"/>
      <c r="AF43" s="35"/>
      <c r="AG43" s="35"/>
      <c r="AH43" s="35"/>
      <c r="AI43" s="35"/>
      <c r="AJ43" s="35"/>
      <c r="AK43" s="35"/>
      <c r="AL43" s="35"/>
      <c r="AM43" s="35"/>
      <c r="AN43" s="252"/>
      <c r="AR43" s="232" t="s">
        <v>379</v>
      </c>
      <c r="AS43" s="225">
        <f>FuelProd2!AA31</f>
        <v>21.105096923076925</v>
      </c>
      <c r="AT43" s="139"/>
      <c r="AU43" s="139" t="s">
        <v>333</v>
      </c>
      <c r="AV43" s="225">
        <f>BA47</f>
        <v>61.046050045756026</v>
      </c>
      <c r="AW43" s="233"/>
      <c r="AX43" s="35"/>
      <c r="AY43" s="139" t="s">
        <v>381</v>
      </c>
      <c r="AZ43" s="139">
        <f>AS44*(BN108*BD49/BN110)</f>
        <v>0.61238709677419356</v>
      </c>
      <c r="BA43" s="139">
        <f>AS44*(BN107*BD50/BN110)</f>
        <v>3.6743225806451614</v>
      </c>
      <c r="BB43" s="139">
        <v>0</v>
      </c>
      <c r="BC43" s="139">
        <f>AS44*(BN109*BD52/BN110)</f>
        <v>0.61238709677419356</v>
      </c>
      <c r="BD43" s="233">
        <v>0</v>
      </c>
      <c r="BH43" s="139" t="s">
        <v>274</v>
      </c>
      <c r="BI43" s="513">
        <f>FuelProd2!AJ77</f>
        <v>8.0719106196310868</v>
      </c>
      <c r="BJ43" s="139" t="s">
        <v>1338</v>
      </c>
      <c r="BK43" s="513">
        <f>FuelProd2!AJ85</f>
        <v>2.24573664022616</v>
      </c>
      <c r="BL43" s="139" t="s">
        <v>731</v>
      </c>
      <c r="BM43" s="513">
        <f>BI43*BJ39</f>
        <v>43.991912876989424</v>
      </c>
      <c r="BN43" s="139" t="s">
        <v>63</v>
      </c>
      <c r="BO43" s="35"/>
      <c r="BP43" s="674" t="s">
        <v>524</v>
      </c>
      <c r="BQ43" s="138" t="e">
        <f>'Fuel Production'!#REF!</f>
        <v>#REF!</v>
      </c>
      <c r="BR43" s="138" t="e">
        <f>'Fuel Production'!#REF!</f>
        <v>#REF!</v>
      </c>
      <c r="BS43" s="672" t="s">
        <v>640</v>
      </c>
      <c r="BT43" s="672" t="s">
        <v>688</v>
      </c>
      <c r="BU43" s="672"/>
      <c r="BV43" s="672"/>
      <c r="BW43" s="682"/>
      <c r="BX43" t="s">
        <v>173</v>
      </c>
      <c r="BZ43" s="5"/>
      <c r="CA43" s="5" t="s">
        <v>1123</v>
      </c>
      <c r="CB43" s="5">
        <f>1/CB42</f>
        <v>5.4055299539170508E-2</v>
      </c>
      <c r="CC43" s="29"/>
      <c r="CD43" s="29">
        <f>1/CB34+1/CB35</f>
        <v>18.499573742540495</v>
      </c>
      <c r="CE43" s="661" t="s">
        <v>1138</v>
      </c>
      <c r="CF43" s="661"/>
      <c r="CG43" s="661"/>
      <c r="CH43" s="661"/>
      <c r="CI43" s="665">
        <f>FuelProd2!S88</f>
        <v>83.285688376453891</v>
      </c>
      <c r="CJ43" s="662">
        <v>0.8</v>
      </c>
      <c r="CK43" s="662">
        <f t="shared" ref="CK43:CK45" si="0">CI43*CJ43</f>
        <v>66.628550701163121</v>
      </c>
      <c r="CL43" s="661">
        <f>CK43*CB43</f>
        <v>3.6016262660121816</v>
      </c>
      <c r="CM43" s="666">
        <f>CB52*CL43</f>
        <v>9.0040656650304546E-3</v>
      </c>
      <c r="CN43" s="661">
        <f>CM43*BQ5</f>
        <v>3.6016262660121821</v>
      </c>
      <c r="CO43" s="82"/>
      <c r="CP43" s="82"/>
    </row>
    <row r="44" spans="2:98" ht="15.75" customHeight="1" x14ac:dyDescent="0.25">
      <c r="J44" s="563" t="s">
        <v>338</v>
      </c>
      <c r="K44" s="139">
        <v>0</v>
      </c>
      <c r="L44" s="261">
        <f>(K44/K46)</f>
        <v>0</v>
      </c>
      <c r="M44" s="35"/>
      <c r="N44" s="35"/>
      <c r="O44" s="139">
        <v>0</v>
      </c>
      <c r="P44" s="261">
        <f>(O44/O46)</f>
        <v>0</v>
      </c>
      <c r="Q44" s="16"/>
      <c r="R44" s="35"/>
      <c r="S44" s="35"/>
      <c r="T44" s="372" t="s">
        <v>338</v>
      </c>
      <c r="U44" s="139">
        <v>0</v>
      </c>
      <c r="V44" s="261">
        <f>(U44/U46)</f>
        <v>0</v>
      </c>
      <c r="W44" s="35"/>
      <c r="X44" s="35"/>
      <c r="Y44" s="139">
        <v>0</v>
      </c>
      <c r="Z44" s="261">
        <f>(Y44/Y46)</f>
        <v>0</v>
      </c>
      <c r="AA44" s="16"/>
      <c r="AB44" s="35"/>
      <c r="AC44" s="35"/>
      <c r="AD44" s="35"/>
      <c r="AE44" s="35"/>
      <c r="AF44" s="35"/>
      <c r="AG44" s="35"/>
      <c r="AH44" s="35"/>
      <c r="AI44" s="35"/>
      <c r="AJ44" s="35"/>
      <c r="AK44" s="35"/>
      <c r="AL44" s="35"/>
      <c r="AM44" s="35"/>
      <c r="AN44" s="252"/>
      <c r="AR44" s="232" t="s">
        <v>381</v>
      </c>
      <c r="AS44" s="225">
        <f>FuelProd2!AA32</f>
        <v>4.8990967741935485</v>
      </c>
      <c r="AT44" s="139"/>
      <c r="AU44" s="139" t="s">
        <v>338</v>
      </c>
      <c r="AV44" s="225">
        <f>BB47</f>
        <v>0</v>
      </c>
      <c r="AW44" s="233"/>
      <c r="AX44" s="35"/>
      <c r="AY44" s="139" t="s">
        <v>382</v>
      </c>
      <c r="AZ44" s="139">
        <f>AS45*(BM108*BD49/BM110)</f>
        <v>0</v>
      </c>
      <c r="BA44" s="139">
        <f>AS45*(BM107*BD50/BM110)</f>
        <v>0</v>
      </c>
      <c r="BB44" s="139">
        <v>0</v>
      </c>
      <c r="BC44" s="139">
        <f>AS45*(BM109*BD52/BM110)</f>
        <v>0</v>
      </c>
      <c r="BD44" s="233">
        <v>0</v>
      </c>
      <c r="BH44" s="139" t="s">
        <v>276</v>
      </c>
      <c r="BI44" s="513">
        <f>FuelProd2!AJ78</f>
        <v>0.226617811513707</v>
      </c>
      <c r="BJ44" s="139" t="s">
        <v>1341</v>
      </c>
      <c r="BK44" s="513">
        <f>FuelProd2!AJ86</f>
        <v>6.3048755942178292E-2</v>
      </c>
      <c r="BL44" s="139" t="s">
        <v>732</v>
      </c>
      <c r="BM44" s="513">
        <f>BJ40*SUM(BI44:BI47)+SUM(BK43:BK44)</f>
        <v>18.969200339555936</v>
      </c>
      <c r="BN44" s="139" t="s">
        <v>63</v>
      </c>
      <c r="BO44" s="35"/>
      <c r="BP44" s="674" t="s">
        <v>525</v>
      </c>
      <c r="BQ44" s="138" t="e">
        <f>'Fuel Production'!#REF!</f>
        <v>#REF!</v>
      </c>
      <c r="BR44" s="138" t="e">
        <f>'Fuel Production'!#REF!</f>
        <v>#REF!</v>
      </c>
      <c r="BS44" s="672" t="s">
        <v>640</v>
      </c>
      <c r="BT44" s="672" t="s">
        <v>690</v>
      </c>
      <c r="BU44" s="672"/>
      <c r="BV44" s="672"/>
      <c r="BW44" s="682"/>
      <c r="BX44" t="s">
        <v>173</v>
      </c>
      <c r="BZ44" s="5"/>
      <c r="CA44" s="5"/>
      <c r="CB44" s="5"/>
      <c r="CC44" s="29"/>
      <c r="CD44" s="5"/>
      <c r="CE44" s="661" t="s">
        <v>1071</v>
      </c>
      <c r="CF44" s="661"/>
      <c r="CG44" s="661"/>
      <c r="CH44" s="661"/>
      <c r="CI44" s="665">
        <f>FuelProd2!S116</f>
        <v>88.285688376453891</v>
      </c>
      <c r="CJ44" s="662">
        <v>0.8</v>
      </c>
      <c r="CK44" s="662">
        <f t="shared" si="0"/>
        <v>70.628550701163121</v>
      </c>
      <c r="CL44" s="661">
        <f>CK44*CB43</f>
        <v>3.8178474641688638</v>
      </c>
      <c r="CM44" s="666">
        <f>CB52*CL44</f>
        <v>9.5446186604221592E-3</v>
      </c>
      <c r="CN44" s="661">
        <f>CM44*BR25</f>
        <v>4.0087398373773064</v>
      </c>
      <c r="CO44" s="82"/>
      <c r="CP44" s="82"/>
    </row>
    <row r="45" spans="2:98" ht="15" customHeight="1" x14ac:dyDescent="0.25">
      <c r="B45" s="1164" t="s">
        <v>1079</v>
      </c>
      <c r="C45" s="523">
        <f>F55</f>
        <v>3.2358885506771809E-2</v>
      </c>
      <c r="J45" s="564" t="s">
        <v>344</v>
      </c>
      <c r="K45" s="226">
        <v>0</v>
      </c>
      <c r="L45" s="261">
        <f>(K45/K46)</f>
        <v>0</v>
      </c>
      <c r="M45" s="35"/>
      <c r="N45" s="35"/>
      <c r="O45" s="226">
        <v>0</v>
      </c>
      <c r="P45" s="261">
        <f>(O45/O46)</f>
        <v>0</v>
      </c>
      <c r="Q45" s="395"/>
      <c r="R45" s="35"/>
      <c r="S45" s="35"/>
      <c r="T45" s="375" t="s">
        <v>344</v>
      </c>
      <c r="U45" s="226">
        <v>0</v>
      </c>
      <c r="V45" s="261">
        <f>(U45/U46)</f>
        <v>0</v>
      </c>
      <c r="W45" s="35"/>
      <c r="X45" s="35"/>
      <c r="Y45" s="226">
        <v>0</v>
      </c>
      <c r="Z45" s="261">
        <f>(Y45/Y46)</f>
        <v>0</v>
      </c>
      <c r="AA45" s="16"/>
      <c r="AB45" s="35"/>
      <c r="AC45" s="35"/>
      <c r="AD45" s="35"/>
      <c r="AE45" s="35"/>
      <c r="AF45" s="35"/>
      <c r="AG45" s="35"/>
      <c r="AH45" s="35"/>
      <c r="AI45" s="35"/>
      <c r="AJ45" s="35"/>
      <c r="AK45" s="35"/>
      <c r="AL45" s="35"/>
      <c r="AM45" s="35"/>
      <c r="AN45" s="252"/>
      <c r="AR45" s="232" t="s">
        <v>382</v>
      </c>
      <c r="AS45" s="225">
        <f>FuelProd2!AA33</f>
        <v>0</v>
      </c>
      <c r="AT45" s="139"/>
      <c r="AU45" s="139" t="s">
        <v>342</v>
      </c>
      <c r="AV45" s="225">
        <f>BC47</f>
        <v>8.6330594862364567</v>
      </c>
      <c r="AW45" s="233"/>
      <c r="AX45" s="35"/>
      <c r="AY45" s="139" t="s">
        <v>384</v>
      </c>
      <c r="AZ45" s="139">
        <f>AS46*(BO108*BD49/BO110)</f>
        <v>6.3289887458373535</v>
      </c>
      <c r="BA45" s="139">
        <f>AS46*(BO107*BD50/BO110)</f>
        <v>37.973932475024121</v>
      </c>
      <c r="BB45" s="139">
        <v>0</v>
      </c>
      <c r="BC45" s="139">
        <f>AS46*(BO109*BD52/BO110)</f>
        <v>5.6257677740776479</v>
      </c>
      <c r="BD45" s="233">
        <v>0</v>
      </c>
      <c r="BF45" s="306"/>
      <c r="BH45" s="139" t="s">
        <v>268</v>
      </c>
      <c r="BI45" s="513">
        <f>FuelProd2!AS82</f>
        <v>3.9214603230494536</v>
      </c>
      <c r="BK45" s="35"/>
      <c r="BL45" s="140" t="s">
        <v>278</v>
      </c>
      <c r="BM45" s="513">
        <f>SUM(BM43:BM44)</f>
        <v>62.961113216545357</v>
      </c>
      <c r="BN45" s="139" t="s">
        <v>63</v>
      </c>
      <c r="BO45" s="35"/>
      <c r="BP45" s="670"/>
      <c r="BQ45" s="659"/>
      <c r="BR45" s="659"/>
      <c r="BS45" s="659"/>
      <c r="BT45" s="659"/>
      <c r="BU45" s="659"/>
      <c r="BV45" s="659"/>
      <c r="BW45" s="671"/>
      <c r="CA45" s="5" t="s">
        <v>1132</v>
      </c>
      <c r="CD45" s="5"/>
      <c r="CE45" s="661" t="s">
        <v>1072</v>
      </c>
      <c r="CF45" s="661"/>
      <c r="CG45" s="661"/>
      <c r="CH45" s="661"/>
      <c r="CI45" s="665">
        <f>FuelProd2!Y135</f>
        <v>54.321472902614659</v>
      </c>
      <c r="CJ45" s="662">
        <v>0.8</v>
      </c>
      <c r="CK45" s="662">
        <f t="shared" si="0"/>
        <v>43.457178322091728</v>
      </c>
      <c r="CL45" s="661">
        <f>CK45*CB43</f>
        <v>2.3490907913278156</v>
      </c>
      <c r="CM45" s="666">
        <f>CB52*CL45</f>
        <v>5.8727269783195391E-3</v>
      </c>
      <c r="CN45" s="661">
        <f>CM45*BR26</f>
        <v>2.4665453308942062</v>
      </c>
      <c r="CO45" s="101"/>
      <c r="CP45" s="82"/>
    </row>
    <row r="46" spans="2:98" x14ac:dyDescent="0.25">
      <c r="B46" s="1148"/>
      <c r="J46" s="563" t="s">
        <v>278</v>
      </c>
      <c r="K46" s="139">
        <f>K41+K42+K43+K44+K45</f>
        <v>0.28400000000000003</v>
      </c>
      <c r="L46" s="139"/>
      <c r="M46" s="35"/>
      <c r="N46" s="35"/>
      <c r="O46" s="139">
        <f>O41+O42+O43+O44+O45</f>
        <v>0.28400000000000003</v>
      </c>
      <c r="P46" s="139"/>
      <c r="Q46" s="16"/>
      <c r="R46" s="35"/>
      <c r="S46" s="35"/>
      <c r="T46" s="372" t="s">
        <v>278</v>
      </c>
      <c r="U46" s="139">
        <f>U41+U42+U43+U44+U45</f>
        <v>0.28400000000000003</v>
      </c>
      <c r="V46" s="139"/>
      <c r="W46" s="35"/>
      <c r="X46" s="35"/>
      <c r="Y46" s="139">
        <f>Y41+Y42+Y43+Y44+Y45</f>
        <v>0.28400000000000003</v>
      </c>
      <c r="Z46" s="139"/>
      <c r="AA46" s="16"/>
      <c r="AB46" s="35"/>
      <c r="AC46" s="35"/>
      <c r="AD46" s="35"/>
      <c r="AE46" s="35"/>
      <c r="AF46" s="35"/>
      <c r="AG46" s="35"/>
      <c r="AH46" s="35"/>
      <c r="AI46" s="35"/>
      <c r="AJ46" s="35"/>
      <c r="AK46" s="35"/>
      <c r="AL46" s="35"/>
      <c r="AM46" s="35"/>
      <c r="AN46" s="252"/>
      <c r="AR46" s="232" t="s">
        <v>384</v>
      </c>
      <c r="AS46" s="225">
        <f>FuelProd2!AA34</f>
        <v>49.928688994939122</v>
      </c>
      <c r="AT46" s="226"/>
      <c r="AU46" s="226" t="s">
        <v>344</v>
      </c>
      <c r="AV46" s="286">
        <f>BD47</f>
        <v>0</v>
      </c>
      <c r="AW46" s="243"/>
      <c r="AX46" s="35"/>
      <c r="AY46" s="139" t="s">
        <v>376</v>
      </c>
      <c r="AZ46" s="139">
        <f>AS47*BP108/BP110*BD49</f>
        <v>3.6629642857185609</v>
      </c>
      <c r="BA46" s="139">
        <f>AS47*(BP107*BD50)</f>
        <v>0</v>
      </c>
      <c r="BB46" s="139">
        <v>0</v>
      </c>
      <c r="BC46" s="139">
        <f>AS47*(BP109*BD52)</f>
        <v>0</v>
      </c>
      <c r="BD46" s="233">
        <v>0</v>
      </c>
      <c r="BH46" s="139" t="s">
        <v>270</v>
      </c>
      <c r="BI46" s="513">
        <f>FuelProd2!AJ80</f>
        <v>4.1756461460914691</v>
      </c>
      <c r="BK46" s="35"/>
      <c r="BL46" s="139"/>
      <c r="BM46" s="519">
        <f>BM45*1000</f>
        <v>62961.11321654536</v>
      </c>
      <c r="BN46" s="139" t="s">
        <v>694</v>
      </c>
      <c r="BO46" s="35"/>
      <c r="BP46" s="670"/>
      <c r="BQ46" s="659"/>
      <c r="BR46" s="659"/>
      <c r="BS46" s="659"/>
      <c r="BT46" s="659"/>
      <c r="BU46" s="659"/>
      <c r="BV46" s="659"/>
      <c r="BW46" s="671"/>
      <c r="CA46" s="5" t="s">
        <v>1125</v>
      </c>
      <c r="CB46" s="5">
        <v>100</v>
      </c>
      <c r="CC46" s="29" t="s">
        <v>1126</v>
      </c>
      <c r="CE46" s="659"/>
      <c r="CF46" s="659"/>
      <c r="CG46" s="659"/>
      <c r="CH46" s="659"/>
      <c r="CI46" s="660"/>
      <c r="CJ46" s="660"/>
      <c r="CK46" s="660"/>
      <c r="CL46" s="660"/>
      <c r="CM46" s="660"/>
      <c r="CN46" s="660"/>
    </row>
    <row r="47" spans="2:98" x14ac:dyDescent="0.25">
      <c r="B47" s="1164" t="s">
        <v>1081</v>
      </c>
      <c r="C47" s="523">
        <f>G55</f>
        <v>0.13510447701895351</v>
      </c>
      <c r="J47" s="565"/>
      <c r="K47" s="11"/>
      <c r="L47" s="14"/>
      <c r="M47" s="11"/>
      <c r="N47" s="11"/>
      <c r="O47" s="13" t="s">
        <v>336</v>
      </c>
      <c r="P47" s="14"/>
      <c r="Q47" s="14"/>
      <c r="R47" s="35"/>
      <c r="S47" s="35"/>
      <c r="T47" s="13"/>
      <c r="U47" s="13" t="s">
        <v>336</v>
      </c>
      <c r="V47" s="14"/>
      <c r="W47" s="11"/>
      <c r="X47" s="11"/>
      <c r="Y47" s="13" t="s">
        <v>336</v>
      </c>
      <c r="Z47" s="14"/>
      <c r="AA47" s="14"/>
      <c r="AB47" s="35"/>
      <c r="AC47" s="35"/>
      <c r="AD47" s="35"/>
      <c r="AE47" s="35"/>
      <c r="AF47" s="35"/>
      <c r="AG47" s="35"/>
      <c r="AH47" s="35"/>
      <c r="AI47" s="35"/>
      <c r="AJ47" s="35"/>
      <c r="AK47" s="35"/>
      <c r="AL47" s="35"/>
      <c r="AM47" s="35"/>
      <c r="AN47" s="252"/>
      <c r="AR47" s="232" t="s">
        <v>376</v>
      </c>
      <c r="AS47" s="225">
        <f>FuelProd2!AA35</f>
        <v>3.6629642857185609</v>
      </c>
      <c r="AT47" s="226"/>
      <c r="AU47" s="226"/>
      <c r="AV47" s="286"/>
      <c r="AW47" s="243"/>
      <c r="AX47" s="35"/>
      <c r="AY47" s="139" t="s">
        <v>278</v>
      </c>
      <c r="AZ47" s="139">
        <f>SUM(AZ41:AZ46)</f>
        <v>13.867190468007504</v>
      </c>
      <c r="BA47" s="139">
        <f>SUM(BA41:BA46)</f>
        <v>61.046050045756026</v>
      </c>
      <c r="BB47" s="139">
        <v>0</v>
      </c>
      <c r="BC47" s="139">
        <f>SUM(BC41:BC46)</f>
        <v>8.6330594862364567</v>
      </c>
      <c r="BD47" s="233">
        <v>0</v>
      </c>
      <c r="BH47" s="139" t="s">
        <v>376</v>
      </c>
      <c r="BI47" s="513">
        <f>FuelProd2!AJ81</f>
        <v>3.0098913270920349</v>
      </c>
      <c r="BK47" s="35"/>
      <c r="BL47" s="35"/>
      <c r="BM47" s="35"/>
      <c r="BN47" s="35"/>
      <c r="BO47" s="35"/>
      <c r="BP47" s="1178" t="s">
        <v>660</v>
      </c>
      <c r="BQ47" s="679" t="s">
        <v>716</v>
      </c>
      <c r="BR47" s="679" t="s">
        <v>716</v>
      </c>
      <c r="BS47" s="679" t="s">
        <v>701</v>
      </c>
      <c r="BT47" s="679" t="s">
        <v>701</v>
      </c>
      <c r="BU47" s="679" t="s">
        <v>702</v>
      </c>
      <c r="BV47" s="679" t="s">
        <v>703</v>
      </c>
      <c r="BW47" s="671"/>
      <c r="CE47" s="35"/>
      <c r="CF47" s="35"/>
      <c r="CG47" s="35"/>
      <c r="CH47" s="35"/>
    </row>
    <row r="48" spans="2:98" ht="15.75" thickBot="1" x14ac:dyDescent="0.3">
      <c r="B48" s="1148"/>
      <c r="J48" s="268"/>
      <c r="K48" s="35"/>
      <c r="L48" s="35"/>
      <c r="M48" s="13" t="s">
        <v>336</v>
      </c>
      <c r="N48" s="35">
        <f>(O30*C17)-(K30*C15+L30*C26)</f>
        <v>-126.20000000000005</v>
      </c>
      <c r="O48" s="35"/>
      <c r="P48" s="35"/>
      <c r="Q48" s="35"/>
      <c r="R48" s="35"/>
      <c r="S48" s="35"/>
      <c r="T48" s="35"/>
      <c r="U48" s="35"/>
      <c r="V48" s="35"/>
      <c r="W48" s="13" t="s">
        <v>336</v>
      </c>
      <c r="X48" s="35">
        <f>(Y30*C17)-(U30*C16+V30*C26)</f>
        <v>-256.29999999999995</v>
      </c>
      <c r="Y48" s="35"/>
      <c r="Z48" s="35"/>
      <c r="AA48" s="35"/>
      <c r="AB48" s="35"/>
      <c r="AC48" s="35"/>
      <c r="AD48" s="35"/>
      <c r="AE48" s="35"/>
      <c r="AF48" s="35"/>
      <c r="AG48" s="35"/>
      <c r="AH48" s="35"/>
      <c r="AI48" s="35"/>
      <c r="AJ48" s="35"/>
      <c r="AK48" s="35"/>
      <c r="AL48" s="35"/>
      <c r="AM48" s="35"/>
      <c r="AN48" s="252"/>
      <c r="AR48" s="218" t="s">
        <v>278</v>
      </c>
      <c r="AS48" s="255">
        <v>78.958500000000001</v>
      </c>
      <c r="AT48" s="249"/>
      <c r="AU48" s="249" t="s">
        <v>278</v>
      </c>
      <c r="AV48" s="255">
        <f>SUM(AV42:AV46)</f>
        <v>83.546299999999988</v>
      </c>
      <c r="AW48" s="267"/>
      <c r="AX48" s="35"/>
      <c r="AY48" s="35"/>
      <c r="AZ48" s="35"/>
      <c r="BA48" s="35"/>
      <c r="BB48" s="35"/>
      <c r="BC48" s="35"/>
      <c r="BD48" s="252"/>
      <c r="BH48" s="271"/>
      <c r="BI48" s="272"/>
      <c r="BJ48" s="272"/>
      <c r="BK48" s="272"/>
      <c r="BL48" s="272"/>
      <c r="BM48" s="272"/>
      <c r="BN48" s="272"/>
      <c r="BO48" s="272"/>
      <c r="BP48" s="1178"/>
      <c r="BQ48" s="679" t="s">
        <v>62</v>
      </c>
      <c r="BR48" s="679" t="s">
        <v>710</v>
      </c>
      <c r="BS48" s="679" t="s">
        <v>711</v>
      </c>
      <c r="BT48" s="679" t="s">
        <v>712</v>
      </c>
      <c r="BU48" s="679"/>
      <c r="BV48" s="679"/>
      <c r="BW48" s="671"/>
      <c r="CA48" s="5" t="s">
        <v>1131</v>
      </c>
      <c r="CB48" s="5"/>
      <c r="CC48" s="29"/>
      <c r="CF48" s="35"/>
      <c r="CG48" s="35"/>
      <c r="CH48" s="35"/>
    </row>
    <row r="49" spans="2:100" ht="16.5" thickBot="1" x14ac:dyDescent="0.3">
      <c r="J49" s="268"/>
      <c r="K49" s="35"/>
      <c r="L49" s="35"/>
      <c r="M49" s="35"/>
      <c r="N49" s="35">
        <f>N48*K36</f>
        <v>-9444.9050769230817</v>
      </c>
      <c r="O49" s="35"/>
      <c r="P49" s="35"/>
      <c r="Q49" s="35"/>
      <c r="R49" s="35"/>
      <c r="S49" s="35"/>
      <c r="T49" s="35"/>
      <c r="U49" s="35"/>
      <c r="V49" s="35"/>
      <c r="W49" s="35"/>
      <c r="X49" s="35">
        <f>X48*U36</f>
        <v>-41562.635535307498</v>
      </c>
      <c r="Y49" s="35"/>
      <c r="Z49" s="35"/>
      <c r="AA49" s="35"/>
      <c r="AB49" s="35"/>
      <c r="AC49" s="35"/>
      <c r="AD49" s="35"/>
      <c r="AE49" s="35"/>
      <c r="AF49" s="35"/>
      <c r="AG49" s="35"/>
      <c r="AH49" s="35"/>
      <c r="AI49" s="35"/>
      <c r="AJ49" s="35"/>
      <c r="AK49" s="35"/>
      <c r="AL49" s="35"/>
      <c r="AM49" s="35"/>
      <c r="AN49" s="252"/>
      <c r="AR49" s="222" t="s">
        <v>279</v>
      </c>
      <c r="AS49" s="35"/>
      <c r="AT49" s="35"/>
      <c r="AU49" s="232"/>
      <c r="AV49" s="139"/>
      <c r="AW49" s="233"/>
      <c r="AX49" s="35"/>
      <c r="AY49" s="35"/>
      <c r="AZ49" s="35"/>
      <c r="BA49" s="35"/>
      <c r="BB49" s="35"/>
      <c r="BC49" s="35" t="s">
        <v>376</v>
      </c>
      <c r="BD49" s="252">
        <v>1</v>
      </c>
      <c r="BH49" s="1184" t="s">
        <v>408</v>
      </c>
      <c r="BI49" s="1185"/>
      <c r="BJ49" s="1185"/>
      <c r="BK49" s="1185"/>
      <c r="BL49" s="1185"/>
      <c r="BM49" s="1185"/>
      <c r="BN49" s="1185"/>
      <c r="BO49" s="1185"/>
      <c r="BP49" s="674" t="s">
        <v>471</v>
      </c>
      <c r="BQ49" s="523">
        <f t="shared" ref="BQ49:BQ63" si="1">AE126</f>
        <v>3.7155312095144715</v>
      </c>
      <c r="BR49" s="523">
        <f>BQ49/BJ100</f>
        <v>14.62807562800973</v>
      </c>
      <c r="BS49" s="523" t="e">
        <f>BR49*BQ30*BV25</f>
        <v>#REF!</v>
      </c>
      <c r="BT49" s="523" t="e">
        <f>BS49/1000</f>
        <v>#REF!</v>
      </c>
      <c r="BU49" s="523" t="e">
        <f>BR49*BQ30*BV26</f>
        <v>#REF!</v>
      </c>
      <c r="BV49" s="523" t="e">
        <f t="shared" ref="BV49:BV58" si="2">BU49/1000</f>
        <v>#REF!</v>
      </c>
      <c r="BW49" s="671"/>
      <c r="CA49" s="5" t="s">
        <v>1133</v>
      </c>
      <c r="CB49">
        <f>CB43*CB46</f>
        <v>5.4055299539170507</v>
      </c>
      <c r="CC49" s="29"/>
      <c r="CE49" s="35"/>
      <c r="CF49" s="35"/>
      <c r="CG49" s="35"/>
      <c r="CH49" s="35"/>
    </row>
    <row r="50" spans="2:100" ht="15.75" thickBot="1" x14ac:dyDescent="0.3">
      <c r="J50" s="268"/>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252"/>
      <c r="AR50" s="211" t="s">
        <v>393</v>
      </c>
      <c r="AS50" s="373">
        <v>1.8</v>
      </c>
      <c r="AT50" s="194">
        <v>1.7999999999999999E-2</v>
      </c>
      <c r="AU50" s="232"/>
      <c r="AV50" s="139"/>
      <c r="AW50" s="233"/>
      <c r="AX50" s="35"/>
      <c r="AY50" s="35"/>
      <c r="AZ50" s="35"/>
      <c r="BA50" s="35"/>
      <c r="BB50" s="35"/>
      <c r="BC50" s="517" t="s">
        <v>707</v>
      </c>
      <c r="BD50" s="252">
        <v>12</v>
      </c>
      <c r="BH50" s="257"/>
      <c r="BI50" s="245"/>
      <c r="BJ50" s="245"/>
      <c r="BK50" s="291" t="s">
        <v>364</v>
      </c>
      <c r="BL50" s="291" t="s">
        <v>728</v>
      </c>
      <c r="BM50" s="510">
        <f>'Fuel Production'!C115</f>
        <v>1.47</v>
      </c>
      <c r="BN50" s="291" t="s">
        <v>730</v>
      </c>
      <c r="BO50" s="522"/>
      <c r="BP50" s="674" t="s">
        <v>467</v>
      </c>
      <c r="BQ50" s="523">
        <f t="shared" si="1"/>
        <v>2.5782221608381968</v>
      </c>
      <c r="BR50" s="523">
        <f>BQ50/BL100</f>
        <v>10.742592336825821</v>
      </c>
      <c r="BS50" s="523" t="e">
        <f>BQ31*BR50*BV25</f>
        <v>#REF!</v>
      </c>
      <c r="BT50" s="523" t="e">
        <f t="shared" ref="BT50:BT63" si="3">BS50/1000</f>
        <v>#REF!</v>
      </c>
      <c r="BU50" s="523" t="e">
        <f>BR50*BQ31*BV26</f>
        <v>#REF!</v>
      </c>
      <c r="BV50" s="523" t="e">
        <f t="shared" si="2"/>
        <v>#REF!</v>
      </c>
      <c r="BW50" s="671"/>
      <c r="CC50" s="29"/>
      <c r="CE50" s="35"/>
      <c r="CF50" s="35"/>
    </row>
    <row r="51" spans="2:100" ht="15" customHeight="1" thickBot="1" x14ac:dyDescent="0.3">
      <c r="B51" t="s">
        <v>1082</v>
      </c>
      <c r="J51" s="365">
        <v>6</v>
      </c>
      <c r="K51" s="982" t="s">
        <v>719</v>
      </c>
      <c r="L51" s="982"/>
      <c r="M51" s="982"/>
      <c r="N51" s="982"/>
      <c r="O51" s="982"/>
      <c r="P51" s="982"/>
      <c r="Q51" s="982"/>
      <c r="R51" s="35"/>
      <c r="S51" s="35"/>
      <c r="T51" s="365">
        <v>7</v>
      </c>
      <c r="U51" s="982" t="s">
        <v>719</v>
      </c>
      <c r="V51" s="982"/>
      <c r="W51" s="982"/>
      <c r="X51" s="982"/>
      <c r="Y51" s="982"/>
      <c r="Z51" s="982"/>
      <c r="AA51" s="982"/>
      <c r="AB51" s="35"/>
      <c r="AC51" s="35"/>
      <c r="AD51" s="365">
        <v>8</v>
      </c>
      <c r="AE51" s="982" t="s">
        <v>719</v>
      </c>
      <c r="AF51" s="982"/>
      <c r="AG51" s="982"/>
      <c r="AH51" s="982"/>
      <c r="AI51" s="982"/>
      <c r="AJ51" s="982"/>
      <c r="AK51" s="982"/>
      <c r="AL51" s="35"/>
      <c r="AM51" s="35"/>
      <c r="AN51" s="252"/>
      <c r="AR51" s="211" t="s">
        <v>264</v>
      </c>
      <c r="AS51" s="373">
        <v>2.2000000000000002</v>
      </c>
      <c r="AT51" s="194">
        <v>2.1999999999999999E-2</v>
      </c>
      <c r="AU51" s="232"/>
      <c r="AV51" s="139"/>
      <c r="AW51" s="233"/>
      <c r="AX51" s="35"/>
      <c r="AY51" s="35"/>
      <c r="AZ51" s="35"/>
      <c r="BA51" s="35"/>
      <c r="BB51" s="35"/>
      <c r="BC51" s="35" t="s">
        <v>708</v>
      </c>
      <c r="BD51" s="252">
        <v>14</v>
      </c>
      <c r="BH51" s="508" t="s">
        <v>660</v>
      </c>
      <c r="BI51" s="496" t="s">
        <v>1006</v>
      </c>
      <c r="BJ51" s="35"/>
      <c r="BK51" s="35"/>
      <c r="BL51" s="35"/>
      <c r="BM51" s="35"/>
      <c r="BN51" s="35"/>
      <c r="BO51" s="35"/>
      <c r="BP51" s="674" t="s">
        <v>476</v>
      </c>
      <c r="BQ51" s="523">
        <f t="shared" si="1"/>
        <v>0.12650368379693394</v>
      </c>
      <c r="BR51" s="523">
        <f>BQ51/BM100</f>
        <v>0.55975081326076959</v>
      </c>
      <c r="BS51" s="523" t="e">
        <f>BR51*BQ32*BV25</f>
        <v>#REF!</v>
      </c>
      <c r="BT51" s="523" t="e">
        <f t="shared" si="3"/>
        <v>#REF!</v>
      </c>
      <c r="BU51" s="523" t="e">
        <f>BR51*BQ32*BV26</f>
        <v>#REF!</v>
      </c>
      <c r="BV51" s="523" t="e">
        <f t="shared" si="2"/>
        <v>#REF!</v>
      </c>
      <c r="BW51" s="671"/>
      <c r="CA51" t="s">
        <v>1134</v>
      </c>
      <c r="CE51" s="35"/>
      <c r="CF51" s="35"/>
    </row>
    <row r="52" spans="2:100" ht="15.75" thickBot="1" x14ac:dyDescent="0.3">
      <c r="B52" t="s">
        <v>136</v>
      </c>
      <c r="C52" s="144">
        <f>FuelProd2!AI22</f>
        <v>5</v>
      </c>
      <c r="J52" s="561" t="s">
        <v>720</v>
      </c>
      <c r="K52" s="1160" t="s">
        <v>552</v>
      </c>
      <c r="L52" s="1160"/>
      <c r="M52" s="35"/>
      <c r="N52" s="35"/>
      <c r="O52" s="1160" t="s">
        <v>553</v>
      </c>
      <c r="P52" s="1160"/>
      <c r="Q52" s="16"/>
      <c r="R52" s="35"/>
      <c r="S52" s="35"/>
      <c r="T52" s="367" t="s">
        <v>721</v>
      </c>
      <c r="U52" s="1160" t="s">
        <v>552</v>
      </c>
      <c r="V52" s="1160"/>
      <c r="W52" s="35"/>
      <c r="X52" s="35"/>
      <c r="Y52" s="1160" t="s">
        <v>553</v>
      </c>
      <c r="Z52" s="1160"/>
      <c r="AA52" s="16"/>
      <c r="AB52" s="35"/>
      <c r="AC52" s="35"/>
      <c r="AD52" s="367" t="s">
        <v>722</v>
      </c>
      <c r="AE52" s="1160" t="s">
        <v>552</v>
      </c>
      <c r="AF52" s="1160"/>
      <c r="AG52" s="35"/>
      <c r="AH52" s="35"/>
      <c r="AI52" s="1160" t="s">
        <v>553</v>
      </c>
      <c r="AJ52" s="1160"/>
      <c r="AK52" s="16"/>
      <c r="AL52" s="35"/>
      <c r="AM52" s="35"/>
      <c r="AN52" s="252"/>
      <c r="AR52" s="211" t="s">
        <v>267</v>
      </c>
      <c r="AS52" s="373">
        <v>16.900000000000002</v>
      </c>
      <c r="AT52" s="194">
        <v>0.16900000000000001</v>
      </c>
      <c r="AU52" s="232"/>
      <c r="AV52" s="139"/>
      <c r="AW52" s="233"/>
      <c r="AX52" s="35"/>
      <c r="AY52" s="35"/>
      <c r="AZ52" s="35"/>
      <c r="BA52" s="35"/>
      <c r="BB52" s="35"/>
      <c r="BC52" s="35" t="s">
        <v>608</v>
      </c>
      <c r="BD52" s="252">
        <v>16</v>
      </c>
      <c r="BH52" s="232" t="s">
        <v>270</v>
      </c>
      <c r="BI52" s="513">
        <f>FuelProd2!AA30</f>
        <v>3.9504530220718319</v>
      </c>
      <c r="BJ52" s="35"/>
      <c r="BK52" s="35"/>
      <c r="BL52" s="139" t="s">
        <v>1005</v>
      </c>
      <c r="BM52" s="513">
        <f>(BI52+BI53)*BM50</f>
        <v>6.1381998347544595</v>
      </c>
      <c r="BN52" s="139" t="s">
        <v>63</v>
      </c>
      <c r="BO52" s="35"/>
      <c r="BP52" s="674" t="s">
        <v>474</v>
      </c>
      <c r="BQ52" s="523">
        <f t="shared" si="1"/>
        <v>2.7968248174416175</v>
      </c>
      <c r="BR52" s="523">
        <f>BQ52/BN100</f>
        <v>13.192569893592536</v>
      </c>
      <c r="BS52" s="523" t="e">
        <f>BR52*BQ33*BV25</f>
        <v>#REF!</v>
      </c>
      <c r="BT52" s="523" t="e">
        <f t="shared" si="3"/>
        <v>#REF!</v>
      </c>
      <c r="BU52" s="523" t="e">
        <f>BR52*BQ33*BV26</f>
        <v>#REF!</v>
      </c>
      <c r="BV52" s="523" t="e">
        <f t="shared" si="2"/>
        <v>#REF!</v>
      </c>
      <c r="BW52" s="671"/>
      <c r="CA52" t="s">
        <v>1135</v>
      </c>
      <c r="CB52" s="319">
        <v>2.5000000000000001E-3</v>
      </c>
      <c r="CC52" s="29"/>
      <c r="CE52" s="35"/>
      <c r="CF52" s="35"/>
    </row>
    <row r="53" spans="2:100" ht="18.75" thickBot="1" x14ac:dyDescent="0.4">
      <c r="B53" s="603" t="s">
        <v>1083</v>
      </c>
      <c r="C53" s="144">
        <f>-C37</f>
        <v>-1.3370357142814391</v>
      </c>
      <c r="J53" s="562" t="s">
        <v>322</v>
      </c>
      <c r="K53" s="36" t="s">
        <v>384</v>
      </c>
      <c r="L53" s="38"/>
      <c r="M53" s="35"/>
      <c r="N53" s="35"/>
      <c r="O53" s="36" t="s">
        <v>723</v>
      </c>
      <c r="P53" s="226" t="s">
        <v>675</v>
      </c>
      <c r="Q53" s="16"/>
      <c r="R53" s="35"/>
      <c r="S53" s="35"/>
      <c r="T53" s="368" t="s">
        <v>322</v>
      </c>
      <c r="U53" s="36" t="s">
        <v>379</v>
      </c>
      <c r="V53" s="38"/>
      <c r="W53" s="35"/>
      <c r="X53" s="35"/>
      <c r="Y53" s="36" t="s">
        <v>723</v>
      </c>
      <c r="Z53" s="226" t="s">
        <v>675</v>
      </c>
      <c r="AA53" s="16"/>
      <c r="AB53" s="35"/>
      <c r="AC53" s="35"/>
      <c r="AD53" s="368" t="s">
        <v>322</v>
      </c>
      <c r="AE53" s="38" t="s">
        <v>381</v>
      </c>
      <c r="AF53" s="38"/>
      <c r="AG53" s="35"/>
      <c r="AH53" s="35"/>
      <c r="AI53" s="36" t="s">
        <v>724</v>
      </c>
      <c r="AJ53" s="226" t="s">
        <v>675</v>
      </c>
      <c r="AK53" s="16"/>
      <c r="AL53" s="35"/>
      <c r="AM53" s="35"/>
      <c r="AN53" s="252"/>
      <c r="AR53" s="218" t="s">
        <v>278</v>
      </c>
      <c r="AS53" s="249">
        <v>100.00000000000001</v>
      </c>
      <c r="AT53" s="250">
        <v>1</v>
      </c>
      <c r="AU53" s="218" t="s">
        <v>278</v>
      </c>
      <c r="AV53" s="249">
        <v>100.00000000000001</v>
      </c>
      <c r="AW53" s="250">
        <v>1</v>
      </c>
      <c r="AX53" s="35"/>
      <c r="AY53" s="35" t="s">
        <v>699</v>
      </c>
      <c r="AZ53" s="35"/>
      <c r="BA53" s="35"/>
      <c r="BB53" s="35" t="s">
        <v>700</v>
      </c>
      <c r="BC53" s="35" t="s">
        <v>709</v>
      </c>
      <c r="BD53" s="252">
        <v>32</v>
      </c>
      <c r="BH53" s="218" t="s">
        <v>1009</v>
      </c>
      <c r="BI53" s="516">
        <f>FuelProd2!AJ54</f>
        <v>0.22519312401963693</v>
      </c>
      <c r="BJ53" s="272"/>
      <c r="BK53" s="272"/>
      <c r="BL53" s="249"/>
      <c r="BM53" s="524">
        <f>BM52*1000</f>
        <v>6138.1998347544595</v>
      </c>
      <c r="BN53" s="249" t="s">
        <v>694</v>
      </c>
      <c r="BO53" s="272"/>
      <c r="BP53" s="674" t="s">
        <v>512</v>
      </c>
      <c r="BQ53" s="523">
        <f t="shared" si="1"/>
        <v>5.4851747139796432</v>
      </c>
      <c r="BR53" s="523">
        <f>BQ53/BO100</f>
        <v>27.702902595856781</v>
      </c>
      <c r="BS53" s="523" t="e">
        <f>BR53*BQ34*BV25</f>
        <v>#REF!</v>
      </c>
      <c r="BT53" s="523" t="e">
        <f t="shared" si="3"/>
        <v>#REF!</v>
      </c>
      <c r="BU53" s="523" t="e">
        <f>BR53*BQ34*BV26</f>
        <v>#REF!</v>
      </c>
      <c r="BV53" s="523" t="e">
        <f t="shared" si="2"/>
        <v>#REF!</v>
      </c>
      <c r="BW53" s="671"/>
      <c r="CC53" s="29"/>
      <c r="CE53" s="35"/>
      <c r="CF53" s="35"/>
    </row>
    <row r="54" spans="2:100" ht="16.5" thickBot="1" x14ac:dyDescent="0.3">
      <c r="B54" t="s">
        <v>1084</v>
      </c>
      <c r="C54" s="144">
        <f>C52+C53</f>
        <v>3.6629642857185609</v>
      </c>
      <c r="J54" s="563" t="s">
        <v>565</v>
      </c>
      <c r="K54" s="128">
        <v>1</v>
      </c>
      <c r="L54" s="155"/>
      <c r="M54" s="35"/>
      <c r="N54" s="35"/>
      <c r="O54" s="128">
        <v>1</v>
      </c>
      <c r="P54" s="139">
        <v>1</v>
      </c>
      <c r="Q54" s="16"/>
      <c r="R54" s="35"/>
      <c r="S54" s="35"/>
      <c r="T54" s="372" t="s">
        <v>565</v>
      </c>
      <c r="U54" s="128">
        <v>1</v>
      </c>
      <c r="V54" s="155"/>
      <c r="W54" s="35"/>
      <c r="X54" s="35"/>
      <c r="Y54" s="128">
        <v>1</v>
      </c>
      <c r="Z54" s="139">
        <v>1</v>
      </c>
      <c r="AA54" s="16"/>
      <c r="AB54" s="35"/>
      <c r="AC54" s="35"/>
      <c r="AD54" s="372" t="s">
        <v>565</v>
      </c>
      <c r="AE54" s="155">
        <v>1</v>
      </c>
      <c r="AF54" s="155"/>
      <c r="AG54" s="35"/>
      <c r="AH54" s="35"/>
      <c r="AI54" s="128">
        <v>1</v>
      </c>
      <c r="AJ54" s="139">
        <v>1</v>
      </c>
      <c r="AK54" s="16"/>
      <c r="AL54" s="35"/>
      <c r="AM54" s="35"/>
      <c r="AN54" s="252"/>
      <c r="AR54" s="268"/>
      <c r="AS54" s="35"/>
      <c r="AT54" s="35"/>
      <c r="AU54" s="35"/>
      <c r="AV54" s="35"/>
      <c r="AW54" s="35"/>
      <c r="AX54" s="35"/>
      <c r="AY54" s="35"/>
      <c r="AZ54" s="35"/>
      <c r="BA54" s="35"/>
      <c r="BB54" s="35"/>
      <c r="BC54" s="35"/>
      <c r="BD54" s="252"/>
      <c r="BH54" s="1184" t="s">
        <v>534</v>
      </c>
      <c r="BI54" s="1185"/>
      <c r="BJ54" s="1185"/>
      <c r="BK54" s="1185"/>
      <c r="BL54" s="1185"/>
      <c r="BM54" s="1185"/>
      <c r="BN54" s="1185"/>
      <c r="BO54" s="1185"/>
      <c r="BP54" s="674" t="s">
        <v>513</v>
      </c>
      <c r="BQ54" s="523">
        <f t="shared" si="1"/>
        <v>7.0488612722106643</v>
      </c>
      <c r="BR54" s="523">
        <f>BQ54/BP100</f>
        <v>38.309028653318826</v>
      </c>
      <c r="BS54" s="523" t="e">
        <f>BR54*BQ35*BV25</f>
        <v>#REF!</v>
      </c>
      <c r="BT54" s="523" t="e">
        <f t="shared" si="3"/>
        <v>#REF!</v>
      </c>
      <c r="BU54" s="523" t="e">
        <f>BR54*BQ35*BV26</f>
        <v>#REF!</v>
      </c>
      <c r="BV54" s="523" t="e">
        <f t="shared" si="2"/>
        <v>#REF!</v>
      </c>
      <c r="BW54" s="671"/>
      <c r="CA54" t="s">
        <v>1136</v>
      </c>
      <c r="CC54" s="35"/>
      <c r="CE54" s="668" t="s">
        <v>1198</v>
      </c>
      <c r="CF54" s="35"/>
      <c r="CR54" t="s">
        <v>1203</v>
      </c>
      <c r="CU54" s="306">
        <f>'Fuel Production'!C60</f>
        <v>0.76</v>
      </c>
    </row>
    <row r="55" spans="2:100" ht="18.75" thickBot="1" x14ac:dyDescent="0.4">
      <c r="B55" s="603" t="s">
        <v>1083</v>
      </c>
      <c r="C55" s="144">
        <f>-C38</f>
        <v>-0.48560959610080073</v>
      </c>
      <c r="F55">
        <f>(1/3*FuelProd3!C37/(FuelProd2!AA58-FuelProd2!AA57))*(FuelProd2!AA40)+(2/3*FuelProd3!C37/(FuelProd2!AA58-FuelProd2!AA57))*(FuelProd2!AA39)</f>
        <v>3.2358885506771809E-2</v>
      </c>
      <c r="G55">
        <f>(FuelProd3!C38)/(SUM(FuelProd2!AA73:AA81))*(FuelProd2!AA85+FuelProd2!AA86)</f>
        <v>0.13510447701895351</v>
      </c>
      <c r="J55" s="561" t="s">
        <v>569</v>
      </c>
      <c r="K55" s="128" t="s">
        <v>674</v>
      </c>
      <c r="L55" s="155"/>
      <c r="M55" s="139" t="s">
        <v>572</v>
      </c>
      <c r="N55" s="35"/>
      <c r="O55" s="128" t="s">
        <v>725</v>
      </c>
      <c r="P55" s="226" t="s">
        <v>675</v>
      </c>
      <c r="Q55" s="139" t="s">
        <v>575</v>
      </c>
      <c r="R55" s="35"/>
      <c r="S55" s="35"/>
      <c r="T55" s="367" t="s">
        <v>569</v>
      </c>
      <c r="U55" s="13" t="s">
        <v>574</v>
      </c>
      <c r="V55" s="155"/>
      <c r="W55" s="139" t="s">
        <v>572</v>
      </c>
      <c r="X55" s="35"/>
      <c r="Y55" s="128" t="s">
        <v>726</v>
      </c>
      <c r="Z55" s="226" t="s">
        <v>675</v>
      </c>
      <c r="AA55" s="139" t="s">
        <v>575</v>
      </c>
      <c r="AB55" s="35"/>
      <c r="AC55" s="35"/>
      <c r="AD55" s="367" t="s">
        <v>569</v>
      </c>
      <c r="AE55" s="14" t="s">
        <v>579</v>
      </c>
      <c r="AF55" s="155"/>
      <c r="AG55" s="139" t="s">
        <v>572</v>
      </c>
      <c r="AH55" s="35"/>
      <c r="AI55" s="128" t="s">
        <v>727</v>
      </c>
      <c r="AJ55" s="226" t="s">
        <v>675</v>
      </c>
      <c r="AK55" s="139" t="s">
        <v>575</v>
      </c>
      <c r="AL55" s="35"/>
      <c r="AM55" s="35"/>
      <c r="AN55" s="252"/>
      <c r="AR55" s="268"/>
      <c r="AS55" s="35"/>
      <c r="AT55" s="35"/>
      <c r="AU55" s="35"/>
      <c r="AV55" s="35"/>
      <c r="AW55" s="35"/>
      <c r="AX55" s="35"/>
      <c r="AY55" s="35"/>
      <c r="AZ55" s="35"/>
      <c r="BA55" s="35"/>
      <c r="BB55" s="35"/>
      <c r="BC55" s="35"/>
      <c r="BD55" s="252"/>
      <c r="BH55" s="401" t="s">
        <v>737</v>
      </c>
      <c r="BI55" s="510">
        <f>'Fuel Production'!C169</f>
        <v>1E-3</v>
      </c>
      <c r="BJ55" s="506" t="s">
        <v>367</v>
      </c>
      <c r="BK55" s="534" t="s">
        <v>660</v>
      </c>
      <c r="BL55" s="534" t="s">
        <v>716</v>
      </c>
      <c r="BM55" s="245"/>
      <c r="BN55" s="245"/>
      <c r="BO55" s="535" t="s">
        <v>1004</v>
      </c>
      <c r="BP55" s="674" t="s">
        <v>515</v>
      </c>
      <c r="BQ55" s="523">
        <f t="shared" si="1"/>
        <v>8.9543000339013723</v>
      </c>
      <c r="BR55" s="523">
        <f>BQ55/BQ100</f>
        <v>52.672353140596307</v>
      </c>
      <c r="BS55" s="523" t="e">
        <f>BR55*BQ36*BV25</f>
        <v>#REF!</v>
      </c>
      <c r="BT55" s="523" t="e">
        <f t="shared" si="3"/>
        <v>#REF!</v>
      </c>
      <c r="BU55" s="523" t="e">
        <f>BR55*BQ36*BV26</f>
        <v>#REF!</v>
      </c>
      <c r="BV55" s="523" t="e">
        <f t="shared" si="2"/>
        <v>#REF!</v>
      </c>
      <c r="BW55" s="671"/>
      <c r="CA55" t="s">
        <v>1127</v>
      </c>
      <c r="CB55" s="319">
        <f>CB52*CB49</f>
        <v>1.3513824884792627E-2</v>
      </c>
      <c r="CC55" s="29"/>
      <c r="CE55" s="978" t="s">
        <v>1197</v>
      </c>
      <c r="CF55" s="991"/>
      <c r="CG55" s="991"/>
      <c r="CH55" s="991"/>
      <c r="CI55" s="991"/>
      <c r="CJ55" s="991"/>
      <c r="CK55" s="991"/>
      <c r="CL55" s="991"/>
      <c r="CM55" s="991"/>
      <c r="CN55" s="991"/>
      <c r="CO55" s="991"/>
      <c r="CP55" s="991"/>
      <c r="CQ55" s="991"/>
      <c r="CR55" s="991"/>
      <c r="CS55" s="991"/>
      <c r="CT55" s="991"/>
      <c r="CU55" s="991"/>
      <c r="CV55" s="979"/>
    </row>
    <row r="56" spans="2:100" ht="15.75" customHeight="1" x14ac:dyDescent="0.25">
      <c r="B56" t="s">
        <v>1085</v>
      </c>
      <c r="C56" s="144">
        <f>C54+C55</f>
        <v>3.17735468961776</v>
      </c>
      <c r="J56" s="564" t="s">
        <v>584</v>
      </c>
      <c r="K56" s="36">
        <v>18</v>
      </c>
      <c r="L56" s="38"/>
      <c r="M56" s="146">
        <f>K56+L56</f>
        <v>18</v>
      </c>
      <c r="N56" s="35"/>
      <c r="O56" s="36">
        <v>17</v>
      </c>
      <c r="P56" s="226">
        <v>1</v>
      </c>
      <c r="Q56" s="146">
        <f>O56+P56</f>
        <v>18</v>
      </c>
      <c r="R56" s="35"/>
      <c r="S56" s="35"/>
      <c r="T56" s="375" t="s">
        <v>584</v>
      </c>
      <c r="U56" s="36">
        <v>18</v>
      </c>
      <c r="V56" s="38"/>
      <c r="W56" s="146">
        <f>U56+V56</f>
        <v>18</v>
      </c>
      <c r="X56" s="35"/>
      <c r="Y56" s="36">
        <v>17</v>
      </c>
      <c r="Z56" s="226">
        <v>1</v>
      </c>
      <c r="AA56" s="146">
        <f>Y56+Z56</f>
        <v>18</v>
      </c>
      <c r="AB56" s="35"/>
      <c r="AC56" s="35"/>
      <c r="AD56" s="375" t="s">
        <v>584</v>
      </c>
      <c r="AE56" s="38">
        <v>16</v>
      </c>
      <c r="AF56" s="38"/>
      <c r="AG56" s="146">
        <f>AE56+AF56</f>
        <v>16</v>
      </c>
      <c r="AH56" s="35"/>
      <c r="AI56" s="36">
        <v>15</v>
      </c>
      <c r="AJ56" s="226">
        <v>1</v>
      </c>
      <c r="AK56" s="146">
        <f>AI56+AJ56</f>
        <v>16</v>
      </c>
      <c r="AL56" s="35"/>
      <c r="AM56" s="35"/>
      <c r="AN56" s="252"/>
      <c r="AR56" s="1172" t="s">
        <v>418</v>
      </c>
      <c r="AS56" s="1173"/>
      <c r="AT56" s="1173"/>
      <c r="AU56" s="1173"/>
      <c r="AV56" s="1173"/>
      <c r="AW56" s="1173"/>
      <c r="AX56" s="1173"/>
      <c r="AY56" s="1173"/>
      <c r="AZ56" s="1173"/>
      <c r="BA56" s="1173"/>
      <c r="BB56" s="1173"/>
      <c r="BC56" s="1173"/>
      <c r="BD56" s="1174"/>
      <c r="BH56" s="232" t="s">
        <v>739</v>
      </c>
      <c r="BI56" s="138">
        <f>'Fuel Production'!C170</f>
        <v>1500</v>
      </c>
      <c r="BJ56" s="35" t="s">
        <v>712</v>
      </c>
      <c r="BK56" s="827" t="s">
        <v>520</v>
      </c>
      <c r="BL56" s="822">
        <f>FuelProd2!M126</f>
        <v>10.376223805114281</v>
      </c>
      <c r="BM56" s="35"/>
      <c r="BN56" s="35"/>
      <c r="BO56" s="35"/>
      <c r="BP56" s="674" t="s">
        <v>517</v>
      </c>
      <c r="BQ56" s="523">
        <f t="shared" si="1"/>
        <v>9.8916549959087501</v>
      </c>
      <c r="BR56" s="523">
        <f>BQ56/BR100</f>
        <v>63.408044845568909</v>
      </c>
      <c r="BS56" s="523" t="e">
        <f>BR56*BQ37*BV25</f>
        <v>#REF!</v>
      </c>
      <c r="BT56" s="523" t="e">
        <f t="shared" si="3"/>
        <v>#REF!</v>
      </c>
      <c r="BU56" s="523" t="e">
        <f>BR56*BQ37*BV26</f>
        <v>#REF!</v>
      </c>
      <c r="BV56" s="523" t="e">
        <f t="shared" si="2"/>
        <v>#REF!</v>
      </c>
      <c r="BW56" s="671"/>
      <c r="CC56" s="35"/>
      <c r="CE56" s="1209" t="s">
        <v>1193</v>
      </c>
      <c r="CF56" s="1207"/>
      <c r="CG56" s="1207" t="s">
        <v>1196</v>
      </c>
      <c r="CH56" s="1207"/>
      <c r="CI56" s="1207" t="s">
        <v>447</v>
      </c>
      <c r="CJ56" s="1207"/>
      <c r="CK56" s="1207" t="s">
        <v>496</v>
      </c>
      <c r="CL56" s="1207"/>
      <c r="CM56" s="1207" t="s">
        <v>488</v>
      </c>
      <c r="CN56" s="1207"/>
      <c r="CO56" s="1207" t="s">
        <v>534</v>
      </c>
      <c r="CP56" s="1207"/>
      <c r="CQ56" s="1207" t="s">
        <v>1138</v>
      </c>
      <c r="CR56" s="1207"/>
      <c r="CS56" s="1148" t="s">
        <v>1071</v>
      </c>
      <c r="CT56" s="1148"/>
      <c r="CU56" s="1207" t="s">
        <v>1072</v>
      </c>
      <c r="CV56" s="1208"/>
    </row>
    <row r="57" spans="2:100" x14ac:dyDescent="0.25">
      <c r="B57" s="603" t="s">
        <v>1083</v>
      </c>
      <c r="C57" s="144">
        <f>-C45</f>
        <v>-3.2358885506771809E-2</v>
      </c>
      <c r="J57" s="562" t="s">
        <v>586</v>
      </c>
      <c r="K57" s="15">
        <v>36</v>
      </c>
      <c r="L57" s="16"/>
      <c r="M57" s="146">
        <f>K57+L57</f>
        <v>36</v>
      </c>
      <c r="N57" s="35"/>
      <c r="O57" s="15">
        <v>36</v>
      </c>
      <c r="P57" s="146">
        <v>0</v>
      </c>
      <c r="Q57" s="146">
        <f>O57+P57</f>
        <v>36</v>
      </c>
      <c r="R57" s="35"/>
      <c r="S57" s="35"/>
      <c r="T57" s="368" t="s">
        <v>586</v>
      </c>
      <c r="U57" s="15">
        <v>34</v>
      </c>
      <c r="V57" s="16"/>
      <c r="W57" s="146">
        <f>U57+V57</f>
        <v>34</v>
      </c>
      <c r="X57" s="35"/>
      <c r="Y57" s="15">
        <v>34</v>
      </c>
      <c r="Z57" s="146">
        <v>0</v>
      </c>
      <c r="AA57" s="146">
        <f>Y57+Z57</f>
        <v>34</v>
      </c>
      <c r="AB57" s="35"/>
      <c r="AC57" s="35"/>
      <c r="AD57" s="368" t="s">
        <v>586</v>
      </c>
      <c r="AE57" s="16">
        <v>32</v>
      </c>
      <c r="AF57" s="16"/>
      <c r="AG57" s="146">
        <f>AE57+AF57</f>
        <v>32</v>
      </c>
      <c r="AH57" s="35"/>
      <c r="AI57" s="15">
        <v>32</v>
      </c>
      <c r="AJ57" s="146">
        <v>0</v>
      </c>
      <c r="AK57" s="146">
        <f>AI57+AJ57</f>
        <v>32</v>
      </c>
      <c r="AL57" s="35"/>
      <c r="AM57" s="35"/>
      <c r="AN57" s="252"/>
      <c r="AR57" s="1047" t="s">
        <v>319</v>
      </c>
      <c r="AS57" s="1047"/>
      <c r="AT57" s="1047"/>
      <c r="AU57" s="978" t="s">
        <v>320</v>
      </c>
      <c r="AV57" s="978"/>
      <c r="AW57" s="978"/>
      <c r="AX57" s="35"/>
      <c r="AY57" s="139"/>
      <c r="AZ57" s="139" t="s">
        <v>700</v>
      </c>
      <c r="BA57" s="139"/>
      <c r="BB57" s="139"/>
      <c r="BC57" s="139"/>
      <c r="BD57" s="233"/>
      <c r="BH57" s="268"/>
      <c r="BI57" s="35"/>
      <c r="BJ57" s="35"/>
      <c r="BK57" s="827" t="s">
        <v>521</v>
      </c>
      <c r="BL57" s="822">
        <f>FuelProd2!M127</f>
        <v>3.2406956119402492</v>
      </c>
      <c r="BM57" s="35"/>
      <c r="BN57" s="35"/>
      <c r="BO57" s="35"/>
      <c r="BP57" s="674" t="s">
        <v>518</v>
      </c>
      <c r="BQ57" s="523">
        <f t="shared" si="1"/>
        <v>8.2567360211432703</v>
      </c>
      <c r="BR57" s="523">
        <f>BQ57/BS100</f>
        <v>58.146028317910357</v>
      </c>
      <c r="BS57" s="523" t="e">
        <f>BR57*BQ38*BV25</f>
        <v>#REF!</v>
      </c>
      <c r="BT57" s="523" t="e">
        <f t="shared" si="3"/>
        <v>#REF!</v>
      </c>
      <c r="BU57" s="523" t="e">
        <f>BR57*BQ38*BV26</f>
        <v>#REF!</v>
      </c>
      <c r="BV57" s="523" t="e">
        <f t="shared" si="2"/>
        <v>#REF!</v>
      </c>
      <c r="BW57" s="671"/>
      <c r="CA57" s="35" t="s">
        <v>1155</v>
      </c>
      <c r="CB57" s="35"/>
      <c r="CC57" s="35"/>
      <c r="CE57" s="1209"/>
      <c r="CF57" s="1207"/>
      <c r="CG57" s="1207"/>
      <c r="CH57" s="1207"/>
      <c r="CI57" s="1207"/>
      <c r="CJ57" s="1207"/>
      <c r="CK57" s="1207"/>
      <c r="CL57" s="1207"/>
      <c r="CM57" s="1207"/>
      <c r="CN57" s="1207"/>
      <c r="CO57" s="1207"/>
      <c r="CP57" s="1207"/>
      <c r="CQ57" s="1207"/>
      <c r="CR57" s="1207"/>
      <c r="CS57" s="1148"/>
      <c r="CT57" s="1148"/>
      <c r="CU57" s="1207"/>
      <c r="CV57" s="1208"/>
    </row>
    <row r="58" spans="2:100" x14ac:dyDescent="0.25">
      <c r="B58" t="s">
        <v>1086</v>
      </c>
      <c r="C58" s="144">
        <f>C56+C57</f>
        <v>3.1449958041109882</v>
      </c>
      <c r="J58" s="561" t="s">
        <v>591</v>
      </c>
      <c r="K58" s="13">
        <v>2</v>
      </c>
      <c r="L58" s="14"/>
      <c r="M58" s="148">
        <f>K58+L58</f>
        <v>2</v>
      </c>
      <c r="N58" s="35"/>
      <c r="O58" s="13">
        <v>0</v>
      </c>
      <c r="P58" s="148">
        <v>2</v>
      </c>
      <c r="Q58" s="148">
        <f>O58+P58</f>
        <v>2</v>
      </c>
      <c r="R58" s="35"/>
      <c r="S58" s="35"/>
      <c r="T58" s="367" t="s">
        <v>591</v>
      </c>
      <c r="U58" s="13">
        <v>2</v>
      </c>
      <c r="V58" s="14"/>
      <c r="W58" s="148">
        <f>U58+V58</f>
        <v>2</v>
      </c>
      <c r="X58" s="35"/>
      <c r="Y58" s="13">
        <v>0</v>
      </c>
      <c r="Z58" s="148">
        <v>2</v>
      </c>
      <c r="AA58" s="148">
        <f>Y58+Z58</f>
        <v>2</v>
      </c>
      <c r="AB58" s="35"/>
      <c r="AC58" s="35"/>
      <c r="AD58" s="367" t="s">
        <v>591</v>
      </c>
      <c r="AE58" s="14">
        <v>2</v>
      </c>
      <c r="AF58" s="14"/>
      <c r="AG58" s="148">
        <f>AE58+AF58</f>
        <v>2</v>
      </c>
      <c r="AH58" s="35"/>
      <c r="AI58" s="13">
        <v>0</v>
      </c>
      <c r="AJ58" s="148">
        <v>2</v>
      </c>
      <c r="AK58" s="148">
        <f>AI58+AJ58</f>
        <v>2</v>
      </c>
      <c r="AL58" s="35"/>
      <c r="AM58" s="35"/>
      <c r="AN58" s="252"/>
      <c r="AR58" s="492" t="s">
        <v>322</v>
      </c>
      <c r="AS58" s="493" t="s">
        <v>323</v>
      </c>
      <c r="AT58" s="493" t="s">
        <v>326</v>
      </c>
      <c r="AU58" s="493"/>
      <c r="AV58" s="493" t="s">
        <v>323</v>
      </c>
      <c r="AW58" s="494" t="s">
        <v>326</v>
      </c>
      <c r="AX58" s="35"/>
      <c r="AY58" s="139"/>
      <c r="AZ58" s="139" t="s">
        <v>376</v>
      </c>
      <c r="BA58" s="139" t="s">
        <v>707</v>
      </c>
      <c r="BB58" s="139" t="s">
        <v>708</v>
      </c>
      <c r="BC58" s="139" t="s">
        <v>608</v>
      </c>
      <c r="BD58" s="233" t="s">
        <v>709</v>
      </c>
      <c r="BH58" s="268"/>
      <c r="BI58" s="35"/>
      <c r="BJ58" s="35"/>
      <c r="BK58" s="827" t="s">
        <v>522</v>
      </c>
      <c r="BL58" s="822">
        <f>FuelProd2!M128</f>
        <v>6.3156350151068956</v>
      </c>
      <c r="BM58" s="35"/>
      <c r="BN58" s="35"/>
      <c r="BO58" s="35"/>
      <c r="BP58" s="674" t="s">
        <v>519</v>
      </c>
      <c r="BQ58" s="523">
        <f t="shared" si="1"/>
        <v>7.0348191797905208</v>
      </c>
      <c r="BR58" s="523">
        <f>BQ58/BT100</f>
        <v>54.959524842113446</v>
      </c>
      <c r="BS58" s="523" t="e">
        <f>BR58*BQ39*BV25</f>
        <v>#REF!</v>
      </c>
      <c r="BT58" s="523" t="e">
        <f t="shared" si="3"/>
        <v>#REF!</v>
      </c>
      <c r="BU58" s="523" t="e">
        <f>BR58*BQ39*BV26</f>
        <v>#REF!</v>
      </c>
      <c r="BV58" s="523" t="e">
        <f t="shared" si="2"/>
        <v>#REF!</v>
      </c>
      <c r="BW58" s="671"/>
      <c r="CA58" s="35" t="s">
        <v>1156</v>
      </c>
      <c r="CB58" s="35">
        <v>3</v>
      </c>
      <c r="CC58" s="35" t="s">
        <v>132</v>
      </c>
      <c r="CD58" t="s">
        <v>1156</v>
      </c>
      <c r="CE58" s="15">
        <f>'Fuel Production'!C110</f>
        <v>3</v>
      </c>
      <c r="CF58" s="35"/>
      <c r="CG58" s="35">
        <f>'Fuel Production'!C118</f>
        <v>3</v>
      </c>
      <c r="CH58" s="35"/>
      <c r="CI58" s="35">
        <f>'Fuel Production'!C135</f>
        <v>3</v>
      </c>
      <c r="CJ58" s="35"/>
      <c r="CK58" s="35">
        <f>'Fuel Production'!C155</f>
        <v>3</v>
      </c>
      <c r="CL58" s="35"/>
      <c r="CM58" s="35">
        <f>'Fuel Production'!C175</f>
        <v>3</v>
      </c>
      <c r="CN58" s="35"/>
      <c r="CO58" s="35">
        <f>'Fuel Production'!C274</f>
        <v>3</v>
      </c>
      <c r="CP58" s="35"/>
      <c r="CQ58" s="35">
        <f>'Fuel Production'!C205</f>
        <v>3</v>
      </c>
      <c r="CR58" s="35"/>
      <c r="CS58" s="35">
        <f>'Fuel Production'!C225</f>
        <v>3</v>
      </c>
      <c r="CT58" s="35"/>
      <c r="CU58" s="35">
        <f>'Fuel Production'!C252</f>
        <v>3</v>
      </c>
      <c r="CV58" s="16"/>
    </row>
    <row r="59" spans="2:100" x14ac:dyDescent="0.25">
      <c r="B59" s="603" t="s">
        <v>1083</v>
      </c>
      <c r="C59" s="144">
        <f>-C47</f>
        <v>-0.13510447701895351</v>
      </c>
      <c r="J59" s="268" t="s">
        <v>594</v>
      </c>
      <c r="K59" s="139">
        <f>K56*12+K57*1+16*K58</f>
        <v>284</v>
      </c>
      <c r="L59" s="14">
        <f>L56*12+L57+L58*16</f>
        <v>0</v>
      </c>
      <c r="M59" s="16">
        <f>L59+K59</f>
        <v>284</v>
      </c>
      <c r="N59" s="35" t="s">
        <v>594</v>
      </c>
      <c r="O59" s="139">
        <f>O56*12+O57*1+16*O58</f>
        <v>240</v>
      </c>
      <c r="P59" s="14">
        <f>P56*12+P57+P58*16</f>
        <v>44</v>
      </c>
      <c r="Q59" s="16">
        <f>P59+O59</f>
        <v>284</v>
      </c>
      <c r="R59" s="35"/>
      <c r="S59" s="35"/>
      <c r="T59" s="35" t="s">
        <v>594</v>
      </c>
      <c r="U59" s="139">
        <f>U56*12+U57*1+16*U58</f>
        <v>282</v>
      </c>
      <c r="V59" s="14">
        <f>V56*12+V57+V58*16</f>
        <v>0</v>
      </c>
      <c r="W59" s="16">
        <f>V59+U59</f>
        <v>282</v>
      </c>
      <c r="X59" s="35" t="s">
        <v>594</v>
      </c>
      <c r="Y59" s="139">
        <f>Y56*12+Y57*1+16*Y58</f>
        <v>238</v>
      </c>
      <c r="Z59" s="14">
        <f>Z56*12+Z57+Z58*16</f>
        <v>44</v>
      </c>
      <c r="AA59" s="16">
        <f>Z59+Y59</f>
        <v>282</v>
      </c>
      <c r="AB59" s="35"/>
      <c r="AC59" s="35"/>
      <c r="AD59" s="35" t="s">
        <v>594</v>
      </c>
      <c r="AE59" s="139">
        <f>AE56*12+AE57*1+16*AE58</f>
        <v>256</v>
      </c>
      <c r="AF59" s="14">
        <f>AF56*12+AF57+AF58*16</f>
        <v>0</v>
      </c>
      <c r="AG59" s="16">
        <f>AF59+AE59</f>
        <v>256</v>
      </c>
      <c r="AH59" s="35" t="s">
        <v>594</v>
      </c>
      <c r="AI59" s="139">
        <f>AI56*12+AI57*1+16*AI58</f>
        <v>212</v>
      </c>
      <c r="AJ59" s="14">
        <f>AJ56*12+AJ57+AJ58*16</f>
        <v>44</v>
      </c>
      <c r="AK59" s="16">
        <f>AJ59+AI59</f>
        <v>256</v>
      </c>
      <c r="AL59" s="35"/>
      <c r="AM59" s="35"/>
      <c r="AN59" s="252"/>
      <c r="AR59" s="232" t="s">
        <v>379</v>
      </c>
      <c r="AS59" s="225">
        <f>AS43</f>
        <v>21.105096923076925</v>
      </c>
      <c r="AT59" s="139"/>
      <c r="AU59" s="139" t="s">
        <v>328</v>
      </c>
      <c r="AV59" s="139">
        <f>AZ64</f>
        <v>13.14892628217626</v>
      </c>
      <c r="AW59" s="233"/>
      <c r="AX59" s="35"/>
      <c r="AY59" s="139" t="s">
        <v>379</v>
      </c>
      <c r="AZ59" s="139">
        <f>AS59*(BL108*BD49/BL110)</f>
        <v>2.5445861538461538</v>
      </c>
      <c r="BA59" s="139">
        <f>AS59*(BL107*BD50/BL110)</f>
        <v>16.165606153846156</v>
      </c>
      <c r="BB59" s="139">
        <v>0</v>
      </c>
      <c r="BC59" s="139">
        <f>AS59*(BL109*BD52/BL110)</f>
        <v>2.3949046153846156</v>
      </c>
      <c r="BD59" s="233">
        <v>0</v>
      </c>
      <c r="BH59" s="268"/>
      <c r="BI59" s="35"/>
      <c r="BJ59" s="35"/>
      <c r="BK59" s="139" t="s">
        <v>278</v>
      </c>
      <c r="BL59" s="513">
        <f>FuelProd2!M151</f>
        <v>29.680804781841001</v>
      </c>
      <c r="BM59" s="35"/>
      <c r="BN59" s="35"/>
      <c r="BO59" s="35"/>
      <c r="BP59" s="674" t="s">
        <v>520</v>
      </c>
      <c r="BQ59" s="523">
        <f t="shared" si="1"/>
        <v>10.376223805114281</v>
      </c>
      <c r="BR59" s="523">
        <f>BQ59/BU100</f>
        <v>91.019507062405964</v>
      </c>
      <c r="BS59" s="523" t="e">
        <f>BR59*BQ40*BV25</f>
        <v>#REF!</v>
      </c>
      <c r="BT59" s="523" t="e">
        <f t="shared" si="3"/>
        <v>#REF!</v>
      </c>
      <c r="BU59" s="672"/>
      <c r="BV59" s="672"/>
      <c r="BW59" s="671"/>
      <c r="CA59" s="35" t="s">
        <v>1157</v>
      </c>
      <c r="CB59" s="35">
        <v>0.5</v>
      </c>
      <c r="CC59" s="35" t="s">
        <v>132</v>
      </c>
      <c r="CD59" t="s">
        <v>1157</v>
      </c>
      <c r="CE59" s="15">
        <f>'Fuel Production'!C111</f>
        <v>0.5</v>
      </c>
      <c r="CF59" s="35"/>
      <c r="CG59" s="35">
        <f>'Fuel Production'!C119</f>
        <v>0.5</v>
      </c>
      <c r="CH59" s="35"/>
      <c r="CI59" s="35">
        <f>'Fuel Production'!C136</f>
        <v>0.5</v>
      </c>
      <c r="CJ59" s="35"/>
      <c r="CK59" s="35">
        <f>'Fuel Production'!C156</f>
        <v>0.5</v>
      </c>
      <c r="CL59" s="35"/>
      <c r="CM59" s="35">
        <f>'Fuel Production'!C176</f>
        <v>0.5</v>
      </c>
      <c r="CN59" s="35"/>
      <c r="CO59" s="35">
        <f>'Fuel Production'!C275</f>
        <v>0.5</v>
      </c>
      <c r="CP59" s="35"/>
      <c r="CQ59" s="35">
        <f>'Fuel Production'!C206</f>
        <v>0.5</v>
      </c>
      <c r="CR59" s="35"/>
      <c r="CS59" s="35">
        <f>'Fuel Production'!C226</f>
        <v>0.5</v>
      </c>
      <c r="CT59" s="35"/>
      <c r="CU59" s="35">
        <f>'Fuel Production'!C253</f>
        <v>0.5</v>
      </c>
      <c r="CV59" s="16"/>
    </row>
    <row r="60" spans="2:100" ht="15.75" thickBot="1" x14ac:dyDescent="0.3">
      <c r="B60" t="s">
        <v>1087</v>
      </c>
      <c r="C60" s="144">
        <f>C58+C59</f>
        <v>3.0098913270920349</v>
      </c>
      <c r="J60" s="562" t="s">
        <v>597</v>
      </c>
      <c r="K60" s="832">
        <f>FuelProd2!AA56*(H84)*1000/FuelProd3!K59</f>
        <v>119.54756519915001</v>
      </c>
      <c r="L60" s="35">
        <f>L54*K60</f>
        <v>0</v>
      </c>
      <c r="M60" s="16"/>
      <c r="N60" s="35"/>
      <c r="O60" s="35"/>
      <c r="P60" s="35"/>
      <c r="Q60" s="16"/>
      <c r="R60" s="35"/>
      <c r="S60" s="35"/>
      <c r="T60" s="110" t="s">
        <v>597</v>
      </c>
      <c r="U60" s="832">
        <f>FuelProd2!AA53*(H84)*1000/FuelProd3!U59</f>
        <v>50.891723076923086</v>
      </c>
      <c r="V60" s="35">
        <f>V54*U60</f>
        <v>0</v>
      </c>
      <c r="W60" s="16"/>
      <c r="X60" s="35"/>
      <c r="Y60" s="35"/>
      <c r="Z60" s="35"/>
      <c r="AA60" s="16"/>
      <c r="AB60" s="35"/>
      <c r="AC60" s="35"/>
      <c r="AD60" s="110" t="s">
        <v>597</v>
      </c>
      <c r="AE60" s="831">
        <f>FuelProd2!AA54*(H84)*1000/FuelProd3!AE59</f>
        <v>13.013225806451613</v>
      </c>
      <c r="AF60" s="35">
        <f>AF54*AE60</f>
        <v>0</v>
      </c>
      <c r="AG60" s="16"/>
      <c r="AH60" s="35"/>
      <c r="AI60" s="35"/>
      <c r="AJ60" s="35"/>
      <c r="AK60" s="16"/>
      <c r="AL60" s="35"/>
      <c r="AM60" s="35"/>
      <c r="AN60" s="252"/>
      <c r="AR60" s="232" t="s">
        <v>381</v>
      </c>
      <c r="AS60" s="225">
        <f>AS44</f>
        <v>4.8990967741935485</v>
      </c>
      <c r="AT60" s="139"/>
      <c r="AU60" s="139" t="s">
        <v>333</v>
      </c>
      <c r="AV60" s="139">
        <f>BA64</f>
        <v>57.813861209515437</v>
      </c>
      <c r="AW60" s="233"/>
      <c r="AX60" s="35"/>
      <c r="AY60" s="139" t="s">
        <v>381</v>
      </c>
      <c r="AZ60" s="139">
        <f>AS60*(BN108*BD49/BN110)</f>
        <v>0.61238709677419356</v>
      </c>
      <c r="BA60" s="139">
        <f>AS60*(BN107*BD50/BN110)</f>
        <v>3.6743225806451614</v>
      </c>
      <c r="BB60" s="139">
        <v>0</v>
      </c>
      <c r="BC60" s="139">
        <f>AS60*(BN109*BD52/BN110)</f>
        <v>0.61238709677419356</v>
      </c>
      <c r="BD60" s="233">
        <v>0</v>
      </c>
      <c r="BH60" s="268"/>
      <c r="BI60" s="35"/>
      <c r="BJ60" s="35"/>
      <c r="BK60" s="35"/>
      <c r="BL60" s="35"/>
      <c r="BM60" s="226" t="s">
        <v>747</v>
      </c>
      <c r="BN60" s="521">
        <f>BL59*BI56</f>
        <v>44521.207172761504</v>
      </c>
      <c r="BO60" s="36" t="s">
        <v>694</v>
      </c>
      <c r="BP60" s="674" t="s">
        <v>521</v>
      </c>
      <c r="BQ60" s="523">
        <f t="shared" si="1"/>
        <v>3.2406956119402492</v>
      </c>
      <c r="BR60" s="523">
        <f>BQ60/BV100</f>
        <v>32.406956119402487</v>
      </c>
      <c r="BS60" s="523" t="e">
        <f>BR60*BQ41*BV25</f>
        <v>#REF!</v>
      </c>
      <c r="BT60" s="523" t="e">
        <f t="shared" si="3"/>
        <v>#REF!</v>
      </c>
      <c r="BU60" s="672"/>
      <c r="BV60" s="672"/>
      <c r="BW60" s="671"/>
      <c r="CA60" s="35" t="s">
        <v>1159</v>
      </c>
      <c r="CB60" s="35">
        <v>3.1415926540000001</v>
      </c>
      <c r="CD60" t="s">
        <v>1159</v>
      </c>
      <c r="CE60" s="15">
        <v>3.1415926540000001</v>
      </c>
      <c r="CF60" s="35"/>
      <c r="CG60" s="35">
        <v>3.1415926540000001</v>
      </c>
      <c r="CH60" s="35"/>
      <c r="CI60" s="35">
        <v>3.1415926540000001</v>
      </c>
      <c r="CJ60" s="35"/>
      <c r="CK60" s="35">
        <v>3.1415926540000001</v>
      </c>
      <c r="CL60" s="35"/>
      <c r="CM60" s="35">
        <v>3.1415926540000001</v>
      </c>
      <c r="CN60" s="35"/>
      <c r="CO60" s="35">
        <v>3.1415926540000001</v>
      </c>
      <c r="CP60" s="35"/>
      <c r="CQ60" s="35">
        <v>3.1415926540000001</v>
      </c>
      <c r="CR60" s="35"/>
      <c r="CS60" s="35">
        <v>3.1415926540000001</v>
      </c>
      <c r="CT60" s="35"/>
      <c r="CU60" s="35">
        <v>3.1415926540000001</v>
      </c>
      <c r="CV60" s="16"/>
    </row>
    <row r="61" spans="2:100" ht="16.5" thickBot="1" x14ac:dyDescent="0.3">
      <c r="B61" s="777" t="s">
        <v>1083</v>
      </c>
      <c r="C61" s="144">
        <f>-M173</f>
        <v>-0.71658930800177001</v>
      </c>
      <c r="J61" s="268" t="s">
        <v>599</v>
      </c>
      <c r="K61" s="35">
        <f>K59/M59</f>
        <v>1</v>
      </c>
      <c r="L61" s="35">
        <f>L59/M59</f>
        <v>0</v>
      </c>
      <c r="M61" s="16"/>
      <c r="N61" s="35" t="s">
        <v>599</v>
      </c>
      <c r="O61" s="35">
        <f>O59/Q59</f>
        <v>0.84507042253521125</v>
      </c>
      <c r="P61" s="35">
        <f>P59/Q59</f>
        <v>0.15492957746478872</v>
      </c>
      <c r="Q61" s="16"/>
      <c r="R61" s="35">
        <f>SUM(O61:Q61)</f>
        <v>1</v>
      </c>
      <c r="S61" s="35"/>
      <c r="T61" s="35" t="s">
        <v>599</v>
      </c>
      <c r="U61" s="35">
        <f>U59/W59</f>
        <v>1</v>
      </c>
      <c r="V61" s="35">
        <f>V59/W59</f>
        <v>0</v>
      </c>
      <c r="W61" s="16"/>
      <c r="X61" s="35" t="s">
        <v>599</v>
      </c>
      <c r="Y61" s="35">
        <f>Y59/AA59</f>
        <v>0.84397163120567376</v>
      </c>
      <c r="Z61" s="35">
        <f>Z59/AA59</f>
        <v>0.15602836879432624</v>
      </c>
      <c r="AA61" s="16"/>
      <c r="AB61" s="35">
        <f>SUM(Y61:AA61)</f>
        <v>1</v>
      </c>
      <c r="AC61" s="35"/>
      <c r="AD61" s="35" t="s">
        <v>599</v>
      </c>
      <c r="AE61" s="35">
        <f>AE59/AG59</f>
        <v>1</v>
      </c>
      <c r="AF61" s="35">
        <f>AF59/AG59</f>
        <v>0</v>
      </c>
      <c r="AG61" s="16"/>
      <c r="AH61" s="35" t="s">
        <v>599</v>
      </c>
      <c r="AI61" s="35">
        <f>AI59/AK59</f>
        <v>0.828125</v>
      </c>
      <c r="AJ61" s="35">
        <f>AJ59/AK59</f>
        <v>0.171875</v>
      </c>
      <c r="AK61" s="16"/>
      <c r="AL61" s="35">
        <f>SUM(AI61:AK61)</f>
        <v>1</v>
      </c>
      <c r="AM61" s="35"/>
      <c r="AN61" s="252"/>
      <c r="AR61" s="232" t="s">
        <v>382</v>
      </c>
      <c r="AS61" s="225">
        <f>AS45</f>
        <v>0</v>
      </c>
      <c r="AT61" s="139"/>
      <c r="AU61" s="139" t="s">
        <v>338</v>
      </c>
      <c r="AV61" s="139">
        <f>BB64</f>
        <v>0</v>
      </c>
      <c r="AW61" s="233"/>
      <c r="AX61" s="35"/>
      <c r="AY61" s="139" t="s">
        <v>382</v>
      </c>
      <c r="AZ61" s="139">
        <f>AS61*(BM108*BD49/BM110)</f>
        <v>0</v>
      </c>
      <c r="BA61" s="139">
        <f>AS61*(BM107*BD50/BM110)</f>
        <v>0</v>
      </c>
      <c r="BB61" s="139">
        <v>0</v>
      </c>
      <c r="BC61" s="139">
        <f>AS61*(BM109*BD52/BM110)</f>
        <v>0</v>
      </c>
      <c r="BD61" s="233">
        <v>0</v>
      </c>
      <c r="BH61" s="1009" t="s">
        <v>488</v>
      </c>
      <c r="BI61" s="1183"/>
      <c r="BJ61" s="1183"/>
      <c r="BK61" s="1183"/>
      <c r="BL61" s="1183"/>
      <c r="BM61" s="1183"/>
      <c r="BN61" s="1183"/>
      <c r="BO61" s="1010"/>
      <c r="BP61" s="678" t="s">
        <v>522</v>
      </c>
      <c r="BQ61" s="523">
        <f t="shared" si="1"/>
        <v>6.3156350151068956</v>
      </c>
      <c r="BR61" s="523">
        <f>BQ61/BW100</f>
        <v>73.437616454731355</v>
      </c>
      <c r="BS61" s="523" t="e">
        <f>BR61*BQ42*BV25</f>
        <v>#REF!</v>
      </c>
      <c r="BT61" s="523" t="e">
        <f t="shared" si="3"/>
        <v>#REF!</v>
      </c>
      <c r="BU61" s="672"/>
      <c r="BV61" s="672"/>
      <c r="BW61" s="671"/>
      <c r="CA61" s="35" t="s">
        <v>1158</v>
      </c>
      <c r="CB61" s="35">
        <f>2*CB60*CB59*CB58+2*CB60*CB59*CB59</f>
        <v>10.995574289</v>
      </c>
      <c r="CC61" t="s">
        <v>1126</v>
      </c>
      <c r="CD61" t="s">
        <v>1158</v>
      </c>
      <c r="CE61" s="15">
        <f>2*CE60*CE59*CE58+2*CE60*CE59*CE59</f>
        <v>10.995574289</v>
      </c>
      <c r="CF61" s="35"/>
      <c r="CG61" s="35">
        <f>2*CG60*CG59*CG58+2*CG60*CG59*CG59</f>
        <v>10.995574289</v>
      </c>
      <c r="CH61" s="35"/>
      <c r="CI61" s="35">
        <f>2*CI60*CI59*CI58+2*CI60*CI59*CI59</f>
        <v>10.995574289</v>
      </c>
      <c r="CJ61" s="35"/>
      <c r="CK61" s="35">
        <f>2*CK60*CK59*CK58+2*CK60*CK59*CK59</f>
        <v>10.995574289</v>
      </c>
      <c r="CL61" s="35"/>
      <c r="CM61" s="35">
        <f>2*CM60*CM59*CM58+2*CM60*CM59*CM59</f>
        <v>10.995574289</v>
      </c>
      <c r="CN61" s="35"/>
      <c r="CO61" s="35">
        <f>2*CO60*CO59*CO58+2*CO60*CO59*CO59</f>
        <v>10.995574289</v>
      </c>
      <c r="CP61" s="35"/>
      <c r="CQ61" s="35">
        <f>2*CQ60*CQ59*CQ58+2*CQ60*CQ59*CQ59</f>
        <v>10.995574289</v>
      </c>
      <c r="CR61" s="35"/>
      <c r="CS61" s="35">
        <f>2*CS60*CS59*CS58+2*CS60*CS59*CS59</f>
        <v>10.995574289</v>
      </c>
      <c r="CT61" s="35"/>
      <c r="CU61" s="35">
        <f>2*CU60*CU59*CU58+2*CU60*CU59*CU59</f>
        <v>10.995574289</v>
      </c>
      <c r="CV61" s="16"/>
    </row>
    <row r="62" spans="2:100" ht="15.75" thickBot="1" x14ac:dyDescent="0.3">
      <c r="B62" t="s">
        <v>1432</v>
      </c>
      <c r="C62" s="144">
        <f>C60+C61</f>
        <v>2.2933020190902651</v>
      </c>
      <c r="J62" s="276" t="s">
        <v>601</v>
      </c>
      <c r="K62" s="831">
        <f>(O38+Y38)*H84</f>
        <v>33.951508516558604</v>
      </c>
      <c r="L62" s="35">
        <f>(FuelProd3!L60*2)/1000</f>
        <v>0</v>
      </c>
      <c r="M62" s="35" t="s">
        <v>62</v>
      </c>
      <c r="N62" s="35"/>
      <c r="O62" s="35">
        <f>(K62+L62)*O61</f>
        <v>28.691415647796003</v>
      </c>
      <c r="P62" s="35">
        <f>(K62+L62)*P61</f>
        <v>5.2600928687625998</v>
      </c>
      <c r="Q62" s="16"/>
      <c r="R62" s="35"/>
      <c r="S62" s="35"/>
      <c r="T62" s="536" t="s">
        <v>601</v>
      </c>
      <c r="U62" s="831">
        <f>(P14*(1-F4))*H84</f>
        <v>14.35146590769231</v>
      </c>
      <c r="V62" s="35">
        <f>(FuelProd3!V60*2)/1000</f>
        <v>0</v>
      </c>
      <c r="W62" s="35" t="s">
        <v>62</v>
      </c>
      <c r="X62" s="35"/>
      <c r="Y62" s="35">
        <f>(U62+V62)*Y61</f>
        <v>12.112230092307694</v>
      </c>
      <c r="Z62" s="35">
        <f>(U62+V62)*Z61</f>
        <v>2.2392358153846157</v>
      </c>
      <c r="AA62" s="16"/>
      <c r="AB62" s="35"/>
      <c r="AC62" s="35"/>
      <c r="AD62" s="536" t="s">
        <v>601</v>
      </c>
      <c r="AE62" s="831">
        <f>(AJ14)*H84</f>
        <v>3.3313858064516131</v>
      </c>
      <c r="AF62" s="35">
        <f>(FuelProd3!AF60*2)/1000</f>
        <v>0</v>
      </c>
      <c r="AG62" s="35" t="s">
        <v>62</v>
      </c>
      <c r="AH62" s="35"/>
      <c r="AI62" s="35">
        <f>(AE62+AF62)*AI61</f>
        <v>2.7588038709677423</v>
      </c>
      <c r="AJ62" s="35">
        <f>(AE62+AF62)*AJ61</f>
        <v>0.57258193548387104</v>
      </c>
      <c r="AK62" s="16"/>
      <c r="AL62" s="35"/>
      <c r="AM62" s="35"/>
      <c r="AN62" s="252"/>
      <c r="AR62" s="241" t="s">
        <v>384</v>
      </c>
      <c r="AS62" s="225">
        <f>AS46</f>
        <v>49.928688994939122</v>
      </c>
      <c r="AT62" s="139"/>
      <c r="AU62" s="139" t="s">
        <v>342</v>
      </c>
      <c r="AV62" s="139">
        <f>BC64</f>
        <v>8.6330594862364567</v>
      </c>
      <c r="AW62" s="233"/>
      <c r="AX62" s="35"/>
      <c r="AY62" s="139" t="s">
        <v>384</v>
      </c>
      <c r="AZ62" s="139">
        <f>AS62*(BO108*BD49/BO110)</f>
        <v>6.3289887458373535</v>
      </c>
      <c r="BA62" s="139">
        <f>AS62*(BO107*BD50/BO110)</f>
        <v>37.973932475024121</v>
      </c>
      <c r="BB62" s="139">
        <v>0</v>
      </c>
      <c r="BC62" s="139">
        <f>AS62*(BO109*BD52/BO110)</f>
        <v>5.6257677740776479</v>
      </c>
      <c r="BD62" s="233">
        <v>0</v>
      </c>
      <c r="BH62" s="268"/>
      <c r="BI62" s="35"/>
      <c r="BJ62" s="35"/>
      <c r="BK62" s="35"/>
      <c r="BL62" s="35"/>
      <c r="BM62" s="35"/>
      <c r="BN62" s="35"/>
      <c r="BO62" s="398" t="s">
        <v>367</v>
      </c>
      <c r="BP62" s="678" t="s">
        <v>524</v>
      </c>
      <c r="BQ62" s="523">
        <f t="shared" si="1"/>
        <v>3.1595859814193585</v>
      </c>
      <c r="BR62" s="523">
        <f>BQ62/BX100</f>
        <v>43.883138630824426</v>
      </c>
      <c r="BS62" s="523" t="e">
        <f>BR62*BQ43*BV25</f>
        <v>#REF!</v>
      </c>
      <c r="BT62" s="523" t="e">
        <f t="shared" si="3"/>
        <v>#REF!</v>
      </c>
      <c r="BU62" s="672"/>
      <c r="BV62" s="672"/>
      <c r="BW62" s="671"/>
      <c r="CA62" s="29" t="s">
        <v>1161</v>
      </c>
      <c r="CB62" s="35">
        <f>4*60*60</f>
        <v>14400</v>
      </c>
      <c r="CC62" t="s">
        <v>1165</v>
      </c>
      <c r="CD62" t="s">
        <v>1161</v>
      </c>
      <c r="CE62" s="15">
        <f>'Fuel Production'!C112</f>
        <v>14400</v>
      </c>
      <c r="CF62" s="35"/>
      <c r="CG62" s="35">
        <f>'Fuel Production'!C120</f>
        <v>3600</v>
      </c>
      <c r="CH62" s="35"/>
      <c r="CI62" s="35">
        <f>'Fuel Production'!C137</f>
        <v>14400</v>
      </c>
      <c r="CJ62" s="35"/>
      <c r="CK62" s="35">
        <f>'Fuel Production'!C157</f>
        <v>3600</v>
      </c>
      <c r="CL62" s="35"/>
      <c r="CM62" s="35">
        <f>'Fuel Production'!C177</f>
        <v>3600</v>
      </c>
      <c r="CN62" s="35"/>
      <c r="CO62" s="35">
        <f>'Fuel Production'!C276</f>
        <v>3600</v>
      </c>
      <c r="CP62" s="35"/>
      <c r="CQ62" s="35">
        <f>'Fuel Production'!C207</f>
        <v>14400</v>
      </c>
      <c r="CR62" s="35"/>
      <c r="CS62" s="35">
        <f>'Fuel Production'!C227</f>
        <v>14400</v>
      </c>
      <c r="CT62" s="35"/>
      <c r="CU62" s="35">
        <f>'Fuel Production'!C254</f>
        <v>14400</v>
      </c>
      <c r="CV62" s="16"/>
    </row>
    <row r="63" spans="2:100" x14ac:dyDescent="0.25">
      <c r="J63" s="268"/>
      <c r="K63" s="978" t="s">
        <v>320</v>
      </c>
      <c r="L63" s="978"/>
      <c r="M63" s="35"/>
      <c r="N63" s="35"/>
      <c r="O63" s="978" t="s">
        <v>320</v>
      </c>
      <c r="P63" s="978"/>
      <c r="Q63" s="16"/>
      <c r="R63" s="35"/>
      <c r="S63" s="35"/>
      <c r="T63" s="15"/>
      <c r="U63" s="978" t="s">
        <v>320</v>
      </c>
      <c r="V63" s="978"/>
      <c r="W63" s="35"/>
      <c r="X63" s="35"/>
      <c r="Y63" s="978" t="s">
        <v>320</v>
      </c>
      <c r="Z63" s="978"/>
      <c r="AA63" s="16"/>
      <c r="AB63" s="35"/>
      <c r="AC63" s="35"/>
      <c r="AD63" s="15"/>
      <c r="AE63" s="978" t="s">
        <v>320</v>
      </c>
      <c r="AF63" s="978"/>
      <c r="AG63" s="35"/>
      <c r="AH63" s="35"/>
      <c r="AI63" s="978" t="s">
        <v>320</v>
      </c>
      <c r="AJ63" s="978"/>
      <c r="AK63" s="16"/>
      <c r="AL63" s="35"/>
      <c r="AM63" s="35"/>
      <c r="AN63" s="252"/>
      <c r="AR63" s="232" t="s">
        <v>376</v>
      </c>
      <c r="AS63" s="225">
        <f>AS47</f>
        <v>3.6629642857185609</v>
      </c>
      <c r="AT63" s="226"/>
      <c r="AU63" s="226" t="s">
        <v>344</v>
      </c>
      <c r="AV63" s="226">
        <f>BD64</f>
        <v>0</v>
      </c>
      <c r="AW63" s="243"/>
      <c r="AX63" s="35"/>
      <c r="AY63" s="139" t="s">
        <v>376</v>
      </c>
      <c r="AZ63" s="139">
        <f>AS63*BP108/BP110*BD49</f>
        <v>3.6629642857185609</v>
      </c>
      <c r="BA63" s="139">
        <f>AS63*(BP107*BD50)</f>
        <v>0</v>
      </c>
      <c r="BB63" s="139">
        <v>0</v>
      </c>
      <c r="BC63" s="139">
        <f>AS63*(BP109*BD52)</f>
        <v>0</v>
      </c>
      <c r="BD63" s="233">
        <v>0</v>
      </c>
      <c r="BH63" s="508" t="s">
        <v>660</v>
      </c>
      <c r="BI63" s="496" t="s">
        <v>716</v>
      </c>
      <c r="BJ63" s="35"/>
      <c r="BK63" s="35"/>
      <c r="BL63" s="35"/>
      <c r="BM63" s="35"/>
      <c r="BN63" s="35"/>
      <c r="BO63" s="252"/>
      <c r="BP63" s="678" t="s">
        <v>525</v>
      </c>
      <c r="BQ63" s="523">
        <f t="shared" si="1"/>
        <v>5.0215091823494395</v>
      </c>
      <c r="BR63" s="523">
        <f>BQ63/BY100</f>
        <v>86.57774452326619</v>
      </c>
      <c r="BS63" s="523" t="e">
        <f>BR63*BQ44*BV25</f>
        <v>#REF!</v>
      </c>
      <c r="BT63" s="523" t="e">
        <f t="shared" si="3"/>
        <v>#REF!</v>
      </c>
      <c r="BU63" s="672"/>
      <c r="BV63" s="672"/>
      <c r="BW63" s="671"/>
      <c r="CA63" s="29" t="s">
        <v>1162</v>
      </c>
      <c r="CB63" s="29">
        <v>400</v>
      </c>
      <c r="CC63" t="s">
        <v>333</v>
      </c>
      <c r="CD63" t="s">
        <v>1162</v>
      </c>
      <c r="CE63" s="33">
        <f>'Fuel Production'!C113</f>
        <v>400</v>
      </c>
      <c r="CF63" s="35"/>
      <c r="CG63" s="29">
        <f>'Fuel Production'!C122</f>
        <v>420</v>
      </c>
      <c r="CH63" s="35"/>
      <c r="CI63" s="29">
        <f>'Fuel Production'!C133</f>
        <v>400</v>
      </c>
      <c r="CJ63" s="35"/>
      <c r="CK63" s="29">
        <f>'Fuel Production'!C152</f>
        <v>420</v>
      </c>
      <c r="CL63" s="35"/>
      <c r="CM63" s="29">
        <f>'Fuel Production'!C172</f>
        <v>420</v>
      </c>
      <c r="CN63" s="35"/>
      <c r="CO63" s="29">
        <f>'Fuel Production'!C271</f>
        <v>420</v>
      </c>
      <c r="CP63" s="35"/>
      <c r="CQ63" s="29">
        <f>'Fuel Production'!C202</f>
        <v>420</v>
      </c>
      <c r="CR63" s="35"/>
      <c r="CS63" s="29">
        <f>'Fuel Production'!C222</f>
        <v>420</v>
      </c>
      <c r="CT63" s="35"/>
      <c r="CU63" s="29">
        <f>'Fuel Production'!C249</f>
        <v>420</v>
      </c>
      <c r="CV63" s="16"/>
    </row>
    <row r="64" spans="2:100" ht="15.75" thickBot="1" x14ac:dyDescent="0.3">
      <c r="J64" s="553"/>
      <c r="K64" s="493" t="s">
        <v>323</v>
      </c>
      <c r="L64" s="493" t="s">
        <v>326</v>
      </c>
      <c r="M64" s="35"/>
      <c r="N64" s="35"/>
      <c r="O64" s="493" t="s">
        <v>323</v>
      </c>
      <c r="P64" s="493" t="s">
        <v>326</v>
      </c>
      <c r="Q64" s="16"/>
      <c r="R64" s="35"/>
      <c r="S64" s="35"/>
      <c r="T64" s="381"/>
      <c r="U64" s="493" t="s">
        <v>323</v>
      </c>
      <c r="V64" s="493" t="s">
        <v>326</v>
      </c>
      <c r="W64" s="35"/>
      <c r="X64" s="35"/>
      <c r="Y64" s="493" t="s">
        <v>323</v>
      </c>
      <c r="Z64" s="493" t="s">
        <v>326</v>
      </c>
      <c r="AA64" s="16"/>
      <c r="AB64" s="35"/>
      <c r="AC64" s="35"/>
      <c r="AD64" s="381"/>
      <c r="AE64" s="493" t="s">
        <v>323</v>
      </c>
      <c r="AF64" s="493" t="s">
        <v>326</v>
      </c>
      <c r="AG64" s="35"/>
      <c r="AH64" s="35"/>
      <c r="AI64" s="493" t="s">
        <v>323</v>
      </c>
      <c r="AJ64" s="493" t="s">
        <v>326</v>
      </c>
      <c r="AK64" s="16"/>
      <c r="AL64" s="35"/>
      <c r="AM64" s="35"/>
      <c r="AN64" s="252"/>
      <c r="AR64" s="218" t="s">
        <v>278</v>
      </c>
      <c r="AS64" s="255">
        <f>SUM(AS59:AS63)</f>
        <v>79.595846977928161</v>
      </c>
      <c r="AT64" s="249"/>
      <c r="AU64" s="249" t="s">
        <v>278</v>
      </c>
      <c r="AV64" s="249">
        <f>SUM(AV59:AV63)</f>
        <v>79.595846977928161</v>
      </c>
      <c r="AW64" s="267"/>
      <c r="AX64" s="35"/>
      <c r="AY64" s="139" t="s">
        <v>278</v>
      </c>
      <c r="AZ64" s="139">
        <f>SUM(AZ59:AZ63)</f>
        <v>13.14892628217626</v>
      </c>
      <c r="BA64" s="139">
        <f>SUM(BA59:BA63)</f>
        <v>57.813861209515437</v>
      </c>
      <c r="BB64" s="139">
        <v>0</v>
      </c>
      <c r="BC64" s="139">
        <f>SUM(BC59:BC63)</f>
        <v>8.6330594862364567</v>
      </c>
      <c r="BD64" s="233">
        <v>0</v>
      </c>
      <c r="BH64" s="232" t="s">
        <v>270</v>
      </c>
      <c r="BI64" s="225">
        <f>FuelProd2!AJ80</f>
        <v>4.1756461460914691</v>
      </c>
      <c r="BJ64" s="35"/>
      <c r="BK64" s="35"/>
      <c r="BL64" s="35"/>
      <c r="BM64" s="35"/>
      <c r="BN64" s="35"/>
      <c r="BO64" s="252"/>
      <c r="BP64" s="678"/>
      <c r="BQ64" s="686"/>
      <c r="BR64" s="672"/>
      <c r="BS64" s="672"/>
      <c r="BT64" s="672"/>
      <c r="BU64" s="672"/>
      <c r="BV64" s="672"/>
      <c r="BW64" s="671"/>
      <c r="CA64" s="29" t="s">
        <v>1163</v>
      </c>
      <c r="CB64" s="29">
        <v>20</v>
      </c>
      <c r="CC64" t="s">
        <v>333</v>
      </c>
      <c r="CD64" t="s">
        <v>1163</v>
      </c>
      <c r="CE64" s="33">
        <v>20</v>
      </c>
      <c r="CF64" s="35"/>
      <c r="CG64" s="29">
        <v>20</v>
      </c>
      <c r="CH64" s="35"/>
      <c r="CI64" s="29">
        <v>20</v>
      </c>
      <c r="CJ64" s="35"/>
      <c r="CK64" s="29">
        <v>20</v>
      </c>
      <c r="CL64" s="35"/>
      <c r="CM64" s="29">
        <v>20</v>
      </c>
      <c r="CN64" s="35"/>
      <c r="CO64" s="29">
        <v>20</v>
      </c>
      <c r="CP64" s="35"/>
      <c r="CQ64" s="29">
        <v>20</v>
      </c>
      <c r="CR64" s="35"/>
      <c r="CS64" s="29">
        <v>20</v>
      </c>
      <c r="CT64" s="35"/>
      <c r="CU64" s="29">
        <v>20</v>
      </c>
      <c r="CV64" s="16"/>
    </row>
    <row r="65" spans="10:100" ht="15.75" thickBot="1" x14ac:dyDescent="0.3">
      <c r="J65" s="563" t="s">
        <v>333</v>
      </c>
      <c r="K65" s="139">
        <f>((K56+L56)*C6)/1000</f>
        <v>0.216</v>
      </c>
      <c r="L65" s="261">
        <f>(K65/K70)</f>
        <v>0.76056338028169002</v>
      </c>
      <c r="M65" s="35"/>
      <c r="N65" s="35"/>
      <c r="O65" s="139">
        <f>((O56+P56)*C6)/1000</f>
        <v>0.216</v>
      </c>
      <c r="P65" s="261">
        <f>(O65/O70)</f>
        <v>0.76056338028169002</v>
      </c>
      <c r="Q65" s="16"/>
      <c r="R65" s="35"/>
      <c r="S65" s="35"/>
      <c r="T65" s="372" t="s">
        <v>333</v>
      </c>
      <c r="U65" s="139">
        <f>((U56+V56)*C6)/1000</f>
        <v>0.216</v>
      </c>
      <c r="V65" s="261">
        <f>(U65/U70)</f>
        <v>0.76595744680851052</v>
      </c>
      <c r="W65" s="35"/>
      <c r="X65" s="35"/>
      <c r="Y65" s="139">
        <f>((Y56+Z56)*C6)/1000</f>
        <v>0.216</v>
      </c>
      <c r="Z65" s="261">
        <f>(Y65/Y70)</f>
        <v>0.76595744680851052</v>
      </c>
      <c r="AA65" s="16"/>
      <c r="AB65" s="35"/>
      <c r="AC65" s="35"/>
      <c r="AD65" s="372" t="s">
        <v>333</v>
      </c>
      <c r="AE65" s="139">
        <f>((AE56+AF56)*C6)/1000</f>
        <v>0.192</v>
      </c>
      <c r="AF65" s="261">
        <f>(AE65/AE70)</f>
        <v>0.75</v>
      </c>
      <c r="AG65" s="35"/>
      <c r="AH65" s="35"/>
      <c r="AI65" s="139">
        <f>((AI56+AJ56)*C6)/1000</f>
        <v>0.192</v>
      </c>
      <c r="AJ65" s="261">
        <f>(AI65/AI70)</f>
        <v>0.75</v>
      </c>
      <c r="AK65" s="16"/>
      <c r="AL65" s="35"/>
      <c r="AM65" s="35"/>
      <c r="AN65" s="252"/>
      <c r="AR65" s="268"/>
      <c r="AS65" s="35"/>
      <c r="AT65" s="35"/>
      <c r="AU65" s="35"/>
      <c r="AV65" s="35"/>
      <c r="AW65" s="35"/>
      <c r="AX65" s="35"/>
      <c r="AY65" s="35"/>
      <c r="AZ65" s="35"/>
      <c r="BA65" s="35"/>
      <c r="BB65" s="35"/>
      <c r="BC65" s="35"/>
      <c r="BD65" s="252"/>
      <c r="BH65" s="271"/>
      <c r="BI65" s="272"/>
      <c r="BJ65" s="272"/>
      <c r="BK65" s="272"/>
      <c r="BL65" s="272"/>
      <c r="BM65" s="249" t="s">
        <v>747</v>
      </c>
      <c r="BN65" s="524">
        <f>BI64*BI56</f>
        <v>6263.4692191372033</v>
      </c>
      <c r="BO65" s="267" t="s">
        <v>694</v>
      </c>
      <c r="BP65" s="684" t="s">
        <v>278</v>
      </c>
      <c r="BQ65" s="685"/>
      <c r="BR65" s="685"/>
      <c r="BS65" s="685"/>
      <c r="BT65" s="521" t="e">
        <f>SUM(BT49:BT63)</f>
        <v>#REF!</v>
      </c>
      <c r="BU65" s="685"/>
      <c r="BV65" s="521" t="e">
        <f>SUM(BV49:BV61)</f>
        <v>#REF!</v>
      </c>
      <c r="BW65" s="671"/>
      <c r="CA65" s="29" t="s">
        <v>1164</v>
      </c>
      <c r="CB65">
        <f>CB63-CB64</f>
        <v>380</v>
      </c>
      <c r="CC65" t="s">
        <v>333</v>
      </c>
      <c r="CD65" t="s">
        <v>1164</v>
      </c>
      <c r="CE65" s="15">
        <f>CE63-CE64</f>
        <v>380</v>
      </c>
      <c r="CF65" s="35"/>
      <c r="CG65" s="35">
        <f>CG63-CG64</f>
        <v>400</v>
      </c>
      <c r="CH65" s="35"/>
      <c r="CI65" s="35">
        <f>CI63-CI64</f>
        <v>380</v>
      </c>
      <c r="CJ65" s="35"/>
      <c r="CK65" s="35">
        <f>CK63-CK64</f>
        <v>400</v>
      </c>
      <c r="CL65" s="35"/>
      <c r="CM65" s="35">
        <f>CM63-CM64</f>
        <v>400</v>
      </c>
      <c r="CN65" s="35"/>
      <c r="CO65" s="35">
        <f>CO63-CO64</f>
        <v>400</v>
      </c>
      <c r="CP65" s="35"/>
      <c r="CQ65" s="35">
        <f>CQ63-CQ64</f>
        <v>400</v>
      </c>
      <c r="CR65" s="35"/>
      <c r="CS65" s="35">
        <f>CS63-CS64</f>
        <v>400</v>
      </c>
      <c r="CT65" s="35"/>
      <c r="CU65" s="35">
        <f>CU63-CU64</f>
        <v>400</v>
      </c>
      <c r="CV65" s="16"/>
    </row>
    <row r="66" spans="10:100" x14ac:dyDescent="0.25">
      <c r="J66" s="563" t="s">
        <v>328</v>
      </c>
      <c r="K66" s="139">
        <f>((K57+L57)*C4)/1000</f>
        <v>3.5999999999999997E-2</v>
      </c>
      <c r="L66" s="261">
        <f>(K66/K70)</f>
        <v>0.12676056338028166</v>
      </c>
      <c r="M66" s="35"/>
      <c r="N66" s="35"/>
      <c r="O66" s="139">
        <f>((O57+P57)*C4)/1000</f>
        <v>3.5999999999999997E-2</v>
      </c>
      <c r="P66" s="261">
        <f>(O66/O70)</f>
        <v>0.12676056338028166</v>
      </c>
      <c r="Q66" s="16"/>
      <c r="R66" s="35"/>
      <c r="S66" s="35"/>
      <c r="T66" s="372" t="s">
        <v>328</v>
      </c>
      <c r="U66" s="139">
        <f>((U57+V57)*C4)/1000</f>
        <v>3.4000000000000002E-2</v>
      </c>
      <c r="V66" s="261">
        <f>(U66/U70)</f>
        <v>0.12056737588652482</v>
      </c>
      <c r="W66" s="35"/>
      <c r="X66" s="35"/>
      <c r="Y66" s="139">
        <f>((Y57+Z57)*C4)/1000</f>
        <v>3.4000000000000002E-2</v>
      </c>
      <c r="Z66" s="261">
        <f>(Y66/Y70)</f>
        <v>0.12056737588652482</v>
      </c>
      <c r="AA66" s="16"/>
      <c r="AB66" s="35"/>
      <c r="AC66" s="35"/>
      <c r="AD66" s="372" t="s">
        <v>328</v>
      </c>
      <c r="AE66" s="139">
        <f>((AE57+AF57)*C4)/1000</f>
        <v>3.2000000000000001E-2</v>
      </c>
      <c r="AF66" s="261">
        <f>(AE66/AE70)</f>
        <v>0.125</v>
      </c>
      <c r="AG66" s="35"/>
      <c r="AH66" s="35"/>
      <c r="AI66" s="139">
        <f>((AI57+AJ57)*C4)/1000</f>
        <v>3.2000000000000001E-2</v>
      </c>
      <c r="AJ66" s="261">
        <f>(AI66/AI70)</f>
        <v>0.125</v>
      </c>
      <c r="AK66" s="16"/>
      <c r="AL66" s="35"/>
      <c r="AM66" s="35"/>
      <c r="AN66" s="252"/>
      <c r="AR66" s="268"/>
      <c r="AS66" s="35"/>
      <c r="AT66" s="35"/>
      <c r="AU66" s="35"/>
      <c r="AV66" s="35"/>
      <c r="AW66" s="35"/>
      <c r="AX66" s="35"/>
      <c r="AY66" s="35"/>
      <c r="AZ66" s="35"/>
      <c r="BA66" s="35"/>
      <c r="BB66" s="35"/>
      <c r="BC66" s="35"/>
      <c r="BD66" s="252"/>
      <c r="BH66" s="268" t="s">
        <v>107</v>
      </c>
      <c r="BI66" s="35"/>
      <c r="BJ66" s="35"/>
      <c r="BK66" s="35"/>
      <c r="BL66" s="35"/>
      <c r="BM66" s="35"/>
      <c r="BN66" s="35"/>
      <c r="BO66" s="35"/>
      <c r="BP66" s="245"/>
      <c r="BQ66" s="245"/>
      <c r="BR66" s="245"/>
      <c r="BS66" s="245"/>
      <c r="BT66" s="245"/>
      <c r="BU66" s="245"/>
      <c r="BV66" s="245"/>
      <c r="BW66" s="246"/>
      <c r="CA66" t="s">
        <v>1160</v>
      </c>
      <c r="CB66">
        <f>(CB43*CB61*CB62*CB65)/1000</f>
        <v>3252.3875061537137</v>
      </c>
      <c r="CC66" t="s">
        <v>694</v>
      </c>
      <c r="CD66" s="1" t="s">
        <v>1160</v>
      </c>
      <c r="CE66" s="13">
        <f>'Fuel Production'!C80*(CB43*CE61*CE62*CE65*(1/CU54))/1000</f>
        <v>0</v>
      </c>
      <c r="CF66" s="11"/>
      <c r="CG66" s="11">
        <f>'Fuel Production'!C80*(CB43*CG61*CG62*CG65*(1/CU54))/1000</f>
        <v>0</v>
      </c>
      <c r="CH66" s="11"/>
      <c r="CI66" s="11">
        <f>'Fuel Production'!C80*(CB43*CI61*CI62*CI65*(1/CU54))/1000</f>
        <v>0</v>
      </c>
      <c r="CJ66" s="11"/>
      <c r="CK66" s="11">
        <f>'Fuel Production'!C80*(CB43*CK61*CK62*CK65*(1/CU54))/1000</f>
        <v>0</v>
      </c>
      <c r="CL66" s="11"/>
      <c r="CM66" s="11">
        <f>'Fuel Production'!C80*(CB43*CM61*CM62*CM65*(1/CU54))/1000</f>
        <v>0</v>
      </c>
      <c r="CN66" s="11"/>
      <c r="CO66" s="11">
        <f>'Fuel Production'!C80*(CB43*CO61*CO62*CO65*(1/CU54))/1000</f>
        <v>0</v>
      </c>
      <c r="CP66" s="11"/>
      <c r="CQ66" s="11">
        <f>'Fuel Production'!C80*(CB43*CQ61*CQ62*CQ65*(1/CU54))/1000</f>
        <v>0</v>
      </c>
      <c r="CR66" s="11"/>
      <c r="CS66" s="11">
        <f>'Fuel Production'!C80*(CB43*CS61*CS62*CS65*(1/CU54))/1000</f>
        <v>0</v>
      </c>
      <c r="CT66" s="11"/>
      <c r="CU66" s="11">
        <f>'Fuel Production'!C80*(CB43*CU61*CU62*CU65*(1/CU54))/1000</f>
        <v>0</v>
      </c>
      <c r="CV66" s="14"/>
    </row>
    <row r="67" spans="10:100" ht="15.75" x14ac:dyDescent="0.25">
      <c r="J67" s="563" t="s">
        <v>342</v>
      </c>
      <c r="K67" s="139">
        <f>((K58+L58)*C5)/1000</f>
        <v>3.2000000000000001E-2</v>
      </c>
      <c r="L67" s="261">
        <f>(K67/K70)</f>
        <v>0.11267605633802816</v>
      </c>
      <c r="M67" s="35"/>
      <c r="N67" s="35"/>
      <c r="O67" s="139">
        <f>((O58+P58)*C5)/1000</f>
        <v>3.2000000000000001E-2</v>
      </c>
      <c r="P67" s="261">
        <f>(O67/O70)</f>
        <v>0.11267605633802816</v>
      </c>
      <c r="Q67" s="16"/>
      <c r="R67" s="554"/>
      <c r="S67" s="554"/>
      <c r="T67" s="372" t="s">
        <v>342</v>
      </c>
      <c r="U67" s="139">
        <f>((U58+V58)*C5)/1000</f>
        <v>3.2000000000000001E-2</v>
      </c>
      <c r="V67" s="261">
        <f>(U67/U70)</f>
        <v>0.11347517730496454</v>
      </c>
      <c r="W67" s="35"/>
      <c r="X67" s="35"/>
      <c r="Y67" s="139">
        <f>((Y58+Z58)*C5)/1000</f>
        <v>3.2000000000000001E-2</v>
      </c>
      <c r="Z67" s="261">
        <f>(Y67/Y70)</f>
        <v>0.11347517730496454</v>
      </c>
      <c r="AA67" s="16"/>
      <c r="AB67" s="35"/>
      <c r="AC67" s="35"/>
      <c r="AD67" s="372" t="s">
        <v>342</v>
      </c>
      <c r="AE67" s="139">
        <f>((AE58+AF58)*C5)/1000</f>
        <v>3.2000000000000001E-2</v>
      </c>
      <c r="AF67" s="261">
        <f>(AE67/AE70)</f>
        <v>0.125</v>
      </c>
      <c r="AG67" s="35"/>
      <c r="AH67" s="35"/>
      <c r="AI67" s="139">
        <f>((AI58+AJ58)*C5)/1000</f>
        <v>3.2000000000000001E-2</v>
      </c>
      <c r="AJ67" s="261">
        <f>(AI67/AI70)</f>
        <v>0.125</v>
      </c>
      <c r="AK67" s="16"/>
      <c r="AL67" s="35"/>
      <c r="AM67" s="35"/>
      <c r="AN67" s="252"/>
      <c r="AR67" s="1172" t="s">
        <v>733</v>
      </c>
      <c r="AS67" s="1173"/>
      <c r="AT67" s="1173"/>
      <c r="AU67" s="1173"/>
      <c r="AV67" s="1173"/>
      <c r="AW67" s="1173"/>
      <c r="AX67" s="1173"/>
      <c r="AY67" s="1173"/>
      <c r="AZ67" s="1173"/>
      <c r="BA67" s="1173"/>
      <c r="BB67" s="1173"/>
      <c r="BC67" s="1173"/>
      <c r="BD67" s="1174"/>
      <c r="BH67" s="268" t="s">
        <v>991</v>
      </c>
      <c r="BI67" s="29" t="s">
        <v>997</v>
      </c>
      <c r="BJ67" s="29"/>
      <c r="BK67" s="40"/>
      <c r="BL67" s="35"/>
      <c r="BM67" s="35"/>
      <c r="BN67" s="35"/>
      <c r="BO67" s="35"/>
      <c r="BP67" s="35"/>
      <c r="BQ67" s="35"/>
      <c r="BR67" s="35"/>
      <c r="BS67" s="35"/>
      <c r="BT67" s="35"/>
      <c r="BU67" s="35"/>
      <c r="BV67" s="35"/>
      <c r="BW67" s="252"/>
      <c r="CC67" t="s">
        <v>173</v>
      </c>
      <c r="CE67" s="35"/>
      <c r="CF67" s="35"/>
      <c r="CG67" s="35"/>
      <c r="CH67" s="35"/>
      <c r="CI67" s="35"/>
      <c r="CJ67" s="35"/>
      <c r="CQ67" s="35"/>
      <c r="CR67" s="35"/>
      <c r="CS67" s="35"/>
    </row>
    <row r="68" spans="10:100" x14ac:dyDescent="0.25">
      <c r="J68" s="563" t="s">
        <v>338</v>
      </c>
      <c r="K68" s="139">
        <v>0</v>
      </c>
      <c r="L68" s="261">
        <f>(K68/K70)</f>
        <v>0</v>
      </c>
      <c r="M68" s="35"/>
      <c r="N68" s="35"/>
      <c r="O68" s="139">
        <v>0</v>
      </c>
      <c r="P68" s="261">
        <f>(O68/O70)</f>
        <v>0</v>
      </c>
      <c r="Q68" s="16"/>
      <c r="R68" s="566"/>
      <c r="S68" s="35"/>
      <c r="T68" s="372" t="s">
        <v>338</v>
      </c>
      <c r="U68" s="139">
        <v>0</v>
      </c>
      <c r="V68" s="261">
        <f>(U68/U70)</f>
        <v>0</v>
      </c>
      <c r="W68" s="35"/>
      <c r="X68" s="35"/>
      <c r="Y68" s="139">
        <v>0</v>
      </c>
      <c r="Z68" s="261">
        <f>(Y68/Y70)</f>
        <v>0</v>
      </c>
      <c r="AA68" s="16"/>
      <c r="AB68" s="35"/>
      <c r="AC68" s="35"/>
      <c r="AD68" s="372" t="s">
        <v>338</v>
      </c>
      <c r="AE68" s="139">
        <v>0</v>
      </c>
      <c r="AF68" s="261">
        <f>(AE68/AE70)</f>
        <v>0</v>
      </c>
      <c r="AG68" s="35"/>
      <c r="AH68" s="35"/>
      <c r="AI68" s="139">
        <v>0</v>
      </c>
      <c r="AJ68" s="261">
        <f>(AI68/AI70)</f>
        <v>0</v>
      </c>
      <c r="AK68" s="16"/>
      <c r="AL68" s="35"/>
      <c r="AM68" s="35"/>
      <c r="AN68" s="252"/>
      <c r="AR68" s="1047" t="s">
        <v>319</v>
      </c>
      <c r="AS68" s="1047"/>
      <c r="AT68" s="1047"/>
      <c r="AU68" s="978" t="s">
        <v>320</v>
      </c>
      <c r="AV68" s="978"/>
      <c r="AW68" s="978"/>
      <c r="AX68" s="35"/>
      <c r="AY68" s="139"/>
      <c r="AZ68" s="139" t="s">
        <v>376</v>
      </c>
      <c r="BA68" s="139" t="s">
        <v>707</v>
      </c>
      <c r="BB68" s="139" t="s">
        <v>708</v>
      </c>
      <c r="BC68" s="139" t="s">
        <v>608</v>
      </c>
      <c r="BD68" s="233" t="s">
        <v>709</v>
      </c>
      <c r="BH68" s="268" t="s">
        <v>992</v>
      </c>
      <c r="BI68" s="35" t="s">
        <v>1002</v>
      </c>
      <c r="BJ68" s="35"/>
      <c r="BK68" s="35"/>
      <c r="BL68" s="35"/>
      <c r="BM68" s="35"/>
      <c r="BN68" s="35"/>
      <c r="BO68" s="35"/>
      <c r="BP68" s="35"/>
      <c r="BQ68" s="35"/>
      <c r="BR68" s="35"/>
      <c r="BS68" s="35"/>
      <c r="BT68" s="35"/>
      <c r="BU68" s="35"/>
      <c r="BV68" s="35"/>
      <c r="BW68" s="252"/>
      <c r="BX68" t="s">
        <v>173</v>
      </c>
      <c r="CD68" s="35"/>
      <c r="CE68" s="35"/>
      <c r="CF68" s="35"/>
      <c r="CG68" s="35"/>
      <c r="CH68" s="35"/>
      <c r="CI68" s="35"/>
      <c r="CJ68" s="35"/>
      <c r="CK68" s="35"/>
      <c r="CL68" s="35"/>
      <c r="CM68" s="35"/>
    </row>
    <row r="69" spans="10:100" x14ac:dyDescent="0.25">
      <c r="J69" s="564" t="s">
        <v>344</v>
      </c>
      <c r="K69" s="226">
        <v>0</v>
      </c>
      <c r="L69" s="261">
        <f>(K69/K70)</f>
        <v>0</v>
      </c>
      <c r="M69" s="35"/>
      <c r="N69" s="35"/>
      <c r="O69" s="226">
        <v>0</v>
      </c>
      <c r="P69" s="261">
        <f>(O69/O70)</f>
        <v>0</v>
      </c>
      <c r="Q69" s="16"/>
      <c r="R69" s="35"/>
      <c r="S69" s="35"/>
      <c r="T69" s="375" t="s">
        <v>344</v>
      </c>
      <c r="U69" s="226">
        <v>0</v>
      </c>
      <c r="V69" s="261">
        <f>(U69/U70)</f>
        <v>0</v>
      </c>
      <c r="W69" s="35"/>
      <c r="X69" s="35"/>
      <c r="Y69" s="226">
        <v>0</v>
      </c>
      <c r="Z69" s="261">
        <f>(Y69/Y70)</f>
        <v>0</v>
      </c>
      <c r="AA69" s="16"/>
      <c r="AB69" s="35"/>
      <c r="AC69" s="35"/>
      <c r="AD69" s="375" t="s">
        <v>344</v>
      </c>
      <c r="AE69" s="226">
        <v>0</v>
      </c>
      <c r="AF69" s="261">
        <f>(AE69/AE70)</f>
        <v>0</v>
      </c>
      <c r="AG69" s="35"/>
      <c r="AH69" s="35"/>
      <c r="AI69" s="226">
        <v>0</v>
      </c>
      <c r="AJ69" s="261">
        <f>(AI69/AI70)</f>
        <v>0</v>
      </c>
      <c r="AK69" s="16"/>
      <c r="AL69" s="35"/>
      <c r="AM69" s="35"/>
      <c r="AN69" s="252"/>
      <c r="AR69" s="492" t="s">
        <v>322</v>
      </c>
      <c r="AS69" s="493" t="s">
        <v>323</v>
      </c>
      <c r="AT69" s="493" t="s">
        <v>326</v>
      </c>
      <c r="AU69" s="493"/>
      <c r="AV69" s="493" t="s">
        <v>323</v>
      </c>
      <c r="AW69" s="494" t="s">
        <v>326</v>
      </c>
      <c r="AX69" s="35"/>
      <c r="AY69" s="139" t="s">
        <v>274</v>
      </c>
      <c r="AZ69" s="139">
        <f>AS70*(BQ108*BD49/BQ110)</f>
        <v>0</v>
      </c>
      <c r="BA69" s="139">
        <f>AS70*(BQ107*BD50/BQ110)</f>
        <v>1.0140976266533064</v>
      </c>
      <c r="BB69" s="139">
        <v>0</v>
      </c>
      <c r="BC69" s="139">
        <f>AS70*(BQ109*BD52/BQ110)</f>
        <v>2.7042603377421508</v>
      </c>
      <c r="BD69" s="233">
        <v>0</v>
      </c>
      <c r="BH69" s="268" t="s">
        <v>993</v>
      </c>
      <c r="BI69" s="35" t="s">
        <v>1003</v>
      </c>
      <c r="BJ69" s="35"/>
      <c r="BK69" s="35"/>
      <c r="BL69" s="35"/>
      <c r="BM69" s="35"/>
      <c r="BN69" s="35"/>
      <c r="BO69" s="35"/>
      <c r="BP69" s="35"/>
      <c r="BQ69" s="35"/>
      <c r="BR69" s="35"/>
      <c r="BS69" s="35"/>
      <c r="BT69" s="35"/>
      <c r="BU69" s="35"/>
      <c r="BV69" s="35"/>
      <c r="BW69" s="252"/>
      <c r="CD69" s="35"/>
      <c r="CE69" s="35"/>
      <c r="CF69" s="35"/>
      <c r="CG69" s="35"/>
      <c r="CH69" s="35"/>
      <c r="CI69" s="35"/>
      <c r="CJ69" s="35"/>
      <c r="CK69" s="35"/>
      <c r="CL69" s="35"/>
      <c r="CM69" s="35"/>
    </row>
    <row r="70" spans="10:100" ht="15.75" x14ac:dyDescent="0.25">
      <c r="J70" s="563" t="s">
        <v>278</v>
      </c>
      <c r="K70" s="139">
        <f>K65+K66+K67+K68+K69</f>
        <v>0.28400000000000003</v>
      </c>
      <c r="L70" s="139"/>
      <c r="M70" s="35"/>
      <c r="N70" s="35"/>
      <c r="O70" s="139">
        <f>O65+O66+O67+O68+O69</f>
        <v>0.28400000000000003</v>
      </c>
      <c r="P70" s="139"/>
      <c r="Q70" s="16"/>
      <c r="R70" s="35"/>
      <c r="S70" s="35"/>
      <c r="T70" s="372" t="s">
        <v>278</v>
      </c>
      <c r="U70" s="139">
        <f>U65+U66+U67+U68+U69</f>
        <v>0.28200000000000003</v>
      </c>
      <c r="V70" s="139"/>
      <c r="W70" s="35"/>
      <c r="X70" s="35"/>
      <c r="Y70" s="139">
        <f>Y65+Y66+Y67+Y68+Y69</f>
        <v>0.28200000000000003</v>
      </c>
      <c r="Z70" s="139"/>
      <c r="AA70" s="16"/>
      <c r="AB70" s="35"/>
      <c r="AC70" s="35"/>
      <c r="AD70" s="372" t="s">
        <v>278</v>
      </c>
      <c r="AE70" s="139">
        <f>AE65+AE66+AE67+AE68+AE69</f>
        <v>0.25600000000000001</v>
      </c>
      <c r="AF70" s="139"/>
      <c r="AG70" s="35"/>
      <c r="AH70" s="35"/>
      <c r="AI70" s="139">
        <f>AI65+AI66+AI67+AI68+AI69</f>
        <v>0.25600000000000001</v>
      </c>
      <c r="AJ70" s="139"/>
      <c r="AK70" s="16"/>
      <c r="AL70" s="35"/>
      <c r="AM70" s="35"/>
      <c r="AN70" s="252"/>
      <c r="AR70" s="232" t="s">
        <v>274</v>
      </c>
      <c r="AS70" s="225">
        <v>3.718357964395457</v>
      </c>
      <c r="AT70" s="139">
        <v>4.9422327664794999E-2</v>
      </c>
      <c r="AU70" s="139" t="s">
        <v>328</v>
      </c>
      <c r="AV70" s="139">
        <f>AZ79</f>
        <v>12.821636484202903</v>
      </c>
      <c r="AW70" s="233"/>
      <c r="AX70" s="35"/>
      <c r="AY70" s="139" t="s">
        <v>276</v>
      </c>
      <c r="AZ70" s="139">
        <f>AS71*(BR108*BD49/BR110)</f>
        <v>0</v>
      </c>
      <c r="BA70" s="139">
        <f>AS71*(BR107*BD50/BR110)</f>
        <v>1.0140976266533064</v>
      </c>
      <c r="BB70" s="139">
        <v>0</v>
      </c>
      <c r="BC70" s="139">
        <f>AS71*(BR109*BD52/BR110)</f>
        <v>1.3521301688710752</v>
      </c>
      <c r="BD70" s="233">
        <v>0</v>
      </c>
      <c r="BH70" s="268" t="s">
        <v>994</v>
      </c>
      <c r="BI70" s="35" t="s">
        <v>1008</v>
      </c>
      <c r="BJ70" s="35"/>
      <c r="BK70" s="35"/>
      <c r="BL70" s="35"/>
      <c r="BM70" s="35"/>
      <c r="BN70" s="35"/>
      <c r="BO70" s="35"/>
      <c r="BP70" s="35"/>
      <c r="BQ70" s="35"/>
      <c r="BR70" s="35"/>
      <c r="BS70" s="35"/>
      <c r="BT70" s="35"/>
      <c r="BU70" s="35"/>
      <c r="BV70" s="35"/>
      <c r="BW70" s="252"/>
      <c r="CA70" s="1184" t="s">
        <v>1208</v>
      </c>
      <c r="CB70" s="1185"/>
      <c r="CC70" s="1185"/>
      <c r="CD70" s="1185"/>
      <c r="CE70" s="1185"/>
      <c r="CF70" s="1185"/>
      <c r="CG70" s="1185"/>
      <c r="CH70" s="1185"/>
      <c r="CI70" s="35"/>
      <c r="CJ70" s="35"/>
      <c r="CU70" s="35">
        <f>CI66+CQ66+CS66+CU66+CE66+CG66+CK66+CM66+CO66</f>
        <v>0</v>
      </c>
      <c r="CV70" s="35">
        <f>CU70/1000</f>
        <v>0</v>
      </c>
    </row>
    <row r="71" spans="10:100" x14ac:dyDescent="0.25">
      <c r="J71" s="565"/>
      <c r="K71" s="13" t="s">
        <v>336</v>
      </c>
      <c r="L71" s="14"/>
      <c r="M71" s="11"/>
      <c r="N71" s="11"/>
      <c r="O71" s="13" t="s">
        <v>336</v>
      </c>
      <c r="P71" s="14"/>
      <c r="Q71" s="14"/>
      <c r="R71" s="566"/>
      <c r="S71" s="35"/>
      <c r="T71" s="13"/>
      <c r="U71" s="13"/>
      <c r="V71" s="14"/>
      <c r="W71" s="11"/>
      <c r="X71" s="11"/>
      <c r="Y71" s="13"/>
      <c r="Z71" s="14"/>
      <c r="AA71" s="14"/>
      <c r="AB71" s="35"/>
      <c r="AC71" s="35"/>
      <c r="AD71" s="13"/>
      <c r="AE71" s="35"/>
      <c r="AF71" s="35"/>
      <c r="AG71" s="11"/>
      <c r="AH71" s="11"/>
      <c r="AI71" s="13"/>
      <c r="AJ71" s="14"/>
      <c r="AK71" s="14"/>
      <c r="AL71" s="35"/>
      <c r="AM71" s="35"/>
      <c r="AN71" s="252"/>
      <c r="AR71" s="232" t="s">
        <v>276</v>
      </c>
      <c r="AS71" s="225">
        <v>2.3662277955243818</v>
      </c>
      <c r="AT71" s="139">
        <v>3.145057215032409E-2</v>
      </c>
      <c r="AU71" s="139" t="s">
        <v>333</v>
      </c>
      <c r="AV71" s="139">
        <f>BA79</f>
        <v>54.301981516697907</v>
      </c>
      <c r="AW71" s="233"/>
      <c r="AX71" s="35"/>
      <c r="AY71" s="122" t="s">
        <v>268</v>
      </c>
      <c r="AZ71" s="139">
        <f>AS72*(BS108*BD49/BS110)</f>
        <v>0.5070488133266533</v>
      </c>
      <c r="BA71" s="139">
        <f>AS72*(BS107*BD50/BS110)</f>
        <v>0</v>
      </c>
      <c r="BB71" s="139">
        <v>0</v>
      </c>
      <c r="BC71" s="139">
        <f>AS72*(BS109*BD52/BS110)</f>
        <v>4.0563905066132264</v>
      </c>
      <c r="BD71" s="233">
        <v>0</v>
      </c>
      <c r="BH71" s="268" t="s">
        <v>995</v>
      </c>
      <c r="BI71" s="35" t="s">
        <v>998</v>
      </c>
      <c r="BJ71" s="35"/>
      <c r="BK71" s="35"/>
      <c r="BL71" s="35"/>
      <c r="BM71" s="35"/>
      <c r="BN71" s="35"/>
      <c r="BO71" s="35"/>
      <c r="BP71" s="35"/>
      <c r="BQ71" s="35"/>
      <c r="BR71" s="35"/>
      <c r="BS71" s="35"/>
      <c r="BT71" s="35"/>
      <c r="BU71" s="35"/>
      <c r="BV71" s="35"/>
      <c r="BW71" s="252"/>
      <c r="CA71" t="s">
        <v>1209</v>
      </c>
      <c r="CD71" s="35"/>
      <c r="CE71" s="35"/>
      <c r="CF71" s="35"/>
      <c r="CG71" s="35"/>
      <c r="CH71" s="35"/>
      <c r="CI71" s="35"/>
      <c r="CJ71" s="35"/>
      <c r="CK71" s="35"/>
      <c r="CL71" s="35"/>
      <c r="CM71" s="35"/>
    </row>
    <row r="72" spans="10:100" x14ac:dyDescent="0.25">
      <c r="J72" s="268"/>
      <c r="K72" s="35"/>
      <c r="L72" s="35"/>
      <c r="M72" s="13" t="s">
        <v>336</v>
      </c>
      <c r="N72" s="35">
        <f>(O54*C20+P54*C24)-(K54*C17)</f>
        <v>17.990000000000009</v>
      </c>
      <c r="O72" s="35"/>
      <c r="P72" s="35"/>
      <c r="Q72" s="35"/>
      <c r="R72" s="35"/>
      <c r="S72" s="35"/>
      <c r="T72" s="35"/>
      <c r="U72" s="35"/>
      <c r="V72" s="35"/>
      <c r="W72" s="13" t="s">
        <v>336</v>
      </c>
      <c r="X72" s="35">
        <f>(Y54*C21+Z54*C24)-(U54*C15)</f>
        <v>15.889999999999986</v>
      </c>
      <c r="Y72" s="35"/>
      <c r="Z72" s="35"/>
      <c r="AA72" s="35"/>
      <c r="AB72" s="35"/>
      <c r="AC72" s="35"/>
      <c r="AD72" s="35"/>
      <c r="AE72" s="35"/>
      <c r="AF72" s="35"/>
      <c r="AG72" s="13" t="s">
        <v>336</v>
      </c>
      <c r="AH72" s="35">
        <f>(AI54*C23+AJ54*C24)-(AE54*C14)</f>
        <v>26.090000000000032</v>
      </c>
      <c r="AI72" s="35"/>
      <c r="AJ72" s="35"/>
      <c r="AK72" s="35"/>
      <c r="AL72" s="35"/>
      <c r="AM72" s="35"/>
      <c r="AN72" s="252"/>
      <c r="AR72" s="396" t="s">
        <v>268</v>
      </c>
      <c r="AS72" s="225">
        <v>4.5634393199398797</v>
      </c>
      <c r="AT72" s="139">
        <v>6.0654674861339332E-2</v>
      </c>
      <c r="AU72" s="139" t="s">
        <v>338</v>
      </c>
      <c r="AV72" s="139">
        <f>BB79</f>
        <v>0</v>
      </c>
      <c r="AW72" s="233"/>
      <c r="AX72" s="35"/>
      <c r="AY72" s="139" t="s">
        <v>467</v>
      </c>
      <c r="AZ72" s="139">
        <f>AS73*(BL97*BD49/BL99)</f>
        <v>5.1904243966152119</v>
      </c>
      <c r="BA72" s="139">
        <f>AS73*(BL96*BD50/BL99)</f>
        <v>29.412404914152866</v>
      </c>
      <c r="BB72" s="139">
        <v>0</v>
      </c>
      <c r="BC72" s="139">
        <f>AS73*(BL98*BD52/BL99)</f>
        <v>0</v>
      </c>
      <c r="BD72" s="233">
        <v>0</v>
      </c>
      <c r="BH72" s="268"/>
      <c r="BI72" s="35" t="s">
        <v>1000</v>
      </c>
      <c r="BJ72" s="35"/>
      <c r="BK72" s="35"/>
      <c r="BL72" s="35"/>
      <c r="BM72" s="35"/>
      <c r="BN72" s="35"/>
      <c r="BO72" s="35"/>
      <c r="BP72" s="35"/>
      <c r="BQ72" s="35"/>
      <c r="BR72" s="35"/>
      <c r="BS72" s="35"/>
      <c r="BT72" s="35"/>
      <c r="BU72" s="35"/>
      <c r="BV72" s="35"/>
      <c r="BW72" s="252"/>
      <c r="CA72" s="155" t="s">
        <v>268</v>
      </c>
      <c r="CB72" s="144">
        <f>FuelProd2!AS77</f>
        <v>2.9622185362148841</v>
      </c>
      <c r="CC72" s="144">
        <f>BJ40*CB72</f>
        <v>4.3544612482358795</v>
      </c>
      <c r="CD72" s="35"/>
      <c r="CE72" s="35"/>
      <c r="CF72" s="35"/>
      <c r="CG72" s="35"/>
      <c r="CH72" s="35"/>
      <c r="CI72" s="35"/>
      <c r="CJ72" s="35"/>
      <c r="CK72" s="35"/>
      <c r="CL72" s="35"/>
      <c r="CM72" s="35"/>
    </row>
    <row r="73" spans="10:100" x14ac:dyDescent="0.25">
      <c r="J73" s="268"/>
      <c r="K73" s="35"/>
      <c r="L73" s="35"/>
      <c r="M73" s="35"/>
      <c r="N73" s="35">
        <f>N72*K60</f>
        <v>2150.6606979327098</v>
      </c>
      <c r="O73" s="35"/>
      <c r="P73" s="35"/>
      <c r="Q73" s="35"/>
      <c r="R73" s="35"/>
      <c r="S73" s="35"/>
      <c r="T73" s="35"/>
      <c r="U73" s="35"/>
      <c r="V73" s="35"/>
      <c r="W73" s="35"/>
      <c r="X73" s="35">
        <f>X72*U60</f>
        <v>808.66947969230716</v>
      </c>
      <c r="Y73" s="35"/>
      <c r="Z73" s="35"/>
      <c r="AA73" s="35"/>
      <c r="AB73" s="35"/>
      <c r="AC73" s="35"/>
      <c r="AD73" s="35"/>
      <c r="AE73" s="35"/>
      <c r="AF73" s="35"/>
      <c r="AG73" s="35"/>
      <c r="AH73" s="35">
        <f>AH72*AE60</f>
        <v>339.51506129032299</v>
      </c>
      <c r="AI73" s="35"/>
      <c r="AJ73" s="35"/>
      <c r="AK73" s="35"/>
      <c r="AL73" s="35"/>
      <c r="AM73" s="35"/>
      <c r="AN73" s="252"/>
      <c r="AR73" s="232" t="s">
        <v>467</v>
      </c>
      <c r="AS73" s="225">
        <v>34.60282931076808</v>
      </c>
      <c r="AT73" s="139">
        <v>0.45992139129719184</v>
      </c>
      <c r="AU73" s="139" t="s">
        <v>342</v>
      </c>
      <c r="AV73" s="139">
        <f>BC79</f>
        <v>8.1127810132264528</v>
      </c>
      <c r="AW73" s="233"/>
      <c r="AX73" s="35"/>
      <c r="AY73" s="139" t="s">
        <v>468</v>
      </c>
      <c r="AZ73" s="139">
        <f>AS74*(BK97*BD49/BK99)</f>
        <v>0.41071153846153852</v>
      </c>
      <c r="BA73" s="139">
        <f>AS74*(BK96*BD50/BK99)</f>
        <v>2.4642692307692311</v>
      </c>
      <c r="BB73" s="139">
        <v>0</v>
      </c>
      <c r="BC73" s="139">
        <f>AS74*(BK98*BD52/BK99)</f>
        <v>0</v>
      </c>
      <c r="BD73" s="233">
        <v>0</v>
      </c>
      <c r="BH73" s="268"/>
      <c r="BI73" s="35" t="s">
        <v>999</v>
      </c>
      <c r="BJ73" s="35"/>
      <c r="BK73" s="35"/>
      <c r="BL73" s="35"/>
      <c r="BM73" s="35"/>
      <c r="BN73" s="35"/>
      <c r="BO73" s="35"/>
      <c r="BP73" s="35"/>
      <c r="BQ73" s="35"/>
      <c r="BR73" s="35"/>
      <c r="BS73" s="35"/>
      <c r="BT73" s="35"/>
      <c r="BU73" s="35"/>
      <c r="BV73" s="35"/>
      <c r="BW73" s="252"/>
      <c r="CA73" s="155" t="s">
        <v>472</v>
      </c>
      <c r="CB73" s="144">
        <f>FuelProd2!AS78</f>
        <v>0.95924178683456973</v>
      </c>
      <c r="CC73" s="144">
        <f>CB73*BJ40</f>
        <v>1.4100854266468175</v>
      </c>
      <c r="CD73" s="35"/>
      <c r="CE73" s="35"/>
      <c r="CF73" s="35"/>
      <c r="CH73" s="35"/>
      <c r="CI73" s="35"/>
      <c r="CJ73" s="35"/>
      <c r="CK73" s="35"/>
      <c r="CL73" s="35"/>
      <c r="CM73" s="35"/>
    </row>
    <row r="74" spans="10:100" ht="15.75" thickBot="1" x14ac:dyDescent="0.3">
      <c r="J74" s="268"/>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252"/>
      <c r="AR74" s="232" t="s">
        <v>468</v>
      </c>
      <c r="AS74" s="225">
        <v>2.8749807692307696</v>
      </c>
      <c r="AT74" s="139">
        <v>3.8212631211801219E-2</v>
      </c>
      <c r="AU74" s="226" t="s">
        <v>344</v>
      </c>
      <c r="AV74" s="226">
        <f>BD79</f>
        <v>0</v>
      </c>
      <c r="AW74" s="243"/>
      <c r="AX74" s="35"/>
      <c r="AY74" s="139" t="s">
        <v>471</v>
      </c>
      <c r="AZ74" s="139">
        <f>AS75*(BJ97*BD49/BJ99)</f>
        <v>2.7393906537691399</v>
      </c>
      <c r="BA74" s="139">
        <f>AS75*(BJ96*BD50/BJ99)</f>
        <v>15.571273189845638</v>
      </c>
      <c r="BB74" s="139">
        <v>0</v>
      </c>
      <c r="BC74" s="139">
        <f>AS75*(BJ98*BD52/BJ99)</f>
        <v>0</v>
      </c>
      <c r="BD74" s="233">
        <v>0</v>
      </c>
      <c r="BH74" s="268" t="s">
        <v>996</v>
      </c>
      <c r="BI74" s="517" t="s">
        <v>365</v>
      </c>
      <c r="BJ74" s="517"/>
      <c r="BK74" s="517"/>
      <c r="BL74" s="517"/>
      <c r="BM74" s="517"/>
      <c r="BN74" s="517"/>
      <c r="BO74" s="517"/>
      <c r="BP74" s="35"/>
      <c r="BQ74" s="35"/>
      <c r="BR74" s="35"/>
      <c r="BS74" s="35"/>
      <c r="BT74" s="35"/>
      <c r="BU74" s="35"/>
      <c r="BV74" s="35"/>
      <c r="BW74" s="252"/>
      <c r="CA74" s="155" t="s">
        <v>272</v>
      </c>
      <c r="CB74" s="144">
        <f>FuelProd2!D141</f>
        <v>0</v>
      </c>
      <c r="CC74" s="144">
        <f>CB74*BJ40</f>
        <v>0</v>
      </c>
      <c r="CD74" s="35"/>
      <c r="CE74" s="35"/>
      <c r="CF74" s="35"/>
      <c r="CH74" s="35"/>
      <c r="CI74" s="35"/>
      <c r="CJ74" s="35"/>
      <c r="CK74" s="35"/>
      <c r="CL74" s="35"/>
      <c r="CM74" s="35"/>
    </row>
    <row r="75" spans="10:100" ht="19.5" thickBot="1" x14ac:dyDescent="0.3">
      <c r="J75" s="365">
        <v>9</v>
      </c>
      <c r="K75" s="982" t="s">
        <v>738</v>
      </c>
      <c r="L75" s="982"/>
      <c r="M75" s="982"/>
      <c r="N75" s="982"/>
      <c r="O75" s="982"/>
      <c r="P75" s="982"/>
      <c r="Q75" s="982"/>
      <c r="R75" s="982"/>
      <c r="S75" s="35"/>
      <c r="T75" s="365">
        <v>10</v>
      </c>
      <c r="U75" s="982" t="s">
        <v>738</v>
      </c>
      <c r="V75" s="982"/>
      <c r="W75" s="982"/>
      <c r="X75" s="982"/>
      <c r="Y75" s="982"/>
      <c r="Z75" s="982"/>
      <c r="AA75" s="982"/>
      <c r="AB75" s="982"/>
      <c r="AC75" s="35"/>
      <c r="AD75" s="365">
        <v>11</v>
      </c>
      <c r="AE75" s="982" t="s">
        <v>738</v>
      </c>
      <c r="AF75" s="982"/>
      <c r="AG75" s="982"/>
      <c r="AH75" s="982"/>
      <c r="AI75" s="982"/>
      <c r="AJ75" s="982"/>
      <c r="AK75" s="982"/>
      <c r="AL75" s="982"/>
      <c r="AM75" s="35"/>
      <c r="AN75" s="252"/>
      <c r="AR75" s="232" t="s">
        <v>471</v>
      </c>
      <c r="AS75" s="225">
        <v>18.310663843614776</v>
      </c>
      <c r="AT75" s="139">
        <v>0.24337506956143068</v>
      </c>
      <c r="AU75" s="226"/>
      <c r="AV75" s="226"/>
      <c r="AW75" s="243"/>
      <c r="AX75" s="35"/>
      <c r="AY75" s="139" t="s">
        <v>474</v>
      </c>
      <c r="AZ75" s="139">
        <f>AS76*(BN97*BD49/BN99)</f>
        <v>0.40825806451612912</v>
      </c>
      <c r="BA75" s="139">
        <f>AS76*(BN96*BD50/BN99)</f>
        <v>2.2964516129032266</v>
      </c>
      <c r="BB75" s="139">
        <v>0</v>
      </c>
      <c r="BC75" s="139">
        <f>AS76*(BT109*BD52/BT110)</f>
        <v>0</v>
      </c>
      <c r="BD75" s="233">
        <v>0</v>
      </c>
      <c r="BH75" s="268" t="s">
        <v>1004</v>
      </c>
      <c r="BI75" s="35" t="s">
        <v>745</v>
      </c>
      <c r="BJ75" s="35"/>
      <c r="BK75" s="35"/>
      <c r="BL75" s="35"/>
      <c r="BM75" s="35"/>
      <c r="BN75" s="35"/>
      <c r="BO75" s="35"/>
      <c r="BP75" s="35"/>
      <c r="BQ75" s="35"/>
      <c r="BR75" s="35"/>
      <c r="BS75" s="35"/>
      <c r="BT75" s="35"/>
      <c r="BU75" s="35"/>
      <c r="BV75" s="35"/>
      <c r="BW75" s="252"/>
      <c r="CA75" s="155" t="s">
        <v>376</v>
      </c>
      <c r="CB75" s="144">
        <f>FuelProd2!AJ100</f>
        <v>3.0098913270920349</v>
      </c>
      <c r="CC75" s="144">
        <f>BJ40*CB75</f>
        <v>4.4245402508252916</v>
      </c>
      <c r="CD75" s="35"/>
      <c r="CE75" s="35"/>
      <c r="CF75" s="35"/>
      <c r="CH75" s="35"/>
      <c r="CI75" s="35"/>
      <c r="CJ75" s="35"/>
      <c r="CK75" s="35"/>
      <c r="CL75" s="35"/>
      <c r="CM75" s="35"/>
    </row>
    <row r="76" spans="10:100" x14ac:dyDescent="0.25">
      <c r="J76" s="561" t="s">
        <v>742</v>
      </c>
      <c r="K76" s="1160" t="s">
        <v>552</v>
      </c>
      <c r="L76" s="1160"/>
      <c r="M76" s="35"/>
      <c r="N76" s="35"/>
      <c r="O76" s="1160" t="s">
        <v>553</v>
      </c>
      <c r="P76" s="1160"/>
      <c r="Q76" s="1160"/>
      <c r="R76" s="16"/>
      <c r="S76" s="35"/>
      <c r="T76" s="367" t="s">
        <v>743</v>
      </c>
      <c r="U76" s="1160" t="s">
        <v>552</v>
      </c>
      <c r="V76" s="1160"/>
      <c r="W76" s="35"/>
      <c r="X76" s="35"/>
      <c r="Y76" s="1160" t="s">
        <v>553</v>
      </c>
      <c r="Z76" s="1160"/>
      <c r="AA76" s="1160"/>
      <c r="AB76" s="16"/>
      <c r="AC76" s="35"/>
      <c r="AD76" s="367" t="s">
        <v>744</v>
      </c>
      <c r="AE76" s="1160" t="s">
        <v>552</v>
      </c>
      <c r="AF76" s="1160"/>
      <c r="AG76" s="35"/>
      <c r="AH76" s="35"/>
      <c r="AI76" s="1160" t="s">
        <v>553</v>
      </c>
      <c r="AJ76" s="1160"/>
      <c r="AK76" s="1160"/>
      <c r="AL76" s="16"/>
      <c r="AM76" s="35"/>
      <c r="AN76" s="252"/>
      <c r="AR76" s="232" t="s">
        <v>474</v>
      </c>
      <c r="AS76" s="225">
        <v>2.7047096774193555</v>
      </c>
      <c r="AT76" s="139">
        <v>3.5949483399803438E-2</v>
      </c>
      <c r="AU76" s="226"/>
      <c r="AV76" s="226"/>
      <c r="AW76" s="243"/>
      <c r="AX76" s="35"/>
      <c r="AY76" s="139" t="s">
        <v>476</v>
      </c>
      <c r="AZ76" s="139">
        <f>AS77*(BM97*BD49/BM99)</f>
        <v>0.2168870967741936</v>
      </c>
      <c r="BA76" s="139">
        <f>AS77*(BM96*BD50/BM99)</f>
        <v>1.2247741935483873</v>
      </c>
      <c r="BB76" s="139">
        <v>0</v>
      </c>
      <c r="BC76" s="139">
        <f>AS77*(BM98*BD52/BM99)</f>
        <v>0</v>
      </c>
      <c r="BD76" s="233">
        <v>0</v>
      </c>
      <c r="BH76" s="268"/>
      <c r="BI76" s="35" t="s">
        <v>746</v>
      </c>
      <c r="BJ76" s="35"/>
      <c r="BK76" s="35"/>
      <c r="BL76" s="35"/>
      <c r="BM76" s="35"/>
      <c r="BN76" s="35"/>
      <c r="BO76" s="35"/>
      <c r="BP76" s="35"/>
      <c r="BQ76" s="35"/>
      <c r="BR76" s="35"/>
      <c r="BS76" s="35"/>
      <c r="BT76" s="35"/>
      <c r="BU76" s="35"/>
      <c r="BV76" s="35"/>
      <c r="BW76" s="252"/>
      <c r="CA76" s="155" t="s">
        <v>274</v>
      </c>
      <c r="CB76" s="144">
        <f>FuelProd2!AJ101</f>
        <v>10.317647259857246</v>
      </c>
      <c r="CC76" s="144">
        <f>CB76*BJ40</f>
        <v>15.166941471990151</v>
      </c>
      <c r="CD76" s="35"/>
      <c r="CE76" s="35"/>
      <c r="CF76" s="35"/>
      <c r="CG76" s="35"/>
      <c r="CH76" s="35"/>
      <c r="CI76" s="35"/>
      <c r="CJ76" s="35"/>
      <c r="CK76" s="35"/>
      <c r="CL76" s="35"/>
      <c r="CM76" s="35"/>
    </row>
    <row r="77" spans="10:100" ht="18" x14ac:dyDescent="0.35">
      <c r="J77" s="562" t="s">
        <v>322</v>
      </c>
      <c r="K77" s="36" t="s">
        <v>384</v>
      </c>
      <c r="L77" s="38" t="s">
        <v>376</v>
      </c>
      <c r="M77" s="35"/>
      <c r="N77" s="35"/>
      <c r="O77" s="36" t="s">
        <v>723</v>
      </c>
      <c r="P77" s="226" t="s">
        <v>670</v>
      </c>
      <c r="Q77" s="38" t="s">
        <v>676</v>
      </c>
      <c r="R77" s="16"/>
      <c r="S77" s="35"/>
      <c r="T77" s="368" t="s">
        <v>322</v>
      </c>
      <c r="U77" s="36" t="s">
        <v>379</v>
      </c>
      <c r="V77" s="38" t="s">
        <v>376</v>
      </c>
      <c r="W77" s="35"/>
      <c r="X77" s="35"/>
      <c r="Y77" s="36" t="s">
        <v>723</v>
      </c>
      <c r="Z77" s="226" t="s">
        <v>670</v>
      </c>
      <c r="AA77" s="38" t="s">
        <v>676</v>
      </c>
      <c r="AB77" s="16"/>
      <c r="AC77" s="35"/>
      <c r="AD77" s="368" t="s">
        <v>322</v>
      </c>
      <c r="AE77" s="38" t="s">
        <v>381</v>
      </c>
      <c r="AF77" s="38" t="s">
        <v>376</v>
      </c>
      <c r="AG77" s="35"/>
      <c r="AH77" s="35"/>
      <c r="AI77" s="36" t="s">
        <v>724</v>
      </c>
      <c r="AJ77" s="226" t="s">
        <v>670</v>
      </c>
      <c r="AK77" s="38" t="s">
        <v>676</v>
      </c>
      <c r="AL77" s="16"/>
      <c r="AM77" s="35"/>
      <c r="AN77" s="252"/>
      <c r="AR77" s="232" t="s">
        <v>476</v>
      </c>
      <c r="AS77" s="225">
        <v>1.4416612903225809</v>
      </c>
      <c r="AT77" s="139">
        <v>1.9161752944234851E-2</v>
      </c>
      <c r="AU77" s="226"/>
      <c r="AV77" s="226"/>
      <c r="AW77" s="243"/>
      <c r="AX77" s="35"/>
      <c r="AY77" s="139" t="s">
        <v>478</v>
      </c>
      <c r="AZ77" s="139">
        <f>AS78*(BI97*BD49/BI99)</f>
        <v>0.21743552036199099</v>
      </c>
      <c r="BA77" s="139">
        <f>AS78*(BI96*BD50/BI99)</f>
        <v>1.3046131221719459</v>
      </c>
      <c r="BB77" s="139">
        <v>0</v>
      </c>
      <c r="BC77" s="139">
        <f>AS78*(BI98*BD52/BI99)</f>
        <v>0</v>
      </c>
      <c r="BD77" s="233">
        <v>0</v>
      </c>
      <c r="BH77" s="268" t="s">
        <v>1007</v>
      </c>
      <c r="BI77" s="29" t="s">
        <v>734</v>
      </c>
      <c r="BJ77" s="35"/>
      <c r="BK77" s="35"/>
      <c r="BL77" s="35"/>
      <c r="BM77" s="35"/>
      <c r="BN77" s="35"/>
      <c r="BO77" s="35"/>
      <c r="BP77" s="35"/>
      <c r="BQ77" s="35"/>
      <c r="BR77" s="35"/>
      <c r="BS77" s="35"/>
      <c r="BT77" s="35"/>
      <c r="BU77" s="35"/>
      <c r="BV77" s="35"/>
      <c r="BW77" s="252"/>
      <c r="CA77" s="155" t="s">
        <v>276</v>
      </c>
      <c r="CB77" s="144">
        <f>FuelProd2!AJ102</f>
        <v>0.28966656745588526</v>
      </c>
      <c r="CC77" s="144">
        <f>BJ40*CB77</f>
        <v>0.42580985416015132</v>
      </c>
      <c r="CD77" s="35"/>
      <c r="CE77" s="35"/>
      <c r="CF77" s="35"/>
      <c r="CG77" s="35"/>
      <c r="CH77" s="35"/>
      <c r="CI77" s="35"/>
      <c r="CJ77" s="35"/>
      <c r="CK77" s="35"/>
      <c r="CL77" s="35"/>
      <c r="CM77" s="35"/>
    </row>
    <row r="78" spans="10:100" x14ac:dyDescent="0.25">
      <c r="J78" s="563" t="s">
        <v>565</v>
      </c>
      <c r="K78" s="128">
        <v>1</v>
      </c>
      <c r="L78" s="155">
        <v>1</v>
      </c>
      <c r="M78" s="35"/>
      <c r="N78" s="35"/>
      <c r="O78" s="128">
        <v>1</v>
      </c>
      <c r="P78" s="139">
        <v>1</v>
      </c>
      <c r="Q78" s="155">
        <v>1</v>
      </c>
      <c r="R78" s="16"/>
      <c r="S78" s="35"/>
      <c r="T78" s="372" t="s">
        <v>565</v>
      </c>
      <c r="U78" s="128">
        <v>1</v>
      </c>
      <c r="V78" s="155">
        <v>1</v>
      </c>
      <c r="W78" s="35"/>
      <c r="X78" s="35"/>
      <c r="Y78" s="128">
        <v>1</v>
      </c>
      <c r="Z78" s="139">
        <v>1</v>
      </c>
      <c r="AA78" s="155">
        <v>1</v>
      </c>
      <c r="AB78" s="16"/>
      <c r="AC78" s="35"/>
      <c r="AD78" s="372" t="s">
        <v>565</v>
      </c>
      <c r="AE78" s="155">
        <v>1</v>
      </c>
      <c r="AF78" s="155">
        <v>1</v>
      </c>
      <c r="AG78" s="35"/>
      <c r="AH78" s="35"/>
      <c r="AI78" s="128">
        <v>1</v>
      </c>
      <c r="AJ78" s="139">
        <v>1</v>
      </c>
      <c r="AK78" s="155">
        <v>1</v>
      </c>
      <c r="AL78" s="16"/>
      <c r="AM78" s="35"/>
      <c r="AN78" s="252"/>
      <c r="AR78" s="232" t="s">
        <v>478</v>
      </c>
      <c r="AS78" s="225">
        <v>1.522048642533937</v>
      </c>
      <c r="AT78" s="139">
        <v>2.0230216523894763E-2</v>
      </c>
      <c r="AU78" s="226"/>
      <c r="AV78" s="226"/>
      <c r="AW78" s="243"/>
      <c r="AX78" s="35"/>
      <c r="AY78" s="139" t="s">
        <v>376</v>
      </c>
      <c r="AZ78" s="139">
        <f>AS79*BD49</f>
        <v>3.1314804003780456</v>
      </c>
      <c r="BA78" s="139">
        <f>AS79*BD50*BP107</f>
        <v>0</v>
      </c>
      <c r="BB78" s="139">
        <v>0</v>
      </c>
      <c r="BC78" s="139">
        <f>AS79*BD52*BP109</f>
        <v>0</v>
      </c>
      <c r="BD78" s="233">
        <v>0</v>
      </c>
      <c r="BH78" s="268" t="s">
        <v>1010</v>
      </c>
      <c r="BI78" s="35" t="s">
        <v>589</v>
      </c>
      <c r="BJ78" s="35"/>
      <c r="BK78" s="35"/>
      <c r="BL78" s="35"/>
      <c r="BM78" s="35"/>
      <c r="BN78" s="35"/>
      <c r="BO78" s="35"/>
      <c r="BP78" s="35"/>
      <c r="BQ78" s="35"/>
      <c r="BR78" s="35"/>
      <c r="BS78" s="35"/>
      <c r="BT78" s="35"/>
      <c r="BU78" s="35"/>
      <c r="BV78" s="35"/>
      <c r="BW78" s="252"/>
      <c r="CC78" s="144"/>
      <c r="CD78" s="35"/>
      <c r="CE78" s="35"/>
      <c r="CF78" s="35"/>
      <c r="CG78" s="35"/>
      <c r="CH78" s="35"/>
      <c r="CI78" s="35"/>
      <c r="CJ78" s="35"/>
      <c r="CK78" s="35"/>
      <c r="CL78" s="35"/>
      <c r="CM78" s="35"/>
    </row>
    <row r="79" spans="10:100" ht="18.75" thickBot="1" x14ac:dyDescent="0.4">
      <c r="J79" s="561" t="s">
        <v>569</v>
      </c>
      <c r="K79" s="128" t="s">
        <v>674</v>
      </c>
      <c r="L79" s="155" t="s">
        <v>571</v>
      </c>
      <c r="M79" s="139" t="s">
        <v>572</v>
      </c>
      <c r="N79" s="35"/>
      <c r="O79" s="128" t="s">
        <v>725</v>
      </c>
      <c r="P79" s="226" t="s">
        <v>670</v>
      </c>
      <c r="Q79" s="38" t="s">
        <v>676</v>
      </c>
      <c r="R79" s="139" t="s">
        <v>575</v>
      </c>
      <c r="S79" s="35"/>
      <c r="T79" s="367" t="s">
        <v>569</v>
      </c>
      <c r="U79" s="13" t="s">
        <v>574</v>
      </c>
      <c r="V79" s="155" t="s">
        <v>571</v>
      </c>
      <c r="W79" s="139" t="s">
        <v>572</v>
      </c>
      <c r="X79" s="35"/>
      <c r="Y79" s="128" t="s">
        <v>726</v>
      </c>
      <c r="Z79" s="226" t="s">
        <v>670</v>
      </c>
      <c r="AA79" s="38" t="s">
        <v>676</v>
      </c>
      <c r="AB79" s="139" t="s">
        <v>575</v>
      </c>
      <c r="AC79" s="35"/>
      <c r="AD79" s="367" t="s">
        <v>569</v>
      </c>
      <c r="AE79" s="14" t="s">
        <v>579</v>
      </c>
      <c r="AF79" s="14" t="s">
        <v>571</v>
      </c>
      <c r="AG79" s="139" t="s">
        <v>572</v>
      </c>
      <c r="AH79" s="35"/>
      <c r="AI79" s="128" t="s">
        <v>727</v>
      </c>
      <c r="AJ79" s="226" t="s">
        <v>670</v>
      </c>
      <c r="AK79" s="38" t="s">
        <v>676</v>
      </c>
      <c r="AL79" s="139" t="s">
        <v>575</v>
      </c>
      <c r="AM79" s="35"/>
      <c r="AN79" s="252"/>
      <c r="AR79" s="232" t="s">
        <v>376</v>
      </c>
      <c r="AS79" s="225">
        <v>3.1314804003780456</v>
      </c>
      <c r="AT79" s="139">
        <v>4.162188038518487E-2</v>
      </c>
      <c r="AU79" s="226"/>
      <c r="AV79" s="225"/>
      <c r="AW79" s="243"/>
      <c r="AX79" s="35"/>
      <c r="AY79" s="139"/>
      <c r="AZ79" s="139">
        <f>+SUM(AZ69:AZ78)</f>
        <v>12.821636484202903</v>
      </c>
      <c r="BA79" s="139">
        <f>+SUM(BA69:BA78)</f>
        <v>54.301981516697907</v>
      </c>
      <c r="BB79" s="139">
        <f>+SUM(BB69:BB78)</f>
        <v>0</v>
      </c>
      <c r="BC79" s="139">
        <f>+SUM(BC69:BC78)</f>
        <v>8.1127810132264528</v>
      </c>
      <c r="BD79" s="233">
        <f>+SUM(BD69:BD78)</f>
        <v>0</v>
      </c>
      <c r="BH79" s="268"/>
      <c r="BI79" s="35" t="s">
        <v>592</v>
      </c>
      <c r="BJ79" s="35"/>
      <c r="BK79" s="35"/>
      <c r="BL79" s="35"/>
      <c r="BM79" s="35"/>
      <c r="BN79" s="35"/>
      <c r="BO79" s="35"/>
      <c r="BP79" s="35"/>
      <c r="BQ79" s="35"/>
      <c r="BR79" s="35"/>
      <c r="BS79" s="517"/>
      <c r="BT79" s="517"/>
      <c r="BU79" s="517"/>
      <c r="BV79" s="517"/>
      <c r="BW79" s="495"/>
      <c r="CC79" s="498">
        <f>SUM(CC72:CC77)</f>
        <v>25.781838251858289</v>
      </c>
      <c r="CD79" s="35" t="s">
        <v>63</v>
      </c>
      <c r="CE79" s="35"/>
      <c r="CF79" s="35"/>
      <c r="CG79" s="35"/>
      <c r="CH79" s="35"/>
      <c r="CI79" s="35"/>
      <c r="CJ79" s="35"/>
      <c r="CK79" s="35"/>
      <c r="CL79" s="35"/>
      <c r="CM79" s="35"/>
    </row>
    <row r="80" spans="10:100" x14ac:dyDescent="0.25">
      <c r="J80" s="564" t="s">
        <v>584</v>
      </c>
      <c r="K80" s="36">
        <v>18</v>
      </c>
      <c r="L80" s="38">
        <v>0</v>
      </c>
      <c r="M80" s="146">
        <f>K80+L80</f>
        <v>18</v>
      </c>
      <c r="N80" s="35"/>
      <c r="O80" s="36">
        <v>17</v>
      </c>
      <c r="P80" s="226">
        <v>1</v>
      </c>
      <c r="Q80" s="38">
        <v>0</v>
      </c>
      <c r="R80" s="146">
        <f>P80+Q80+O80</f>
        <v>18</v>
      </c>
      <c r="S80" s="35"/>
      <c r="T80" s="375" t="s">
        <v>584</v>
      </c>
      <c r="U80" s="36">
        <v>18</v>
      </c>
      <c r="V80" s="38">
        <v>0</v>
      </c>
      <c r="W80" s="146">
        <f>U80+V80</f>
        <v>18</v>
      </c>
      <c r="X80" s="35"/>
      <c r="Y80" s="36">
        <v>17</v>
      </c>
      <c r="Z80" s="226">
        <v>1</v>
      </c>
      <c r="AA80" s="38">
        <v>0</v>
      </c>
      <c r="AB80" s="146">
        <f>Z80+AA80+Y80</f>
        <v>18</v>
      </c>
      <c r="AC80" s="35"/>
      <c r="AD80" s="375" t="s">
        <v>584</v>
      </c>
      <c r="AE80" s="38">
        <v>16</v>
      </c>
      <c r="AF80" s="38">
        <v>0</v>
      </c>
      <c r="AG80" s="146">
        <f>AE80+AF80</f>
        <v>16</v>
      </c>
      <c r="AH80" s="35"/>
      <c r="AI80" s="36">
        <v>15</v>
      </c>
      <c r="AJ80" s="226">
        <v>1</v>
      </c>
      <c r="AK80" s="38">
        <v>0</v>
      </c>
      <c r="AL80" s="146">
        <f>AJ80+AK80+AI80</f>
        <v>16</v>
      </c>
      <c r="AM80" s="35"/>
      <c r="AN80" s="252"/>
      <c r="AR80" s="357" t="s">
        <v>279</v>
      </c>
      <c r="AS80" s="245"/>
      <c r="AT80" s="338"/>
      <c r="AU80" s="338"/>
      <c r="AV80" s="338"/>
      <c r="AW80" s="340"/>
      <c r="AX80" s="35"/>
      <c r="AY80" s="35"/>
      <c r="AZ80" s="35"/>
      <c r="BA80" s="35"/>
      <c r="BB80" s="35"/>
      <c r="BC80" s="35"/>
      <c r="BD80" s="252"/>
      <c r="BH80" s="268"/>
      <c r="BI80" s="35"/>
      <c r="BJ80" s="35" t="s">
        <v>595</v>
      </c>
      <c r="BK80" s="35"/>
      <c r="BL80" s="35"/>
      <c r="BM80" s="35"/>
      <c r="BN80" s="35"/>
      <c r="BO80" s="35"/>
      <c r="BP80" s="35"/>
      <c r="BQ80" s="35"/>
      <c r="BR80" s="35"/>
      <c r="BS80" s="35"/>
      <c r="BT80" s="35"/>
      <c r="BU80" s="35"/>
      <c r="BV80" s="35"/>
      <c r="BW80" s="252"/>
      <c r="CA80" t="s">
        <v>1517</v>
      </c>
      <c r="CC80">
        <f>CK66</f>
        <v>0</v>
      </c>
      <c r="CD80" s="35" t="s">
        <v>694</v>
      </c>
      <c r="CE80" s="35"/>
      <c r="CF80" s="35"/>
      <c r="CG80" s="35"/>
      <c r="CH80" s="35"/>
      <c r="CI80" s="35"/>
      <c r="CJ80" s="35"/>
      <c r="CK80" s="35"/>
      <c r="CL80" s="35"/>
      <c r="CM80" s="35"/>
    </row>
    <row r="81" spans="7:91" x14ac:dyDescent="0.25">
      <c r="J81" s="562" t="s">
        <v>586</v>
      </c>
      <c r="K81" s="15">
        <v>36</v>
      </c>
      <c r="L81" s="16">
        <v>2</v>
      </c>
      <c r="M81" s="146">
        <f>K81+L81</f>
        <v>38</v>
      </c>
      <c r="N81" s="35"/>
      <c r="O81" s="15">
        <v>36</v>
      </c>
      <c r="P81" s="146">
        <v>0</v>
      </c>
      <c r="Q81" s="16">
        <v>2</v>
      </c>
      <c r="R81" s="146">
        <f>P81+Q81+O81</f>
        <v>38</v>
      </c>
      <c r="S81" s="35"/>
      <c r="T81" s="368" t="s">
        <v>586</v>
      </c>
      <c r="U81" s="15">
        <v>34</v>
      </c>
      <c r="V81" s="16">
        <v>2</v>
      </c>
      <c r="W81" s="146">
        <f>U81+V81</f>
        <v>36</v>
      </c>
      <c r="X81" s="35"/>
      <c r="Y81" s="15">
        <v>34</v>
      </c>
      <c r="Z81" s="146">
        <v>0</v>
      </c>
      <c r="AA81" s="16">
        <v>2</v>
      </c>
      <c r="AB81" s="146">
        <f>Z81+AA81+Y81</f>
        <v>36</v>
      </c>
      <c r="AC81" s="35"/>
      <c r="AD81" s="368" t="s">
        <v>586</v>
      </c>
      <c r="AE81" s="16">
        <v>32</v>
      </c>
      <c r="AF81" s="16">
        <v>2</v>
      </c>
      <c r="AG81" s="146">
        <f>AE81+AF81</f>
        <v>34</v>
      </c>
      <c r="AH81" s="35"/>
      <c r="AI81" s="15">
        <v>32</v>
      </c>
      <c r="AJ81" s="146">
        <v>0</v>
      </c>
      <c r="AK81" s="16">
        <v>2</v>
      </c>
      <c r="AL81" s="146">
        <f>AJ81+AK81+AI81</f>
        <v>34</v>
      </c>
      <c r="AM81" s="35"/>
      <c r="AN81" s="252"/>
      <c r="AR81" s="232" t="s">
        <v>483</v>
      </c>
      <c r="AS81" s="225">
        <f>SUM(AS56)</f>
        <v>0</v>
      </c>
      <c r="AT81" s="139"/>
      <c r="AU81" s="226"/>
      <c r="AV81" s="226"/>
      <c r="AW81" s="243"/>
      <c r="AX81" s="35"/>
      <c r="AY81" s="35"/>
      <c r="AZ81" s="35"/>
      <c r="BA81" s="35"/>
      <c r="BB81" s="35"/>
      <c r="BC81" s="35"/>
      <c r="BD81" s="252"/>
      <c r="BH81" s="268"/>
      <c r="BI81" s="35"/>
      <c r="BJ81" s="35" t="s">
        <v>598</v>
      </c>
      <c r="BK81" s="35"/>
      <c r="BL81" s="35"/>
      <c r="BM81" s="35"/>
      <c r="BN81" s="35"/>
      <c r="BO81" s="35"/>
      <c r="BP81" s="517"/>
      <c r="BQ81" s="517"/>
      <c r="BR81" s="517"/>
      <c r="BS81" s="35"/>
      <c r="BT81" s="35"/>
      <c r="BU81" s="35"/>
      <c r="BV81" s="35"/>
      <c r="BW81" s="252"/>
      <c r="CC81" s="240"/>
      <c r="CD81" s="517"/>
      <c r="CE81" s="517"/>
      <c r="CF81" s="517"/>
      <c r="CG81" s="517"/>
      <c r="CH81" s="517"/>
      <c r="CI81" s="517"/>
      <c r="CJ81" s="517"/>
      <c r="CK81" s="517"/>
      <c r="CL81" s="35"/>
      <c r="CM81" s="35"/>
    </row>
    <row r="82" spans="7:91" x14ac:dyDescent="0.25">
      <c r="J82" s="561" t="s">
        <v>591</v>
      </c>
      <c r="K82" s="13">
        <v>2</v>
      </c>
      <c r="L82" s="14">
        <v>0</v>
      </c>
      <c r="M82" s="148">
        <f>K82+L82</f>
        <v>2</v>
      </c>
      <c r="N82" s="35"/>
      <c r="O82" s="13">
        <v>0</v>
      </c>
      <c r="P82" s="148">
        <v>1</v>
      </c>
      <c r="Q82" s="14">
        <v>1</v>
      </c>
      <c r="R82" s="148">
        <f>P82+Q82+O82</f>
        <v>2</v>
      </c>
      <c r="S82" s="35"/>
      <c r="T82" s="367" t="s">
        <v>591</v>
      </c>
      <c r="U82" s="13">
        <v>2</v>
      </c>
      <c r="V82" s="14">
        <v>0</v>
      </c>
      <c r="W82" s="148">
        <f>U82+V82</f>
        <v>2</v>
      </c>
      <c r="X82" s="35"/>
      <c r="Y82" s="13">
        <v>0</v>
      </c>
      <c r="Z82" s="148">
        <v>1</v>
      </c>
      <c r="AA82" s="14">
        <v>1</v>
      </c>
      <c r="AB82" s="148">
        <f>Z82+AA82+Y82</f>
        <v>2</v>
      </c>
      <c r="AC82" s="35"/>
      <c r="AD82" s="367" t="s">
        <v>591</v>
      </c>
      <c r="AE82" s="14">
        <v>2</v>
      </c>
      <c r="AF82" s="14">
        <v>0</v>
      </c>
      <c r="AG82" s="148">
        <f>AE82+AF82</f>
        <v>2</v>
      </c>
      <c r="AH82" s="35"/>
      <c r="AI82" s="13">
        <v>0</v>
      </c>
      <c r="AJ82" s="148">
        <v>1</v>
      </c>
      <c r="AK82" s="14">
        <v>1</v>
      </c>
      <c r="AL82" s="148">
        <f>AJ82+AK82+AI82</f>
        <v>2</v>
      </c>
      <c r="AM82" s="35"/>
      <c r="AN82" s="252"/>
      <c r="AR82" s="232" t="s">
        <v>441</v>
      </c>
      <c r="AS82" s="225">
        <v>-0.2</v>
      </c>
      <c r="AT82" s="139"/>
      <c r="AU82" s="226"/>
      <c r="AV82" s="226"/>
      <c r="AW82" s="243"/>
      <c r="AX82" s="35"/>
      <c r="AY82" s="35"/>
      <c r="AZ82" s="35"/>
      <c r="BA82" s="35"/>
      <c r="BB82" s="35"/>
      <c r="BC82" s="35"/>
      <c r="BD82" s="252"/>
      <c r="BH82" s="268"/>
      <c r="BI82" s="35"/>
      <c r="BJ82" s="35" t="s">
        <v>600</v>
      </c>
      <c r="BK82" s="35"/>
      <c r="BL82" s="35"/>
      <c r="BM82" s="35"/>
      <c r="BN82" s="35"/>
      <c r="BO82" s="35"/>
      <c r="BP82" s="35"/>
      <c r="BQ82" s="35"/>
      <c r="BR82" s="35"/>
      <c r="BS82" s="35"/>
      <c r="BT82" s="35"/>
      <c r="BU82" s="35"/>
      <c r="BV82" s="35"/>
      <c r="BW82" s="252"/>
      <c r="CD82" s="35"/>
      <c r="CE82" s="35"/>
      <c r="CF82" s="35"/>
      <c r="CG82" s="35"/>
      <c r="CH82" s="35"/>
      <c r="CI82" s="35"/>
      <c r="CJ82" s="35"/>
      <c r="CK82" s="35"/>
      <c r="CL82" s="35"/>
      <c r="CM82" s="35"/>
    </row>
    <row r="83" spans="7:91" x14ac:dyDescent="0.25">
      <c r="J83" s="268" t="s">
        <v>594</v>
      </c>
      <c r="K83" s="139">
        <f>K80*12+K81*1+16*K82</f>
        <v>284</v>
      </c>
      <c r="L83" s="14">
        <f>L80*12+L81+L82*16</f>
        <v>2</v>
      </c>
      <c r="M83" s="16">
        <f>L83+K83</f>
        <v>286</v>
      </c>
      <c r="N83" s="35" t="s">
        <v>594</v>
      </c>
      <c r="O83" s="139">
        <f>O80*12+O81*1</f>
        <v>240</v>
      </c>
      <c r="P83" s="14">
        <f>P80*12+P81+P82*16</f>
        <v>28</v>
      </c>
      <c r="Q83" s="14">
        <f>Q80*12+Q81+Q82*16</f>
        <v>18</v>
      </c>
      <c r="R83" s="16">
        <f>P83+O83+Q83</f>
        <v>286</v>
      </c>
      <c r="S83" s="35"/>
      <c r="T83" s="35" t="s">
        <v>594</v>
      </c>
      <c r="U83" s="139">
        <f>U80*12+U81*1+16*U82</f>
        <v>282</v>
      </c>
      <c r="V83" s="14">
        <f>V80*12+V81+V82*16</f>
        <v>2</v>
      </c>
      <c r="W83" s="16">
        <f>V83+U83</f>
        <v>284</v>
      </c>
      <c r="X83" s="35" t="s">
        <v>594</v>
      </c>
      <c r="Y83" s="139">
        <f>Y80*12+Y81*1</f>
        <v>238</v>
      </c>
      <c r="Z83" s="14">
        <f>Z80*12+Z81+Z82*16</f>
        <v>28</v>
      </c>
      <c r="AA83" s="14">
        <f>AA80*12+AA81+AA82*16</f>
        <v>18</v>
      </c>
      <c r="AB83" s="16">
        <f>Z83+Y83+AA83</f>
        <v>284</v>
      </c>
      <c r="AC83" s="35"/>
      <c r="AD83" s="35" t="s">
        <v>594</v>
      </c>
      <c r="AE83" s="139">
        <f>AE80*12+AE81*1+16*AE82</f>
        <v>256</v>
      </c>
      <c r="AF83" s="14">
        <f>AF80*12+AF81+AF82*16</f>
        <v>2</v>
      </c>
      <c r="AG83" s="16">
        <f>AF83+AE83</f>
        <v>258</v>
      </c>
      <c r="AH83" s="35" t="s">
        <v>594</v>
      </c>
      <c r="AI83" s="139">
        <f>AI80*12+AI81*1</f>
        <v>212</v>
      </c>
      <c r="AJ83" s="14">
        <f>AJ80*12+AJ81+AJ82*16</f>
        <v>28</v>
      </c>
      <c r="AK83" s="14">
        <f>AK80*12+AK81+AK82*16</f>
        <v>18</v>
      </c>
      <c r="AL83" s="16">
        <f>AJ83+AI83+AK83</f>
        <v>258</v>
      </c>
      <c r="AM83" s="35"/>
      <c r="AN83" s="252"/>
      <c r="AR83" s="232" t="s">
        <v>280</v>
      </c>
      <c r="AS83" s="225"/>
      <c r="AT83" s="139"/>
      <c r="AU83" s="226"/>
      <c r="AV83" s="226"/>
      <c r="AW83" s="243"/>
      <c r="AX83" s="35"/>
      <c r="AY83" s="35"/>
      <c r="AZ83" s="35"/>
      <c r="BA83" s="35"/>
      <c r="BB83" s="35"/>
      <c r="BC83" s="35"/>
      <c r="BD83" s="252"/>
      <c r="BH83" s="268"/>
      <c r="BI83" s="35"/>
      <c r="BJ83" s="35" t="s">
        <v>603</v>
      </c>
      <c r="BK83" s="35"/>
      <c r="BL83" s="35"/>
      <c r="BM83" s="35"/>
      <c r="BN83" s="35"/>
      <c r="BO83" s="35"/>
      <c r="BP83" s="35"/>
      <c r="BQ83" s="35"/>
      <c r="BR83" s="35"/>
      <c r="BS83" s="35"/>
      <c r="BT83" s="35"/>
      <c r="BU83" s="35"/>
      <c r="BV83" s="35"/>
      <c r="BW83" s="252"/>
      <c r="CD83" s="35"/>
      <c r="CE83" s="35"/>
      <c r="CF83" s="35"/>
      <c r="CG83" s="35"/>
      <c r="CH83" s="35"/>
      <c r="CI83" s="35"/>
      <c r="CJ83" s="35"/>
      <c r="CK83" s="35"/>
      <c r="CL83" s="35"/>
      <c r="CM83" s="35"/>
    </row>
    <row r="84" spans="7:91" ht="15.75" thickBot="1" x14ac:dyDescent="0.3">
      <c r="G84" t="s">
        <v>719</v>
      </c>
      <c r="H84" s="144">
        <f>'Fuel Production'!C76</f>
        <v>0.68</v>
      </c>
      <c r="J84" s="562" t="s">
        <v>597</v>
      </c>
      <c r="K84" s="832">
        <f>FuelProd2!AA56*(H85)*1000/FuelProd3!K83</f>
        <v>5.2741572881977943</v>
      </c>
      <c r="L84" s="35">
        <f>L78*K84</f>
        <v>5.2741572881977943</v>
      </c>
      <c r="M84" s="16"/>
      <c r="N84" s="35"/>
      <c r="O84" s="35"/>
      <c r="P84" s="35"/>
      <c r="Q84" s="35"/>
      <c r="R84" s="16"/>
      <c r="S84" s="35"/>
      <c r="T84" s="110" t="s">
        <v>597</v>
      </c>
      <c r="U84" s="832">
        <f>FuelProd2!AA53*(H85)*1000/FuelProd3!U83</f>
        <v>2.245223076923077</v>
      </c>
      <c r="V84" s="35">
        <f>V78*U84</f>
        <v>2.245223076923077</v>
      </c>
      <c r="W84" s="16"/>
      <c r="X84" s="35"/>
      <c r="Y84" s="35"/>
      <c r="Z84" s="35"/>
      <c r="AA84" s="35"/>
      <c r="AB84" s="16"/>
      <c r="AC84" s="35"/>
      <c r="AD84" s="110" t="s">
        <v>597</v>
      </c>
      <c r="AE84" s="831">
        <f>FuelProd2!AA54*(H85)*1000/FuelProd3!AE83</f>
        <v>0.57411290322580644</v>
      </c>
      <c r="AF84" s="35">
        <f>AF78*AE84</f>
        <v>0.57411290322580644</v>
      </c>
      <c r="AG84" s="16"/>
      <c r="AH84" s="35"/>
      <c r="AI84" s="35"/>
      <c r="AJ84" s="35"/>
      <c r="AK84" s="35"/>
      <c r="AL84" s="16"/>
      <c r="AM84" s="35"/>
      <c r="AN84" s="252"/>
      <c r="AR84" s="294" t="s">
        <v>278</v>
      </c>
      <c r="AS84" s="295">
        <f>SUM(AS70:AS79)</f>
        <v>75.236399014127258</v>
      </c>
      <c r="AT84" s="297"/>
      <c r="AU84" s="249" t="s">
        <v>278</v>
      </c>
      <c r="AV84" s="255"/>
      <c r="AW84" s="267"/>
      <c r="AX84" s="35"/>
      <c r="AY84" s="35"/>
      <c r="AZ84" s="35"/>
      <c r="BA84" s="35"/>
      <c r="BB84" s="35"/>
      <c r="BC84" s="35"/>
      <c r="BD84" s="252"/>
      <c r="BH84" s="271"/>
      <c r="BI84" s="272"/>
      <c r="BJ84" s="272"/>
      <c r="BK84" s="272"/>
      <c r="BL84" s="272"/>
      <c r="BM84" s="272"/>
      <c r="BN84" s="272"/>
      <c r="BO84" s="272"/>
      <c r="BP84" s="272"/>
      <c r="BQ84" s="272"/>
      <c r="BR84" s="272"/>
      <c r="BS84" s="272"/>
      <c r="BT84" s="272"/>
      <c r="BU84" s="272"/>
      <c r="BV84" s="272"/>
      <c r="BW84" s="273"/>
      <c r="CD84" s="35"/>
      <c r="CE84" s="35"/>
      <c r="CF84" s="35"/>
      <c r="CG84" s="35"/>
      <c r="CH84" s="35"/>
      <c r="CI84" s="35"/>
      <c r="CJ84" s="35"/>
      <c r="CK84" s="35"/>
      <c r="CL84" s="35"/>
      <c r="CM84" s="35"/>
    </row>
    <row r="85" spans="7:91" x14ac:dyDescent="0.25">
      <c r="G85" t="s">
        <v>738</v>
      </c>
      <c r="H85" s="144">
        <f>'Fuel Production'!C77</f>
        <v>0.03</v>
      </c>
      <c r="J85" s="268" t="s">
        <v>599</v>
      </c>
      <c r="K85" s="35">
        <f>K83/M83</f>
        <v>0.99300699300699302</v>
      </c>
      <c r="L85" s="35">
        <f>L83/M83</f>
        <v>6.993006993006993E-3</v>
      </c>
      <c r="M85" s="16"/>
      <c r="N85" s="35" t="s">
        <v>599</v>
      </c>
      <c r="O85" s="35">
        <f>O83/R83</f>
        <v>0.83916083916083917</v>
      </c>
      <c r="P85" s="35">
        <f>P83/R83</f>
        <v>9.7902097902097904E-2</v>
      </c>
      <c r="Q85" s="35">
        <f>Q83/R83</f>
        <v>6.2937062937062943E-2</v>
      </c>
      <c r="R85" s="35">
        <f>SUM(O85:Q85)</f>
        <v>1</v>
      </c>
      <c r="S85" s="35"/>
      <c r="T85" s="35" t="s">
        <v>599</v>
      </c>
      <c r="U85" s="35">
        <f>U83/W83</f>
        <v>0.99295774647887325</v>
      </c>
      <c r="V85" s="35">
        <f>V83/W83</f>
        <v>7.0422535211267607E-3</v>
      </c>
      <c r="W85" s="16"/>
      <c r="X85" s="35" t="s">
        <v>599</v>
      </c>
      <c r="Y85" s="35">
        <f>Y83/AB83</f>
        <v>0.8380281690140845</v>
      </c>
      <c r="Z85" s="35">
        <f>Z83/AB83</f>
        <v>9.8591549295774641E-2</v>
      </c>
      <c r="AA85" s="35">
        <f>AA83/AB83</f>
        <v>6.3380281690140844E-2</v>
      </c>
      <c r="AB85" s="35">
        <f>SUM(Y85:AA85)</f>
        <v>1</v>
      </c>
      <c r="AC85" s="35"/>
      <c r="AD85" s="35" t="s">
        <v>599</v>
      </c>
      <c r="AE85" s="35">
        <f>AE83/AG83</f>
        <v>0.99224806201550386</v>
      </c>
      <c r="AF85" s="35">
        <f>AF83/AG83</f>
        <v>7.7519379844961239E-3</v>
      </c>
      <c r="AG85" s="16"/>
      <c r="AH85" s="35" t="s">
        <v>599</v>
      </c>
      <c r="AI85" s="35">
        <f>AI83/AL83</f>
        <v>0.82170542635658916</v>
      </c>
      <c r="AJ85" s="35">
        <f>AJ83/AL83</f>
        <v>0.10852713178294573</v>
      </c>
      <c r="AK85" s="35">
        <f>AK83/AL83</f>
        <v>6.9767441860465115E-2</v>
      </c>
      <c r="AL85" s="35">
        <f>SUM(AI85:AK85)</f>
        <v>1</v>
      </c>
      <c r="AM85" s="35"/>
      <c r="AN85" s="252"/>
      <c r="AR85" s="268"/>
      <c r="AS85" s="35"/>
      <c r="AT85" s="35"/>
      <c r="AU85" s="35"/>
      <c r="AV85" s="35"/>
      <c r="AW85" s="35"/>
      <c r="AX85" s="35"/>
      <c r="AY85" s="35"/>
      <c r="AZ85" s="35"/>
      <c r="BA85" s="35"/>
      <c r="BB85" s="35"/>
      <c r="BC85" s="35"/>
      <c r="BD85" s="252"/>
    </row>
    <row r="86" spans="7:91" x14ac:dyDescent="0.25">
      <c r="G86" t="s">
        <v>749</v>
      </c>
      <c r="H86" s="144">
        <f>'Fuel Production'!C78</f>
        <v>0.28999999999999998</v>
      </c>
      <c r="J86" s="276" t="s">
        <v>601</v>
      </c>
      <c r="K86" s="831">
        <f>(O38+Y38)*H85</f>
        <v>1.4978606698481736</v>
      </c>
      <c r="L86" s="35">
        <f>(FuelProd3!L84*2)/1000</f>
        <v>1.0548314576395589E-2</v>
      </c>
      <c r="M86" s="35" t="s">
        <v>62</v>
      </c>
      <c r="N86" s="35"/>
      <c r="O86" s="35">
        <f>(K86+L86)*O85</f>
        <v>1.2657977491674706</v>
      </c>
      <c r="P86" s="35">
        <f>(K86+L86)*P85</f>
        <v>0.14767640406953825</v>
      </c>
      <c r="Q86" s="35">
        <f>(K86+L86)*Q85</f>
        <v>9.4934831187560312E-2</v>
      </c>
      <c r="R86" s="16"/>
      <c r="S86" s="35"/>
      <c r="T86" s="536" t="s">
        <v>601</v>
      </c>
      <c r="U86" s="831">
        <f>(P14*(1-F4))*H85</f>
        <v>0.6331529076923077</v>
      </c>
      <c r="V86" s="35">
        <f>(FuelProd3!V84*2)/1000</f>
        <v>4.4904461538461541E-3</v>
      </c>
      <c r="W86" s="35" t="s">
        <v>62</v>
      </c>
      <c r="X86" s="35"/>
      <c r="Y86" s="35">
        <f>(U86+V86)*Y85</f>
        <v>0.5343630923076923</v>
      </c>
      <c r="Z86" s="35">
        <f>(U86+V86)*Z85</f>
        <v>6.2866246153846159E-2</v>
      </c>
      <c r="AA86" s="35">
        <f>(U86+V86)*AA85</f>
        <v>4.0414015384615386E-2</v>
      </c>
      <c r="AB86" s="16"/>
      <c r="AC86" s="35"/>
      <c r="AD86" s="536" t="s">
        <v>601</v>
      </c>
      <c r="AE86" s="831">
        <f>(AJ14)*H85</f>
        <v>0.14697290322580644</v>
      </c>
      <c r="AF86" s="35">
        <f>(FuelProd3!AF84*2)/1000</f>
        <v>1.1482258064516129E-3</v>
      </c>
      <c r="AG86" s="35" t="s">
        <v>62</v>
      </c>
      <c r="AH86" s="35"/>
      <c r="AI86" s="35">
        <f>(AE86+AF86)*AI85</f>
        <v>0.12171193548387095</v>
      </c>
      <c r="AJ86" s="35">
        <f>(AE86+AF86)*AJ85</f>
        <v>1.6075161290322579E-2</v>
      </c>
      <c r="AK86" s="35">
        <f>(AE86+AF86)*AK85</f>
        <v>1.0334032258064514E-2</v>
      </c>
      <c r="AL86" s="16"/>
      <c r="AM86" s="35"/>
      <c r="AN86" s="252"/>
      <c r="AR86" s="268"/>
      <c r="AS86" s="35"/>
      <c r="AT86" s="35"/>
      <c r="AU86" s="35"/>
      <c r="AV86" s="35"/>
      <c r="AW86" s="35"/>
      <c r="AX86" s="35"/>
      <c r="AY86" s="35"/>
      <c r="AZ86" s="35"/>
      <c r="BA86" s="35"/>
      <c r="BB86" s="35"/>
      <c r="BC86" s="35"/>
      <c r="BD86" s="252"/>
      <c r="BU86" s="35"/>
      <c r="BV86" s="35"/>
      <c r="BW86" s="35"/>
      <c r="BX86" s="35"/>
      <c r="BY86" s="35"/>
      <c r="BZ86" s="35"/>
    </row>
    <row r="87" spans="7:91" ht="15.75" x14ac:dyDescent="0.25">
      <c r="J87" s="268"/>
      <c r="K87" s="978" t="s">
        <v>320</v>
      </c>
      <c r="L87" s="978"/>
      <c r="M87" s="35"/>
      <c r="N87" s="35"/>
      <c r="O87" s="978" t="s">
        <v>320</v>
      </c>
      <c r="P87" s="978"/>
      <c r="Q87" s="35"/>
      <c r="R87" s="16"/>
      <c r="S87" s="35"/>
      <c r="T87" s="15"/>
      <c r="U87" s="978" t="s">
        <v>320</v>
      </c>
      <c r="V87" s="978"/>
      <c r="W87" s="35"/>
      <c r="X87" s="35"/>
      <c r="Y87" s="978" t="s">
        <v>320</v>
      </c>
      <c r="Z87" s="978"/>
      <c r="AA87" s="35"/>
      <c r="AB87" s="16"/>
      <c r="AC87" s="35"/>
      <c r="AD87" s="15"/>
      <c r="AE87" s="978" t="s">
        <v>320</v>
      </c>
      <c r="AF87" s="978"/>
      <c r="AG87" s="35"/>
      <c r="AH87" s="35"/>
      <c r="AI87" s="978" t="s">
        <v>320</v>
      </c>
      <c r="AJ87" s="978"/>
      <c r="AK87" s="35"/>
      <c r="AL87" s="16"/>
      <c r="AM87" s="35"/>
      <c r="AN87" s="252"/>
      <c r="AR87" s="1172" t="s">
        <v>465</v>
      </c>
      <c r="AS87" s="1173"/>
      <c r="AT87" s="1173"/>
      <c r="AU87" s="1173"/>
      <c r="AV87" s="1173"/>
      <c r="AW87" s="1173"/>
      <c r="AX87" s="1173"/>
      <c r="AY87" s="1173"/>
      <c r="AZ87" s="1173"/>
      <c r="BA87" s="1173"/>
      <c r="BB87" s="1173"/>
      <c r="BC87" s="1173"/>
      <c r="BD87" s="1174"/>
      <c r="BL87" s="29"/>
      <c r="BU87" s="35"/>
      <c r="BV87" s="35"/>
      <c r="BW87" s="35"/>
      <c r="BX87" s="35"/>
      <c r="BY87" s="35"/>
      <c r="BZ87" s="35"/>
    </row>
    <row r="88" spans="7:91" x14ac:dyDescent="0.25">
      <c r="J88" s="553"/>
      <c r="K88" s="493" t="s">
        <v>323</v>
      </c>
      <c r="L88" s="493" t="s">
        <v>326</v>
      </c>
      <c r="M88" s="35"/>
      <c r="N88" s="35"/>
      <c r="O88" s="493" t="s">
        <v>323</v>
      </c>
      <c r="P88" s="493" t="s">
        <v>326</v>
      </c>
      <c r="Q88" s="35"/>
      <c r="R88" s="16"/>
      <c r="S88" s="35"/>
      <c r="T88" s="381"/>
      <c r="U88" s="493" t="s">
        <v>323</v>
      </c>
      <c r="V88" s="493" t="s">
        <v>326</v>
      </c>
      <c r="W88" s="35"/>
      <c r="X88" s="35"/>
      <c r="Y88" s="493" t="s">
        <v>323</v>
      </c>
      <c r="Z88" s="493" t="s">
        <v>326</v>
      </c>
      <c r="AA88" s="35"/>
      <c r="AB88" s="16"/>
      <c r="AC88" s="35"/>
      <c r="AD88" s="381"/>
      <c r="AE88" s="493" t="s">
        <v>323</v>
      </c>
      <c r="AF88" s="493" t="s">
        <v>326</v>
      </c>
      <c r="AG88" s="35"/>
      <c r="AH88" s="35"/>
      <c r="AI88" s="493" t="s">
        <v>323</v>
      </c>
      <c r="AJ88" s="493" t="s">
        <v>326</v>
      </c>
      <c r="AK88" s="35"/>
      <c r="AL88" s="16"/>
      <c r="AM88" s="35"/>
      <c r="AN88" s="252"/>
      <c r="AR88" s="1047" t="s">
        <v>319</v>
      </c>
      <c r="AS88" s="1047"/>
      <c r="AT88" s="1047"/>
      <c r="AU88" s="978" t="s">
        <v>320</v>
      </c>
      <c r="AV88" s="978"/>
      <c r="AW88" s="978"/>
      <c r="AX88" s="35"/>
      <c r="AY88" s="139"/>
      <c r="AZ88" s="139" t="s">
        <v>376</v>
      </c>
      <c r="BA88" s="139" t="s">
        <v>707</v>
      </c>
      <c r="BB88" s="139" t="s">
        <v>708</v>
      </c>
      <c r="BC88" s="139" t="s">
        <v>608</v>
      </c>
      <c r="BD88" s="233" t="s">
        <v>709</v>
      </c>
      <c r="BU88" s="35"/>
      <c r="BV88" s="35"/>
      <c r="BW88" s="35"/>
      <c r="BX88" s="35"/>
      <c r="BY88" s="35"/>
      <c r="BZ88" s="35"/>
    </row>
    <row r="89" spans="7:91" x14ac:dyDescent="0.25">
      <c r="J89" s="563" t="s">
        <v>333</v>
      </c>
      <c r="K89" s="139">
        <f>((K80+L80)*C6)/1000</f>
        <v>0.216</v>
      </c>
      <c r="L89" s="261">
        <f>(K89/K94)</f>
        <v>0.75524475524475521</v>
      </c>
      <c r="M89" s="35"/>
      <c r="N89" s="35"/>
      <c r="O89" s="139">
        <f>((O80+P80+Q80)*C6)/1000</f>
        <v>0.216</v>
      </c>
      <c r="P89" s="261">
        <f>(O89/O94)</f>
        <v>0.75524475524475521</v>
      </c>
      <c r="Q89" s="35"/>
      <c r="R89" s="16"/>
      <c r="S89" s="35"/>
      <c r="T89" s="372" t="s">
        <v>333</v>
      </c>
      <c r="U89" s="139">
        <f>((U80+V80)*C6)/1000</f>
        <v>0.216</v>
      </c>
      <c r="V89" s="261">
        <f>(U89/U94)</f>
        <v>0.76056338028169002</v>
      </c>
      <c r="W89" s="35"/>
      <c r="X89" s="35"/>
      <c r="Y89" s="139">
        <f>((Y80+Z80+AA80)*C6)/1000</f>
        <v>0.216</v>
      </c>
      <c r="Z89" s="261">
        <f>(Y89/Y94)</f>
        <v>0.76056338028169002</v>
      </c>
      <c r="AA89" s="35"/>
      <c r="AB89" s="16"/>
      <c r="AC89" s="35"/>
      <c r="AD89" s="372" t="s">
        <v>333</v>
      </c>
      <c r="AE89" s="139">
        <f>((AE80+AF80)*C6)/1000</f>
        <v>0.192</v>
      </c>
      <c r="AF89" s="261">
        <f>(AE89/AE94)</f>
        <v>0.7441860465116279</v>
      </c>
      <c r="AG89" s="35"/>
      <c r="AH89" s="35"/>
      <c r="AI89" s="139">
        <f>((AI80+AJ80+AK80)*C6)/1000</f>
        <v>0.192</v>
      </c>
      <c r="AJ89" s="261">
        <f>(AI89/AI94)</f>
        <v>0.7441860465116279</v>
      </c>
      <c r="AK89" s="35"/>
      <c r="AL89" s="16"/>
      <c r="AM89" s="35"/>
      <c r="AN89" s="252"/>
      <c r="AR89" s="492" t="s">
        <v>322</v>
      </c>
      <c r="AS89" s="493" t="s">
        <v>323</v>
      </c>
      <c r="AT89" s="493" t="s">
        <v>326</v>
      </c>
      <c r="AU89" s="493"/>
      <c r="AV89" s="493" t="s">
        <v>323</v>
      </c>
      <c r="AW89" s="494" t="s">
        <v>326</v>
      </c>
      <c r="AX89" s="35"/>
      <c r="AY89" s="139" t="s">
        <v>467</v>
      </c>
      <c r="AZ89" s="139">
        <f>AS90*(BL97*BD49/BL99)</f>
        <v>5.1904243966152119</v>
      </c>
      <c r="BA89" s="139">
        <f>AS90*(BL96*BD50/BL99)</f>
        <v>29.412404914152866</v>
      </c>
      <c r="BB89" s="139">
        <v>0</v>
      </c>
      <c r="BC89" s="139">
        <f>AS90*(BL98*BD52/BL99)</f>
        <v>0</v>
      </c>
      <c r="BD89" s="233">
        <v>0</v>
      </c>
    </row>
    <row r="90" spans="7:91" x14ac:dyDescent="0.25">
      <c r="J90" s="563" t="s">
        <v>328</v>
      </c>
      <c r="K90" s="139">
        <f>((K81+L81)*C4)/1000</f>
        <v>3.7999999999999999E-2</v>
      </c>
      <c r="L90" s="261">
        <f>(K90/K94)</f>
        <v>0.13286713286713284</v>
      </c>
      <c r="M90" s="35"/>
      <c r="N90" s="35"/>
      <c r="O90" s="139">
        <f>((O81+P81+Q81)*C4)/1000</f>
        <v>3.7999999999999999E-2</v>
      </c>
      <c r="P90" s="261">
        <f>(O90/O94)</f>
        <v>0.13286713286713284</v>
      </c>
      <c r="Q90" s="35"/>
      <c r="R90" s="16"/>
      <c r="S90" s="35"/>
      <c r="T90" s="372" t="s">
        <v>328</v>
      </c>
      <c r="U90" s="139">
        <f>((U81+V81)*C4)/1000</f>
        <v>3.5999999999999997E-2</v>
      </c>
      <c r="V90" s="261">
        <f>(U90/U94)</f>
        <v>0.12676056338028166</v>
      </c>
      <c r="W90" s="35"/>
      <c r="X90" s="35"/>
      <c r="Y90" s="139">
        <f>((Y81+Z81+AA81)*C4)/1000</f>
        <v>3.5999999999999997E-2</v>
      </c>
      <c r="Z90" s="261">
        <f>(Y90/Y94)</f>
        <v>0.12676056338028166</v>
      </c>
      <c r="AA90" s="35"/>
      <c r="AB90" s="16"/>
      <c r="AC90" s="35"/>
      <c r="AD90" s="372" t="s">
        <v>328</v>
      </c>
      <c r="AE90" s="139">
        <f>((AE81+AF81)*C4)/1000</f>
        <v>3.4000000000000002E-2</v>
      </c>
      <c r="AF90" s="261">
        <f>(AE90/AE94)</f>
        <v>0.13178294573643412</v>
      </c>
      <c r="AG90" s="35"/>
      <c r="AH90" s="35"/>
      <c r="AI90" s="139">
        <f>((AI81+AJ81+AK81)*C4)/1000</f>
        <v>3.4000000000000002E-2</v>
      </c>
      <c r="AJ90" s="261">
        <f>(AI90/AI94)</f>
        <v>0.13178294573643412</v>
      </c>
      <c r="AK90" s="35"/>
      <c r="AL90" s="16"/>
      <c r="AM90" s="35"/>
      <c r="AN90" s="252"/>
      <c r="AR90" s="232" t="s">
        <v>467</v>
      </c>
      <c r="AS90" s="225">
        <f t="shared" ref="AS90:AS95" si="4">AS73</f>
        <v>34.60282931076808</v>
      </c>
      <c r="AT90" s="261">
        <f>AS90/AS96</f>
        <v>0.56304227761995262</v>
      </c>
      <c r="AU90" s="139" t="s">
        <v>328</v>
      </c>
      <c r="AV90" s="139"/>
      <c r="AW90" s="233"/>
      <c r="AX90" s="35"/>
      <c r="AY90" s="139" t="s">
        <v>468</v>
      </c>
      <c r="AZ90" s="139">
        <f>AS91*(BK97*BD49/BK99)</f>
        <v>0.41071153846153852</v>
      </c>
      <c r="BA90" s="139">
        <f>AS91*(BK96*BD50/BK99)</f>
        <v>2.4642692307692311</v>
      </c>
      <c r="BB90" s="139">
        <v>0</v>
      </c>
      <c r="BC90" s="139">
        <f>AS91*(BK98*BD52/BK99)</f>
        <v>0</v>
      </c>
      <c r="BD90" s="233">
        <v>0</v>
      </c>
    </row>
    <row r="91" spans="7:91" x14ac:dyDescent="0.25">
      <c r="J91" s="563" t="s">
        <v>342</v>
      </c>
      <c r="K91" s="139">
        <f>((K82+L82)*C5)/1000</f>
        <v>3.2000000000000001E-2</v>
      </c>
      <c r="L91" s="261">
        <f>(K91/K94)</f>
        <v>0.11188811188811187</v>
      </c>
      <c r="M91" s="35"/>
      <c r="N91" s="35"/>
      <c r="O91" s="139">
        <f>((O82+P82+Q82)*C5)/1000</f>
        <v>3.2000000000000001E-2</v>
      </c>
      <c r="P91" s="261">
        <f>(O91/O94)</f>
        <v>0.11188811188811187</v>
      </c>
      <c r="Q91" s="35"/>
      <c r="R91" s="16"/>
      <c r="S91" s="35"/>
      <c r="T91" s="372" t="s">
        <v>342</v>
      </c>
      <c r="U91" s="139">
        <f>((U82+V82)*C5)/1000</f>
        <v>3.2000000000000001E-2</v>
      </c>
      <c r="V91" s="261">
        <f>(U91/U94)</f>
        <v>0.11267605633802816</v>
      </c>
      <c r="W91" s="35"/>
      <c r="X91" s="35"/>
      <c r="Y91" s="139">
        <f>((Y82+Z82+AA82)*C5)/1000</f>
        <v>3.2000000000000001E-2</v>
      </c>
      <c r="Z91" s="261">
        <f>(Y91/Y94)</f>
        <v>0.11267605633802816</v>
      </c>
      <c r="AA91" s="35"/>
      <c r="AB91" s="16"/>
      <c r="AC91" s="35"/>
      <c r="AD91" s="372" t="s">
        <v>342</v>
      </c>
      <c r="AE91" s="139">
        <f>((AE82+AF82)*C5)/1000</f>
        <v>3.2000000000000001E-2</v>
      </c>
      <c r="AF91" s="261">
        <f>(AE91/AE94)</f>
        <v>0.12403100775193798</v>
      </c>
      <c r="AG91" s="35"/>
      <c r="AH91" s="35"/>
      <c r="AI91" s="139">
        <f>((AI82+AJ82+AK82)*C5)/1000</f>
        <v>3.2000000000000001E-2</v>
      </c>
      <c r="AJ91" s="261">
        <f>(AI91/AI94)</f>
        <v>0.12403100775193798</v>
      </c>
      <c r="AK91" s="35"/>
      <c r="AL91" s="16"/>
      <c r="AM91" s="35"/>
      <c r="AN91" s="252"/>
      <c r="AR91" s="232" t="s">
        <v>468</v>
      </c>
      <c r="AS91" s="225">
        <f t="shared" si="4"/>
        <v>2.8749807692307696</v>
      </c>
      <c r="AT91" s="261">
        <f>AS91/AS96</f>
        <v>4.6780444046450279E-2</v>
      </c>
      <c r="AU91" s="139" t="s">
        <v>333</v>
      </c>
      <c r="AV91" s="139"/>
      <c r="AW91" s="233"/>
      <c r="AX91" s="35"/>
      <c r="AY91" s="139" t="s">
        <v>471</v>
      </c>
      <c r="AZ91" s="139">
        <f>AS92*(BJ97*BD49/BJ99)</f>
        <v>2.7393906537691399</v>
      </c>
      <c r="BA91" s="139">
        <f>AS92*(BJ96*BD50/BJ99)</f>
        <v>15.571273189845638</v>
      </c>
      <c r="BB91" s="139">
        <v>0</v>
      </c>
      <c r="BC91" s="139">
        <f>AS92*(BJ98*BD52/BJ99)</f>
        <v>0</v>
      </c>
      <c r="BD91" s="233">
        <v>0</v>
      </c>
    </row>
    <row r="92" spans="7:91" x14ac:dyDescent="0.25">
      <c r="J92" s="563" t="s">
        <v>338</v>
      </c>
      <c r="K92" s="139">
        <v>0</v>
      </c>
      <c r="L92" s="261">
        <f>(K92/K94)</f>
        <v>0</v>
      </c>
      <c r="M92" s="35"/>
      <c r="N92" s="35"/>
      <c r="O92" s="139">
        <v>0</v>
      </c>
      <c r="P92" s="261">
        <f>(O92/O94)</f>
        <v>0</v>
      </c>
      <c r="Q92" s="35"/>
      <c r="R92" s="16"/>
      <c r="S92" s="35"/>
      <c r="T92" s="372" t="s">
        <v>338</v>
      </c>
      <c r="U92" s="139">
        <v>0</v>
      </c>
      <c r="V92" s="261">
        <f>(U92/U94)</f>
        <v>0</v>
      </c>
      <c r="W92" s="35"/>
      <c r="X92" s="35"/>
      <c r="Y92" s="139">
        <v>0</v>
      </c>
      <c r="Z92" s="261">
        <f>(Y92/Y94)</f>
        <v>0</v>
      </c>
      <c r="AA92" s="35"/>
      <c r="AB92" s="16"/>
      <c r="AC92" s="35"/>
      <c r="AD92" s="372" t="s">
        <v>338</v>
      </c>
      <c r="AE92" s="139">
        <v>0</v>
      </c>
      <c r="AF92" s="261">
        <f>(AE92/AE94)</f>
        <v>0</v>
      </c>
      <c r="AG92" s="35"/>
      <c r="AH92" s="35"/>
      <c r="AI92" s="139">
        <v>0</v>
      </c>
      <c r="AJ92" s="261">
        <f>(AI92/AI94)</f>
        <v>0</v>
      </c>
      <c r="AK92" s="35"/>
      <c r="AL92" s="16"/>
      <c r="AM92" s="35"/>
      <c r="AN92" s="252"/>
      <c r="AR92" s="232" t="s">
        <v>471</v>
      </c>
      <c r="AS92" s="225">
        <f t="shared" si="4"/>
        <v>18.310663843614776</v>
      </c>
      <c r="AT92" s="261">
        <f>AS92/AS96</f>
        <v>0.29794320524055823</v>
      </c>
      <c r="AU92" s="139" t="s">
        <v>338</v>
      </c>
      <c r="AV92" s="139"/>
      <c r="AW92" s="233"/>
      <c r="AX92" s="35"/>
      <c r="AY92" s="139" t="s">
        <v>474</v>
      </c>
      <c r="AZ92" s="139">
        <f>AS93*(BN97*BD49/BN99)</f>
        <v>0.40825806451612912</v>
      </c>
      <c r="BA92" s="139">
        <f>AS93*(BN96*BD50/BN99)</f>
        <v>2.2964516129032266</v>
      </c>
      <c r="BB92" s="139">
        <v>0</v>
      </c>
      <c r="BC92" s="139">
        <f>AS93*(BT109*BD52/BT110)</f>
        <v>0</v>
      </c>
      <c r="BD92" s="233">
        <v>0</v>
      </c>
    </row>
    <row r="93" spans="7:91" x14ac:dyDescent="0.25">
      <c r="J93" s="564" t="s">
        <v>344</v>
      </c>
      <c r="K93" s="226">
        <v>0</v>
      </c>
      <c r="L93" s="261">
        <f>(K93/K94)</f>
        <v>0</v>
      </c>
      <c r="M93" s="35"/>
      <c r="N93" s="35"/>
      <c r="O93" s="226">
        <v>0</v>
      </c>
      <c r="P93" s="261">
        <f>(O93/O94)</f>
        <v>0</v>
      </c>
      <c r="Q93" s="35"/>
      <c r="R93" s="16"/>
      <c r="S93" s="35"/>
      <c r="T93" s="375" t="s">
        <v>344</v>
      </c>
      <c r="U93" s="226">
        <v>0</v>
      </c>
      <c r="V93" s="261">
        <f>(U93/U94)</f>
        <v>0</v>
      </c>
      <c r="W93" s="35"/>
      <c r="X93" s="35"/>
      <c r="Y93" s="226">
        <v>0</v>
      </c>
      <c r="Z93" s="261">
        <f>(Y93/Y94)</f>
        <v>0</v>
      </c>
      <c r="AA93" s="35"/>
      <c r="AB93" s="16"/>
      <c r="AC93" s="35"/>
      <c r="AD93" s="375" t="s">
        <v>344</v>
      </c>
      <c r="AE93" s="226">
        <v>0</v>
      </c>
      <c r="AF93" s="261">
        <f>(AE93/AE94)</f>
        <v>0</v>
      </c>
      <c r="AG93" s="35"/>
      <c r="AH93" s="35"/>
      <c r="AI93" s="226">
        <v>0</v>
      </c>
      <c r="AJ93" s="261">
        <f>(AI93/AI94)</f>
        <v>0</v>
      </c>
      <c r="AK93" s="35"/>
      <c r="AL93" s="16"/>
      <c r="AM93" s="35"/>
      <c r="AN93" s="252"/>
      <c r="AR93" s="232" t="s">
        <v>474</v>
      </c>
      <c r="AS93" s="225">
        <f t="shared" si="4"/>
        <v>2.7047096774193555</v>
      </c>
      <c r="AT93" s="261">
        <f>AS93/AS96</f>
        <v>4.4009866459128515E-2</v>
      </c>
      <c r="AU93" s="139" t="s">
        <v>342</v>
      </c>
      <c r="AV93" s="139"/>
      <c r="AW93" s="233"/>
      <c r="AX93" s="35"/>
      <c r="AY93" s="139" t="s">
        <v>476</v>
      </c>
      <c r="AZ93" s="139">
        <f>AS94*(BM97*BD49/BM99)</f>
        <v>0.2168870967741936</v>
      </c>
      <c r="BA93" s="139">
        <f>AS94*(BM96*BD50/BM99)</f>
        <v>1.2247741935483873</v>
      </c>
      <c r="BB93" s="139">
        <v>0</v>
      </c>
      <c r="BC93" s="139">
        <f>AS94*(BM98*BD52/BM99)</f>
        <v>0</v>
      </c>
      <c r="BD93" s="233">
        <v>0</v>
      </c>
    </row>
    <row r="94" spans="7:91" x14ac:dyDescent="0.25">
      <c r="J94" s="563" t="s">
        <v>278</v>
      </c>
      <c r="K94" s="139">
        <f>K89+K90+K91+K92+K93</f>
        <v>0.28600000000000003</v>
      </c>
      <c r="L94" s="139"/>
      <c r="M94" s="35"/>
      <c r="N94" s="35"/>
      <c r="O94" s="139">
        <f>O89+O90+O91+O92+O93</f>
        <v>0.28600000000000003</v>
      </c>
      <c r="P94" s="139"/>
      <c r="Q94" s="35"/>
      <c r="R94" s="16"/>
      <c r="S94" s="35"/>
      <c r="T94" s="372" t="s">
        <v>278</v>
      </c>
      <c r="U94" s="139">
        <f>U89+U90+U91+U92+U93</f>
        <v>0.28400000000000003</v>
      </c>
      <c r="V94" s="139"/>
      <c r="W94" s="35"/>
      <c r="X94" s="35"/>
      <c r="Y94" s="139">
        <f>Y89+Y90+Y91+Y92+M1126</f>
        <v>0.28400000000000003</v>
      </c>
      <c r="Z94" s="139"/>
      <c r="AA94" s="35"/>
      <c r="AB94" s="16"/>
      <c r="AC94" s="35"/>
      <c r="AD94" s="372" t="s">
        <v>278</v>
      </c>
      <c r="AE94" s="139">
        <f>AE89+AE90+AE91+AE92+AE93</f>
        <v>0.25800000000000001</v>
      </c>
      <c r="AF94" s="139"/>
      <c r="AG94" s="35"/>
      <c r="AH94" s="35"/>
      <c r="AI94" s="139">
        <f>AI89+AI90+AI91+AI92+AI93</f>
        <v>0.25800000000000001</v>
      </c>
      <c r="AJ94" s="139"/>
      <c r="AK94" s="35"/>
      <c r="AL94" s="16"/>
      <c r="AM94" s="35"/>
      <c r="AN94" s="252"/>
      <c r="AR94" s="232" t="s">
        <v>476</v>
      </c>
      <c r="AS94" s="225">
        <f t="shared" si="4"/>
        <v>1.4416612903225809</v>
      </c>
      <c r="AT94" s="242">
        <f>AS94/AS96</f>
        <v>2.3458089197554349E-2</v>
      </c>
      <c r="AU94" s="226" t="s">
        <v>344</v>
      </c>
      <c r="AV94" s="226"/>
      <c r="AW94" s="243"/>
      <c r="AX94" s="35"/>
      <c r="AY94" s="139" t="s">
        <v>478</v>
      </c>
      <c r="AZ94" s="139">
        <f>AS95*(BI97*BD49/BI99)</f>
        <v>0.21743552036199099</v>
      </c>
      <c r="BA94" s="139">
        <f>AS95*(BI96*BD50/BI99)</f>
        <v>1.3046131221719459</v>
      </c>
      <c r="BB94" s="139">
        <v>0</v>
      </c>
      <c r="BC94" s="139">
        <f>AS95*(BI98*BD52/BI99)</f>
        <v>0</v>
      </c>
      <c r="BD94" s="233">
        <v>0</v>
      </c>
      <c r="BH94" s="372" t="s">
        <v>322</v>
      </c>
      <c r="BI94" s="392" t="s">
        <v>478</v>
      </c>
      <c r="BJ94" s="391" t="s">
        <v>471</v>
      </c>
      <c r="BK94" s="391" t="s">
        <v>468</v>
      </c>
      <c r="BL94" s="391" t="s">
        <v>467</v>
      </c>
      <c r="BM94" s="391" t="s">
        <v>476</v>
      </c>
      <c r="BN94" s="391" t="s">
        <v>474</v>
      </c>
      <c r="BO94" s="386" t="s">
        <v>512</v>
      </c>
      <c r="BP94" s="386" t="s">
        <v>513</v>
      </c>
      <c r="BQ94" s="386" t="s">
        <v>515</v>
      </c>
      <c r="BR94" s="386" t="s">
        <v>517</v>
      </c>
      <c r="BS94" s="386" t="s">
        <v>518</v>
      </c>
      <c r="BT94" s="386" t="s">
        <v>519</v>
      </c>
      <c r="BU94" s="386" t="s">
        <v>520</v>
      </c>
      <c r="BV94" s="393" t="s">
        <v>521</v>
      </c>
      <c r="BW94" s="393" t="s">
        <v>522</v>
      </c>
      <c r="BX94" s="393" t="s">
        <v>524</v>
      </c>
      <c r="BY94" s="393" t="s">
        <v>525</v>
      </c>
      <c r="BZ94" s="393" t="s">
        <v>270</v>
      </c>
    </row>
    <row r="95" spans="7:91" ht="18" x14ac:dyDescent="0.35">
      <c r="J95" s="565"/>
      <c r="K95" s="35"/>
      <c r="L95" s="14"/>
      <c r="M95" s="11"/>
      <c r="N95" s="11"/>
      <c r="O95" s="13"/>
      <c r="P95" s="14"/>
      <c r="Q95" s="11"/>
      <c r="R95" s="14"/>
      <c r="S95" s="35"/>
      <c r="T95" s="13"/>
      <c r="U95" s="13" t="s">
        <v>336</v>
      </c>
      <c r="V95" s="14"/>
      <c r="W95" s="11"/>
      <c r="X95" s="11"/>
      <c r="Y95" s="13" t="s">
        <v>336</v>
      </c>
      <c r="Z95" s="14"/>
      <c r="AA95" s="11"/>
      <c r="AB95" s="14"/>
      <c r="AC95" s="35"/>
      <c r="AD95" s="13"/>
      <c r="AE95" s="13" t="s">
        <v>336</v>
      </c>
      <c r="AF95" s="14"/>
      <c r="AG95" s="11"/>
      <c r="AH95" s="11"/>
      <c r="AI95" s="13" t="s">
        <v>336</v>
      </c>
      <c r="AJ95" s="14"/>
      <c r="AK95" s="11"/>
      <c r="AL95" s="14"/>
      <c r="AM95" s="35"/>
      <c r="AN95" s="252"/>
      <c r="AR95" s="232" t="s">
        <v>478</v>
      </c>
      <c r="AS95" s="225">
        <f t="shared" si="4"/>
        <v>1.522048642533937</v>
      </c>
      <c r="AT95" s="242">
        <f>AS95/AS96</f>
        <v>2.4766117436356032E-2</v>
      </c>
      <c r="AU95" s="226"/>
      <c r="AV95" s="226"/>
      <c r="AW95" s="243"/>
      <c r="AX95" s="35"/>
      <c r="AY95" s="139"/>
      <c r="AZ95" s="139">
        <f>+SUM(AZ89:AZ94)</f>
        <v>9.1831072704982049</v>
      </c>
      <c r="BA95" s="139">
        <f>+SUM(BA89:BA94)</f>
        <v>52.273786263391287</v>
      </c>
      <c r="BB95" s="139">
        <f>+SUM(BE84:BE93)</f>
        <v>0</v>
      </c>
      <c r="BC95" s="139">
        <f>+SUM(BC89:BC94)</f>
        <v>0</v>
      </c>
      <c r="BD95" s="233">
        <f>+SUM(BG84:BG93)</f>
        <v>0</v>
      </c>
      <c r="BH95" s="368" t="s">
        <v>569</v>
      </c>
      <c r="BI95" s="139" t="s">
        <v>756</v>
      </c>
      <c r="BJ95" s="128" t="s">
        <v>755</v>
      </c>
      <c r="BK95" s="128" t="s">
        <v>726</v>
      </c>
      <c r="BL95" s="128" t="s">
        <v>725</v>
      </c>
      <c r="BM95" s="128" t="s">
        <v>757</v>
      </c>
      <c r="BN95" s="128" t="s">
        <v>727</v>
      </c>
      <c r="BO95" s="128" t="s">
        <v>759</v>
      </c>
      <c r="BP95" s="128" t="s">
        <v>760</v>
      </c>
      <c r="BQ95" s="128" t="s">
        <v>761</v>
      </c>
      <c r="BR95" s="128" t="s">
        <v>762</v>
      </c>
      <c r="BS95" s="128" t="s">
        <v>763</v>
      </c>
      <c r="BT95" s="128" t="s">
        <v>764</v>
      </c>
      <c r="BU95" s="128" t="s">
        <v>765</v>
      </c>
      <c r="BV95" s="128" t="s">
        <v>766</v>
      </c>
      <c r="BW95" s="128" t="s">
        <v>767</v>
      </c>
      <c r="BX95" s="128" t="s">
        <v>768</v>
      </c>
      <c r="BY95" s="128" t="s">
        <v>769</v>
      </c>
      <c r="BZ95" s="128" t="s">
        <v>1737</v>
      </c>
    </row>
    <row r="96" spans="7:91" ht="15.75" thickBot="1" x14ac:dyDescent="0.3">
      <c r="J96" s="268"/>
      <c r="K96" s="35"/>
      <c r="L96" s="35"/>
      <c r="M96" s="13" t="s">
        <v>336</v>
      </c>
      <c r="N96" s="35">
        <f>(O78*C20+P78*C28+Q78*C27)-(K78*C17+L78*C26)</f>
        <v>15.1400000000001</v>
      </c>
      <c r="O96" s="35"/>
      <c r="P96" s="35"/>
      <c r="Q96" s="35"/>
      <c r="R96" s="35"/>
      <c r="S96" s="35"/>
      <c r="T96" s="35"/>
      <c r="U96" s="35"/>
      <c r="V96" s="35"/>
      <c r="W96" s="13" t="s">
        <v>336</v>
      </c>
      <c r="X96" s="35">
        <f>(Y78*C21+Z78*C28+AA78*C27)-(U78*C15+V78*C26)</f>
        <v>13.039999999999964</v>
      </c>
      <c r="Y96" s="35"/>
      <c r="Z96" s="35"/>
      <c r="AA96" s="35"/>
      <c r="AB96" s="35"/>
      <c r="AC96" s="35"/>
      <c r="AD96" s="35"/>
      <c r="AE96" s="35"/>
      <c r="AF96" s="35"/>
      <c r="AG96" s="13" t="s">
        <v>336</v>
      </c>
      <c r="AH96" s="35">
        <f>(AI78*C23+AJ78*C28+AK78*C27)-(AE78*C14+AF78*C26)</f>
        <v>23.239999999999895</v>
      </c>
      <c r="AI96" s="35"/>
      <c r="AJ96" s="35"/>
      <c r="AK96" s="35"/>
      <c r="AL96" s="35"/>
      <c r="AM96" s="35"/>
      <c r="AN96" s="252"/>
      <c r="AR96" s="218" t="s">
        <v>278</v>
      </c>
      <c r="AS96" s="255">
        <f>SUM(AS90:AS95)</f>
        <v>61.456893533889499</v>
      </c>
      <c r="AT96" s="248">
        <f>SUM(AT90:AT95)</f>
        <v>1</v>
      </c>
      <c r="AU96" s="249" t="s">
        <v>278</v>
      </c>
      <c r="AV96" s="249"/>
      <c r="AW96" s="267"/>
      <c r="AX96" s="35"/>
      <c r="AY96" s="35"/>
      <c r="AZ96" s="35"/>
      <c r="BA96" s="35"/>
      <c r="BB96" s="35"/>
      <c r="BC96" s="35"/>
      <c r="BD96" s="252"/>
      <c r="BH96" s="375" t="s">
        <v>584</v>
      </c>
      <c r="BI96" s="226">
        <v>18</v>
      </c>
      <c r="BJ96" s="36">
        <v>18</v>
      </c>
      <c r="BK96" s="36">
        <v>17</v>
      </c>
      <c r="BL96" s="36">
        <v>17</v>
      </c>
      <c r="BM96" s="36">
        <v>16</v>
      </c>
      <c r="BN96" s="36">
        <v>15</v>
      </c>
      <c r="BO96" s="36">
        <v>14</v>
      </c>
      <c r="BP96">
        <v>13</v>
      </c>
      <c r="BQ96">
        <v>12</v>
      </c>
      <c r="BR96" s="36">
        <v>11</v>
      </c>
      <c r="BS96">
        <v>10</v>
      </c>
      <c r="BT96">
        <v>9</v>
      </c>
      <c r="BU96" s="36">
        <v>8</v>
      </c>
      <c r="BV96">
        <v>7</v>
      </c>
      <c r="BW96">
        <v>6</v>
      </c>
      <c r="BX96">
        <v>5</v>
      </c>
      <c r="BY96">
        <v>4</v>
      </c>
      <c r="BZ96">
        <v>3</v>
      </c>
    </row>
    <row r="97" spans="10:81" x14ac:dyDescent="0.25">
      <c r="J97" s="268"/>
      <c r="K97" s="35"/>
      <c r="L97" s="35"/>
      <c r="M97" s="35"/>
      <c r="N97" s="35">
        <f>N96*K84</f>
        <v>79.850741343315136</v>
      </c>
      <c r="O97" s="35"/>
      <c r="P97" s="35"/>
      <c r="Q97" s="35"/>
      <c r="R97" s="35"/>
      <c r="S97" s="35"/>
      <c r="T97" s="35"/>
      <c r="U97" s="35"/>
      <c r="V97" s="35"/>
      <c r="W97" s="35"/>
      <c r="X97" s="35">
        <f>X96*U84</f>
        <v>29.277708923076844</v>
      </c>
      <c r="Y97" s="35"/>
      <c r="Z97" s="35"/>
      <c r="AA97" s="35"/>
      <c r="AB97" s="35"/>
      <c r="AC97" s="35"/>
      <c r="AD97" s="35"/>
      <c r="AE97" s="35"/>
      <c r="AF97" s="35"/>
      <c r="AG97" s="35"/>
      <c r="AH97" s="35">
        <f>AH96*AE84</f>
        <v>13.342383870967682</v>
      </c>
      <c r="AI97" s="35"/>
      <c r="AJ97" s="35"/>
      <c r="AK97" s="35"/>
      <c r="AL97" s="35"/>
      <c r="AM97" s="35"/>
      <c r="AN97" s="252"/>
      <c r="AR97" s="357" t="s">
        <v>279</v>
      </c>
      <c r="AS97" s="245"/>
      <c r="AT97" s="338"/>
      <c r="AU97" s="338"/>
      <c r="AV97" s="338"/>
      <c r="AW97" s="340"/>
      <c r="AX97" s="35"/>
      <c r="AY97" s="35"/>
      <c r="AZ97" s="35"/>
      <c r="BA97" s="35"/>
      <c r="BB97" s="35"/>
      <c r="BC97" s="35"/>
      <c r="BD97" s="252"/>
      <c r="BH97" s="368" t="s">
        <v>586</v>
      </c>
      <c r="BI97" s="146">
        <v>36</v>
      </c>
      <c r="BJ97" s="15">
        <v>38</v>
      </c>
      <c r="BK97" s="15">
        <v>34</v>
      </c>
      <c r="BL97" s="15">
        <v>36</v>
      </c>
      <c r="BM97" s="15">
        <v>34</v>
      </c>
      <c r="BN97" s="15">
        <v>32</v>
      </c>
      <c r="BO97" s="15">
        <v>30</v>
      </c>
      <c r="BP97">
        <v>28</v>
      </c>
      <c r="BQ97" s="15">
        <v>26</v>
      </c>
      <c r="BR97">
        <v>24</v>
      </c>
      <c r="BS97" s="15">
        <v>22</v>
      </c>
      <c r="BT97">
        <v>20</v>
      </c>
      <c r="BU97" s="15">
        <v>18</v>
      </c>
      <c r="BV97">
        <v>16</v>
      </c>
      <c r="BW97" s="15">
        <v>14</v>
      </c>
      <c r="BX97" s="15">
        <v>12</v>
      </c>
      <c r="BY97" s="15">
        <v>10</v>
      </c>
      <c r="BZ97" s="15">
        <v>8</v>
      </c>
    </row>
    <row r="98" spans="10:81" ht="15.75" thickBot="1" x14ac:dyDescent="0.3">
      <c r="J98" s="268"/>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252"/>
      <c r="AR98" s="232" t="s">
        <v>483</v>
      </c>
      <c r="AS98" s="225" t="e">
        <f>#REF!</f>
        <v>#REF!</v>
      </c>
      <c r="AT98" s="139"/>
      <c r="AU98" s="226"/>
      <c r="AV98" s="226"/>
      <c r="AW98" s="243"/>
      <c r="AX98" s="35"/>
      <c r="AY98" s="35"/>
      <c r="AZ98" s="35"/>
      <c r="BA98" s="35"/>
      <c r="BB98" s="35"/>
      <c r="BC98" s="35"/>
      <c r="BD98" s="252"/>
      <c r="BH98" s="367" t="s">
        <v>591</v>
      </c>
      <c r="BI98" s="148">
        <v>0</v>
      </c>
      <c r="BJ98" s="13">
        <v>0</v>
      </c>
      <c r="BK98" s="13">
        <v>0</v>
      </c>
      <c r="BL98" s="13">
        <v>0</v>
      </c>
      <c r="BM98" s="13">
        <v>0</v>
      </c>
      <c r="BN98" s="13">
        <v>0</v>
      </c>
      <c r="BO98" s="13">
        <v>0</v>
      </c>
      <c r="BP98">
        <v>0</v>
      </c>
      <c r="BQ98" s="13">
        <v>0</v>
      </c>
      <c r="BR98">
        <v>0</v>
      </c>
      <c r="BS98" s="13">
        <v>0</v>
      </c>
      <c r="BT98">
        <v>0</v>
      </c>
      <c r="BU98" s="13">
        <v>0</v>
      </c>
      <c r="BV98">
        <v>0</v>
      </c>
      <c r="BW98" s="13">
        <v>0</v>
      </c>
      <c r="BX98" s="13">
        <v>0</v>
      </c>
      <c r="BY98" s="13">
        <v>0</v>
      </c>
      <c r="BZ98" s="13">
        <v>0</v>
      </c>
    </row>
    <row r="99" spans="10:81" ht="19.5" thickBot="1" x14ac:dyDescent="0.3">
      <c r="J99" s="365">
        <v>12</v>
      </c>
      <c r="K99" s="982" t="s">
        <v>749</v>
      </c>
      <c r="L99" s="982"/>
      <c r="M99" s="982"/>
      <c r="N99" s="982"/>
      <c r="O99" s="982"/>
      <c r="P99" s="982"/>
      <c r="Q99" s="982"/>
      <c r="R99" s="35"/>
      <c r="S99" s="35"/>
      <c r="T99" s="365">
        <v>13</v>
      </c>
      <c r="U99" s="982" t="s">
        <v>749</v>
      </c>
      <c r="V99" s="982"/>
      <c r="W99" s="982"/>
      <c r="X99" s="982"/>
      <c r="Y99" s="982"/>
      <c r="Z99" s="982"/>
      <c r="AA99" s="982"/>
      <c r="AB99" s="35"/>
      <c r="AC99" s="35"/>
      <c r="AD99" s="365">
        <v>14</v>
      </c>
      <c r="AE99" s="982" t="s">
        <v>749</v>
      </c>
      <c r="AF99" s="982"/>
      <c r="AG99" s="982"/>
      <c r="AH99" s="982"/>
      <c r="AI99" s="982"/>
      <c r="AJ99" s="982"/>
      <c r="AK99" s="982"/>
      <c r="AL99" s="35"/>
      <c r="AM99" s="35"/>
      <c r="AN99" s="252"/>
      <c r="AR99" s="232"/>
      <c r="AS99" s="225"/>
      <c r="AT99" s="139"/>
      <c r="AU99" s="226"/>
      <c r="AV99" s="226"/>
      <c r="AW99" s="243"/>
      <c r="AX99" s="35"/>
      <c r="AY99" s="35"/>
      <c r="AZ99" s="35"/>
      <c r="BA99" s="35"/>
      <c r="BB99" s="35"/>
      <c r="BC99" s="35"/>
      <c r="BD99" s="252"/>
      <c r="BH99" s="367" t="s">
        <v>594</v>
      </c>
      <c r="BI99" s="139">
        <v>252</v>
      </c>
      <c r="BJ99" s="139">
        <v>254</v>
      </c>
      <c r="BK99" s="139">
        <f>BK96*12+BK97*1</f>
        <v>238</v>
      </c>
      <c r="BL99" s="139">
        <f>BL96*12+BL97*1+16*BL98</f>
        <v>240</v>
      </c>
      <c r="BM99" s="139">
        <f>BM96*12+BM97*1+16*BM98</f>
        <v>226</v>
      </c>
      <c r="BN99" s="139">
        <f>BN96*12+BN97*1+16*BN98</f>
        <v>212</v>
      </c>
      <c r="BO99" s="139">
        <f>BO96*12+BO97*1+16*BO98</f>
        <v>198</v>
      </c>
      <c r="BP99" s="139">
        <f>BP96*12+BP97*1+16*BP98</f>
        <v>184</v>
      </c>
      <c r="BQ99" s="139">
        <f t="shared" ref="BQ99:BR99" si="5">BQ96*12+BQ97*1+16*BQ98</f>
        <v>170</v>
      </c>
      <c r="BR99" s="139">
        <f t="shared" si="5"/>
        <v>156</v>
      </c>
      <c r="BS99" s="139">
        <f t="shared" ref="BS99:BX99" si="6">BS96*12+BS97*1+16*BS98</f>
        <v>142</v>
      </c>
      <c r="BT99" s="139">
        <f t="shared" si="6"/>
        <v>128</v>
      </c>
      <c r="BU99" s="139">
        <f t="shared" si="6"/>
        <v>114</v>
      </c>
      <c r="BV99" s="139">
        <f t="shared" si="6"/>
        <v>100</v>
      </c>
      <c r="BW99" s="139">
        <f t="shared" si="6"/>
        <v>86</v>
      </c>
      <c r="BX99" s="139">
        <f t="shared" si="6"/>
        <v>72</v>
      </c>
      <c r="BY99" s="139">
        <f t="shared" ref="BY99" si="7">BY96*12+BY97*1+16*BY98</f>
        <v>58</v>
      </c>
      <c r="BZ99" s="139">
        <f>BZ96*12+BZ97*1+16*BZ98</f>
        <v>44</v>
      </c>
    </row>
    <row r="100" spans="10:81" ht="15.75" thickBot="1" x14ac:dyDescent="0.3">
      <c r="J100" s="561" t="s">
        <v>750</v>
      </c>
      <c r="K100" s="1160" t="s">
        <v>552</v>
      </c>
      <c r="L100" s="1160"/>
      <c r="M100" s="35"/>
      <c r="N100" s="35"/>
      <c r="O100" s="1160" t="s">
        <v>553</v>
      </c>
      <c r="P100" s="1160"/>
      <c r="Q100" s="16"/>
      <c r="R100" s="35"/>
      <c r="S100" s="35"/>
      <c r="T100" s="367" t="s">
        <v>751</v>
      </c>
      <c r="U100" s="1160" t="s">
        <v>552</v>
      </c>
      <c r="V100" s="1160"/>
      <c r="W100" s="35"/>
      <c r="X100" s="35"/>
      <c r="Y100" s="1160" t="s">
        <v>553</v>
      </c>
      <c r="Z100" s="1160"/>
      <c r="AA100" s="16"/>
      <c r="AB100" s="35"/>
      <c r="AC100" s="35"/>
      <c r="AD100" s="367" t="s">
        <v>752</v>
      </c>
      <c r="AE100" s="1160" t="s">
        <v>552</v>
      </c>
      <c r="AF100" s="1160"/>
      <c r="AG100" s="35"/>
      <c r="AH100" s="35"/>
      <c r="AI100" s="1160" t="s">
        <v>553</v>
      </c>
      <c r="AJ100" s="1160"/>
      <c r="AK100" s="16"/>
      <c r="AL100" s="35"/>
      <c r="AM100" s="35"/>
      <c r="AN100" s="252"/>
      <c r="AR100" s="294" t="s">
        <v>278</v>
      </c>
      <c r="AS100" s="295" t="e">
        <f>SUM(AS98)</f>
        <v>#REF!</v>
      </c>
      <c r="AT100" s="297"/>
      <c r="AU100" s="249" t="s">
        <v>278</v>
      </c>
      <c r="AV100" s="255"/>
      <c r="AW100" s="267"/>
      <c r="AX100" s="35"/>
      <c r="AY100" s="35"/>
      <c r="AZ100" s="35"/>
      <c r="BA100" s="35"/>
      <c r="BB100" s="35"/>
      <c r="BC100" s="35"/>
      <c r="BD100" s="252"/>
      <c r="BH100" s="372" t="s">
        <v>323</v>
      </c>
      <c r="BI100" s="139">
        <f t="shared" ref="BI100:BP100" si="8">BI99/1000</f>
        <v>0.252</v>
      </c>
      <c r="BJ100" s="139">
        <f t="shared" si="8"/>
        <v>0.254</v>
      </c>
      <c r="BK100" s="139">
        <f t="shared" si="8"/>
        <v>0.23799999999999999</v>
      </c>
      <c r="BL100" s="139">
        <f t="shared" si="8"/>
        <v>0.24</v>
      </c>
      <c r="BM100" s="139">
        <f t="shared" si="8"/>
        <v>0.22600000000000001</v>
      </c>
      <c r="BN100" s="139">
        <f t="shared" si="8"/>
        <v>0.21199999999999999</v>
      </c>
      <c r="BO100" s="139">
        <f t="shared" si="8"/>
        <v>0.19800000000000001</v>
      </c>
      <c r="BP100" s="139">
        <f t="shared" si="8"/>
        <v>0.184</v>
      </c>
      <c r="BQ100" s="139">
        <f t="shared" ref="BQ100:BR100" si="9">BQ99/1000</f>
        <v>0.17</v>
      </c>
      <c r="BR100" s="139">
        <f t="shared" si="9"/>
        <v>0.156</v>
      </c>
      <c r="BS100" s="139">
        <f t="shared" ref="BS100:BY100" si="10">BS99/1000</f>
        <v>0.14199999999999999</v>
      </c>
      <c r="BT100" s="139">
        <f t="shared" si="10"/>
        <v>0.128</v>
      </c>
      <c r="BU100" s="139">
        <f t="shared" si="10"/>
        <v>0.114</v>
      </c>
      <c r="BV100" s="139">
        <f t="shared" si="10"/>
        <v>0.1</v>
      </c>
      <c r="BW100" s="139">
        <f t="shared" si="10"/>
        <v>8.5999999999999993E-2</v>
      </c>
      <c r="BX100" s="139">
        <f t="shared" si="10"/>
        <v>7.1999999999999995E-2</v>
      </c>
      <c r="BY100" s="139">
        <f t="shared" si="10"/>
        <v>5.8000000000000003E-2</v>
      </c>
      <c r="BZ100" s="139">
        <f>BZ99/1000</f>
        <v>4.3999999999999997E-2</v>
      </c>
    </row>
    <row r="101" spans="10:81" ht="18" x14ac:dyDescent="0.35">
      <c r="J101" s="562" t="s">
        <v>322</v>
      </c>
      <c r="K101" s="36" t="s">
        <v>384</v>
      </c>
      <c r="L101" s="38" t="s">
        <v>376</v>
      </c>
      <c r="M101" s="35"/>
      <c r="N101" s="35"/>
      <c r="O101" s="36" t="s">
        <v>753</v>
      </c>
      <c r="P101" s="226" t="s">
        <v>676</v>
      </c>
      <c r="Q101" s="16"/>
      <c r="R101" s="35"/>
      <c r="S101" s="35"/>
      <c r="T101" s="368" t="s">
        <v>322</v>
      </c>
      <c r="U101" s="36" t="s">
        <v>379</v>
      </c>
      <c r="V101" s="38" t="s">
        <v>376</v>
      </c>
      <c r="W101" s="35"/>
      <c r="X101" s="35"/>
      <c r="Y101" s="36" t="s">
        <v>753</v>
      </c>
      <c r="Z101" s="226" t="s">
        <v>676</v>
      </c>
      <c r="AA101" s="16"/>
      <c r="AB101" s="35"/>
      <c r="AC101" s="35"/>
      <c r="AD101" s="368" t="s">
        <v>322</v>
      </c>
      <c r="AE101" s="38" t="s">
        <v>381</v>
      </c>
      <c r="AF101" s="38" t="s">
        <v>376</v>
      </c>
      <c r="AG101" s="35"/>
      <c r="AH101" s="35"/>
      <c r="AI101" s="36" t="s">
        <v>754</v>
      </c>
      <c r="AJ101" s="226" t="s">
        <v>676</v>
      </c>
      <c r="AK101" s="16"/>
      <c r="AL101" s="35"/>
      <c r="AM101" s="35"/>
      <c r="AN101" s="252"/>
      <c r="AR101" s="268"/>
      <c r="AS101" s="35"/>
      <c r="AT101" s="35"/>
      <c r="AU101" s="35"/>
      <c r="AV101" s="35"/>
      <c r="AW101" s="35"/>
      <c r="AX101" s="35"/>
      <c r="AY101" s="35"/>
      <c r="AZ101" s="35"/>
      <c r="BA101" s="35"/>
      <c r="BB101" s="35"/>
      <c r="BC101" s="35"/>
      <c r="BD101" s="252"/>
    </row>
    <row r="102" spans="10:81" x14ac:dyDescent="0.25">
      <c r="J102" s="563" t="s">
        <v>565</v>
      </c>
      <c r="K102" s="128">
        <v>1</v>
      </c>
      <c r="L102" s="155">
        <v>3</v>
      </c>
      <c r="M102" s="35"/>
      <c r="N102" s="35"/>
      <c r="O102" s="128">
        <v>1</v>
      </c>
      <c r="P102" s="139">
        <v>2</v>
      </c>
      <c r="Q102" s="16"/>
      <c r="R102" s="35"/>
      <c r="S102" s="35"/>
      <c r="T102" s="372" t="s">
        <v>565</v>
      </c>
      <c r="U102" s="128">
        <v>1</v>
      </c>
      <c r="V102" s="155">
        <v>3</v>
      </c>
      <c r="W102" s="35"/>
      <c r="X102" s="35"/>
      <c r="Y102" s="128">
        <v>1</v>
      </c>
      <c r="Z102" s="139">
        <v>2</v>
      </c>
      <c r="AA102" s="16"/>
      <c r="AB102" s="35"/>
      <c r="AC102" s="35"/>
      <c r="AD102" s="372" t="s">
        <v>565</v>
      </c>
      <c r="AE102" s="155">
        <v>1</v>
      </c>
      <c r="AF102" s="155">
        <v>3</v>
      </c>
      <c r="AG102" s="35"/>
      <c r="AH102" s="35"/>
      <c r="AI102" s="128">
        <v>1</v>
      </c>
      <c r="AJ102" s="139">
        <v>2</v>
      </c>
      <c r="AK102" s="16"/>
      <c r="AL102" s="35"/>
      <c r="AM102" s="35"/>
      <c r="AN102" s="252"/>
      <c r="AR102" s="268"/>
      <c r="AS102" s="35"/>
      <c r="AT102" s="35"/>
      <c r="AU102" s="35"/>
      <c r="AV102" s="35"/>
      <c r="AW102" s="35"/>
      <c r="AX102" s="35"/>
      <c r="AY102" s="35"/>
      <c r="AZ102" s="35"/>
      <c r="BA102" s="35"/>
      <c r="BB102" s="35"/>
      <c r="BC102" s="35"/>
      <c r="BD102" s="252"/>
    </row>
    <row r="103" spans="10:81" ht="18" x14ac:dyDescent="0.35">
      <c r="J103" s="561" t="s">
        <v>569</v>
      </c>
      <c r="K103" s="128" t="s">
        <v>674</v>
      </c>
      <c r="L103" s="155" t="s">
        <v>571</v>
      </c>
      <c r="M103" s="139" t="s">
        <v>572</v>
      </c>
      <c r="N103" s="35"/>
      <c r="O103" s="128" t="s">
        <v>755</v>
      </c>
      <c r="P103" s="226" t="s">
        <v>676</v>
      </c>
      <c r="Q103" s="139" t="s">
        <v>575</v>
      </c>
      <c r="R103" s="35"/>
      <c r="S103" s="35"/>
      <c r="T103" s="367" t="s">
        <v>569</v>
      </c>
      <c r="U103" s="13" t="s">
        <v>574</v>
      </c>
      <c r="V103" s="155" t="s">
        <v>571</v>
      </c>
      <c r="W103" s="139" t="s">
        <v>572</v>
      </c>
      <c r="X103" s="35"/>
      <c r="Y103" s="128" t="s">
        <v>756</v>
      </c>
      <c r="Z103" s="226" t="s">
        <v>676</v>
      </c>
      <c r="AA103" s="139" t="s">
        <v>575</v>
      </c>
      <c r="AB103" s="35"/>
      <c r="AC103" s="35"/>
      <c r="AD103" s="367" t="s">
        <v>569</v>
      </c>
      <c r="AE103" s="14" t="s">
        <v>579</v>
      </c>
      <c r="AF103" s="155" t="s">
        <v>571</v>
      </c>
      <c r="AG103" s="139" t="s">
        <v>572</v>
      </c>
      <c r="AH103" s="35"/>
      <c r="AI103" s="128" t="s">
        <v>757</v>
      </c>
      <c r="AJ103" s="226" t="s">
        <v>676</v>
      </c>
      <c r="AK103" s="139" t="s">
        <v>575</v>
      </c>
      <c r="AL103" s="35"/>
      <c r="AM103" s="35"/>
      <c r="AN103" s="252"/>
      <c r="AR103" s="1172" t="s">
        <v>458</v>
      </c>
      <c r="AS103" s="1173"/>
      <c r="AT103" s="1173"/>
      <c r="AU103" s="1173"/>
      <c r="AV103" s="1173"/>
      <c r="AW103" s="1173"/>
      <c r="AX103" s="1173"/>
      <c r="AY103" s="1173"/>
      <c r="AZ103" s="1173"/>
      <c r="BA103" s="1173"/>
      <c r="BB103" s="1173"/>
      <c r="BC103" s="1173"/>
      <c r="BD103" s="1174"/>
    </row>
    <row r="104" spans="10:81" x14ac:dyDescent="0.25">
      <c r="J104" s="564" t="s">
        <v>584</v>
      </c>
      <c r="K104" s="36">
        <v>18</v>
      </c>
      <c r="L104" s="38">
        <v>0</v>
      </c>
      <c r="M104" s="146">
        <f>K104+L104</f>
        <v>18</v>
      </c>
      <c r="N104" s="35"/>
      <c r="O104" s="36">
        <v>18</v>
      </c>
      <c r="P104" s="226">
        <v>0</v>
      </c>
      <c r="Q104" s="146">
        <f>O104+P104</f>
        <v>18</v>
      </c>
      <c r="R104" s="35"/>
      <c r="S104" s="35"/>
      <c r="T104" s="375" t="s">
        <v>584</v>
      </c>
      <c r="U104" s="36">
        <v>18</v>
      </c>
      <c r="V104" s="38">
        <v>0</v>
      </c>
      <c r="W104" s="146">
        <f>U104+V104</f>
        <v>18</v>
      </c>
      <c r="X104" s="35"/>
      <c r="Y104" s="36">
        <v>18</v>
      </c>
      <c r="Z104" s="226">
        <v>0</v>
      </c>
      <c r="AA104" s="146">
        <f>Y104+Z104</f>
        <v>18</v>
      </c>
      <c r="AB104" s="35"/>
      <c r="AC104" s="35"/>
      <c r="AD104" s="375" t="s">
        <v>584</v>
      </c>
      <c r="AE104" s="38">
        <v>16</v>
      </c>
      <c r="AF104" s="38">
        <v>0</v>
      </c>
      <c r="AG104" s="146">
        <f>AE104+AF104</f>
        <v>16</v>
      </c>
      <c r="AH104" s="35"/>
      <c r="AI104" s="36">
        <v>16</v>
      </c>
      <c r="AJ104" s="226">
        <v>0</v>
      </c>
      <c r="AK104" s="146">
        <f>AI104+AJ104</f>
        <v>16</v>
      </c>
      <c r="AL104" s="35"/>
      <c r="AM104" s="35"/>
      <c r="AN104" s="252"/>
      <c r="AR104" s="1047" t="s">
        <v>319</v>
      </c>
      <c r="AS104" s="1047"/>
      <c r="AT104" s="1047"/>
      <c r="AU104" s="978" t="s">
        <v>320</v>
      </c>
      <c r="AV104" s="978"/>
      <c r="AW104" s="978"/>
      <c r="AX104" s="35"/>
      <c r="AY104" s="139"/>
      <c r="AZ104" s="139" t="s">
        <v>376</v>
      </c>
      <c r="BA104" s="139" t="s">
        <v>707</v>
      </c>
      <c r="BB104" s="139" t="s">
        <v>708</v>
      </c>
      <c r="BC104" s="139" t="s">
        <v>608</v>
      </c>
      <c r="BD104" s="233" t="s">
        <v>709</v>
      </c>
      <c r="BH104" s="1" t="s">
        <v>665</v>
      </c>
    </row>
    <row r="105" spans="10:81" ht="18" x14ac:dyDescent="0.35">
      <c r="J105" s="562" t="s">
        <v>586</v>
      </c>
      <c r="K105" s="15">
        <v>36</v>
      </c>
      <c r="L105" s="16">
        <v>6</v>
      </c>
      <c r="M105" s="146">
        <f>K105+L105</f>
        <v>42</v>
      </c>
      <c r="N105" s="35"/>
      <c r="O105" s="15">
        <v>38</v>
      </c>
      <c r="P105" s="146">
        <v>4</v>
      </c>
      <c r="Q105" s="146">
        <f>O105+P105</f>
        <v>42</v>
      </c>
      <c r="R105" s="35"/>
      <c r="S105" s="35"/>
      <c r="T105" s="368" t="s">
        <v>586</v>
      </c>
      <c r="U105" s="15">
        <v>34</v>
      </c>
      <c r="V105" s="16">
        <v>6</v>
      </c>
      <c r="W105" s="146">
        <f>U105+V105</f>
        <v>40</v>
      </c>
      <c r="X105" s="35"/>
      <c r="Y105" s="15">
        <v>36</v>
      </c>
      <c r="Z105" s="146">
        <v>4</v>
      </c>
      <c r="AA105" s="146">
        <f>Y105+Z105</f>
        <v>40</v>
      </c>
      <c r="AB105" s="35"/>
      <c r="AC105" s="35"/>
      <c r="AD105" s="368" t="s">
        <v>586</v>
      </c>
      <c r="AE105" s="16">
        <v>32</v>
      </c>
      <c r="AF105" s="16">
        <v>6</v>
      </c>
      <c r="AG105" s="146">
        <f>AE105+AF105</f>
        <v>38</v>
      </c>
      <c r="AH105" s="35"/>
      <c r="AI105" s="15">
        <v>34</v>
      </c>
      <c r="AJ105" s="146">
        <v>4</v>
      </c>
      <c r="AK105" s="146">
        <f>AI105+AJ105</f>
        <v>38</v>
      </c>
      <c r="AL105" s="35"/>
      <c r="AM105" s="35"/>
      <c r="AN105" s="252"/>
      <c r="AR105" s="492" t="s">
        <v>322</v>
      </c>
      <c r="AS105" s="493" t="s">
        <v>323</v>
      </c>
      <c r="AT105" s="493" t="s">
        <v>326</v>
      </c>
      <c r="AU105" s="493"/>
      <c r="AV105" s="493" t="s">
        <v>323</v>
      </c>
      <c r="AW105" s="494" t="s">
        <v>326</v>
      </c>
      <c r="AX105" s="35"/>
      <c r="AY105" s="139" t="s">
        <v>274</v>
      </c>
      <c r="AZ105" s="139">
        <f>AS106*(BQ108*BD49/BQ110)</f>
        <v>0</v>
      </c>
      <c r="BA105" s="139">
        <f>AS106*(BQ107*BD50/BQ110)</f>
        <v>1.0140976266533064</v>
      </c>
      <c r="BB105" s="139">
        <v>0</v>
      </c>
      <c r="BC105" s="139">
        <f>AS106*(BQ109*BD52/BQ110)</f>
        <v>2.7042603377421508</v>
      </c>
      <c r="BD105" s="233">
        <v>0</v>
      </c>
      <c r="BH105" s="372" t="s">
        <v>322</v>
      </c>
      <c r="BI105" s="391" t="s">
        <v>646</v>
      </c>
      <c r="BJ105" s="391" t="s">
        <v>341</v>
      </c>
      <c r="BK105" s="391" t="s">
        <v>337</v>
      </c>
      <c r="BL105" s="375" t="s">
        <v>379</v>
      </c>
      <c r="BM105" s="375" t="s">
        <v>382</v>
      </c>
      <c r="BN105" s="375" t="s">
        <v>381</v>
      </c>
      <c r="BO105" s="391" t="s">
        <v>384</v>
      </c>
      <c r="BP105" s="392" t="s">
        <v>376</v>
      </c>
      <c r="BQ105" s="375" t="s">
        <v>274</v>
      </c>
      <c r="BR105" s="375" t="s">
        <v>670</v>
      </c>
      <c r="BS105" s="392" t="s">
        <v>671</v>
      </c>
      <c r="BT105" s="391" t="s">
        <v>270</v>
      </c>
      <c r="BU105" s="391" t="s">
        <v>474</v>
      </c>
      <c r="BV105" s="391" t="s">
        <v>476</v>
      </c>
      <c r="BW105" s="391" t="s">
        <v>467</v>
      </c>
      <c r="BX105" s="391" t="s">
        <v>468</v>
      </c>
      <c r="BY105" s="391" t="s">
        <v>471</v>
      </c>
      <c r="BZ105" s="375" t="s">
        <v>478</v>
      </c>
    </row>
    <row r="106" spans="10:81" ht="18" x14ac:dyDescent="0.35">
      <c r="J106" s="561" t="s">
        <v>591</v>
      </c>
      <c r="K106" s="13">
        <v>2</v>
      </c>
      <c r="L106" s="14">
        <v>0</v>
      </c>
      <c r="M106" s="148">
        <f>K106+L106</f>
        <v>2</v>
      </c>
      <c r="N106" s="35"/>
      <c r="O106" s="13">
        <v>0</v>
      </c>
      <c r="P106" s="148">
        <v>2</v>
      </c>
      <c r="Q106" s="148">
        <f>O106+P106</f>
        <v>2</v>
      </c>
      <c r="R106" s="35"/>
      <c r="S106" s="35"/>
      <c r="T106" s="367" t="s">
        <v>591</v>
      </c>
      <c r="U106" s="13">
        <v>2</v>
      </c>
      <c r="V106" s="14">
        <v>0</v>
      </c>
      <c r="W106" s="148">
        <f>U106+V106</f>
        <v>2</v>
      </c>
      <c r="X106" s="35"/>
      <c r="Y106" s="13">
        <v>0</v>
      </c>
      <c r="Z106" s="148">
        <v>2</v>
      </c>
      <c r="AA106" s="148">
        <f>Y106+Z106</f>
        <v>2</v>
      </c>
      <c r="AB106" s="35"/>
      <c r="AC106" s="35"/>
      <c r="AD106" s="367" t="s">
        <v>591</v>
      </c>
      <c r="AE106" s="14">
        <v>2</v>
      </c>
      <c r="AF106" s="14">
        <v>0</v>
      </c>
      <c r="AG106" s="148">
        <f>AE106+AF106</f>
        <v>2</v>
      </c>
      <c r="AH106" s="35"/>
      <c r="AI106" s="13">
        <v>0</v>
      </c>
      <c r="AJ106" s="148">
        <v>2</v>
      </c>
      <c r="AK106" s="148">
        <f>AI106+AJ106</f>
        <v>2</v>
      </c>
      <c r="AL106" s="35"/>
      <c r="AM106" s="35"/>
      <c r="AN106" s="252"/>
      <c r="AR106" s="232" t="s">
        <v>274</v>
      </c>
      <c r="AS106" s="225">
        <v>3.718357964395457</v>
      </c>
      <c r="AT106" s="139"/>
      <c r="AU106" s="139" t="s">
        <v>328</v>
      </c>
      <c r="AV106" s="139"/>
      <c r="AW106" s="233"/>
      <c r="AX106" s="35"/>
      <c r="AY106" s="139" t="s">
        <v>276</v>
      </c>
      <c r="AZ106" s="139">
        <f>AS107*(BR108*BD49/BR110)</f>
        <v>0</v>
      </c>
      <c r="BA106" s="139">
        <f>AS107*(BR107*BD50/BR110)</f>
        <v>1.0140976266533064</v>
      </c>
      <c r="BB106" s="139">
        <v>0</v>
      </c>
      <c r="BC106" s="139">
        <f>AS107*(BR109*BD52/BR110)</f>
        <v>1.3521301688710752</v>
      </c>
      <c r="BD106" s="233">
        <v>0</v>
      </c>
      <c r="BH106" s="368" t="s">
        <v>569</v>
      </c>
      <c r="BI106" s="128" t="s">
        <v>570</v>
      </c>
      <c r="BJ106" s="128" t="s">
        <v>576</v>
      </c>
      <c r="BK106" s="128" t="s">
        <v>578</v>
      </c>
      <c r="BL106" s="139" t="s">
        <v>574</v>
      </c>
      <c r="BM106" s="139" t="s">
        <v>577</v>
      </c>
      <c r="BN106" s="139" t="s">
        <v>579</v>
      </c>
      <c r="BO106" s="128" t="s">
        <v>674</v>
      </c>
      <c r="BP106" s="155" t="s">
        <v>571</v>
      </c>
      <c r="BQ106" s="139" t="s">
        <v>675</v>
      </c>
      <c r="BR106" s="139" t="s">
        <v>670</v>
      </c>
      <c r="BS106" s="155" t="s">
        <v>676</v>
      </c>
      <c r="BT106" s="128" t="s">
        <v>573</v>
      </c>
      <c r="BU106" s="36" t="s">
        <v>727</v>
      </c>
      <c r="BV106" s="128" t="s">
        <v>757</v>
      </c>
      <c r="BW106" s="128" t="s">
        <v>725</v>
      </c>
      <c r="BX106" s="128" t="s">
        <v>726</v>
      </c>
      <c r="BY106" s="128" t="s">
        <v>755</v>
      </c>
      <c r="BZ106" s="139" t="s">
        <v>756</v>
      </c>
    </row>
    <row r="107" spans="10:81" x14ac:dyDescent="0.25">
      <c r="J107" s="268" t="s">
        <v>594</v>
      </c>
      <c r="K107" s="139">
        <f>K104*12+K105*1+16*K106</f>
        <v>284</v>
      </c>
      <c r="L107" s="14">
        <f>L104*12+L105+L106*16</f>
        <v>6</v>
      </c>
      <c r="M107" s="16">
        <f>L107+K107</f>
        <v>290</v>
      </c>
      <c r="N107" s="35" t="s">
        <v>594</v>
      </c>
      <c r="O107" s="139">
        <f>O104*12+O105*1+16*O106</f>
        <v>254</v>
      </c>
      <c r="P107" s="14">
        <f>P104*12+P105+P106*16</f>
        <v>36</v>
      </c>
      <c r="Q107" s="16">
        <f>P107+O107</f>
        <v>290</v>
      </c>
      <c r="R107" s="35"/>
      <c r="S107" s="35"/>
      <c r="T107" s="35" t="s">
        <v>594</v>
      </c>
      <c r="U107" s="139">
        <f>U104*12+U105*1+16*U106</f>
        <v>282</v>
      </c>
      <c r="V107" s="14">
        <f>V104*12+V105+V106*16</f>
        <v>6</v>
      </c>
      <c r="W107" s="16">
        <f>V107+U107</f>
        <v>288</v>
      </c>
      <c r="X107" s="35" t="s">
        <v>594</v>
      </c>
      <c r="Y107" s="139">
        <f>Y104*12+Y105*1+16*Y106</f>
        <v>252</v>
      </c>
      <c r="Z107" s="14">
        <f>Z104*12+Z105+Z106*16</f>
        <v>36</v>
      </c>
      <c r="AA107" s="16">
        <f>Z107+Y107</f>
        <v>288</v>
      </c>
      <c r="AB107" s="35"/>
      <c r="AC107" s="35"/>
      <c r="AD107" s="35" t="s">
        <v>594</v>
      </c>
      <c r="AE107" s="139">
        <f>AE104*12+AE105*1+16*AE106</f>
        <v>256</v>
      </c>
      <c r="AF107" s="14">
        <f>AF104*12+AF105+AF106*16</f>
        <v>6</v>
      </c>
      <c r="AG107" s="16">
        <f>AF107+AE107</f>
        <v>262</v>
      </c>
      <c r="AH107" s="35" t="s">
        <v>594</v>
      </c>
      <c r="AI107" s="139">
        <f>AI104*12+AI105*1+16*AI106</f>
        <v>226</v>
      </c>
      <c r="AJ107" s="14">
        <f>AJ104*12+AJ105+AJ106*16</f>
        <v>36</v>
      </c>
      <c r="AK107" s="16">
        <f>AJ107+AI107</f>
        <v>262</v>
      </c>
      <c r="AL107" s="35"/>
      <c r="AM107" s="35"/>
      <c r="AN107" s="252"/>
      <c r="AR107" s="232" t="s">
        <v>276</v>
      </c>
      <c r="AS107" s="225">
        <v>2.3662277955243818</v>
      </c>
      <c r="AT107" s="139"/>
      <c r="AU107" s="139" t="s">
        <v>333</v>
      </c>
      <c r="AV107" s="139"/>
      <c r="AW107" s="233"/>
      <c r="AX107" s="35"/>
      <c r="AY107" s="122" t="s">
        <v>268</v>
      </c>
      <c r="AZ107" s="139">
        <f>AS108*(BS108*BD49/BS110)</f>
        <v>0.5070488133266533</v>
      </c>
      <c r="BA107" s="139">
        <f>AS108*(BS107*BD50/BS110)</f>
        <v>0</v>
      </c>
      <c r="BB107" s="139">
        <v>0</v>
      </c>
      <c r="BC107" s="139">
        <f>AS108*(BS109*BD52/BS110)</f>
        <v>4.0563905066132264</v>
      </c>
      <c r="BD107" s="233">
        <v>0</v>
      </c>
      <c r="BH107" s="375" t="s">
        <v>584</v>
      </c>
      <c r="BI107" s="36">
        <v>57</v>
      </c>
      <c r="BJ107" s="36">
        <v>57</v>
      </c>
      <c r="BK107" s="36">
        <v>51</v>
      </c>
      <c r="BL107" s="226">
        <v>18</v>
      </c>
      <c r="BM107" s="226">
        <v>18</v>
      </c>
      <c r="BN107" s="226">
        <v>16</v>
      </c>
      <c r="BO107" s="36">
        <v>18</v>
      </c>
      <c r="BP107" s="38">
        <v>0</v>
      </c>
      <c r="BQ107" s="226">
        <v>1</v>
      </c>
      <c r="BR107" s="226">
        <v>1</v>
      </c>
      <c r="BS107" s="38">
        <v>0</v>
      </c>
      <c r="BT107" s="36">
        <v>3</v>
      </c>
      <c r="BU107" s="226"/>
      <c r="BV107" s="226"/>
      <c r="BW107" s="226"/>
      <c r="BX107" s="226"/>
      <c r="BY107" s="226"/>
      <c r="BZ107" s="226"/>
    </row>
    <row r="108" spans="10:81" x14ac:dyDescent="0.25">
      <c r="J108" s="562" t="s">
        <v>597</v>
      </c>
      <c r="K108" s="831">
        <f>FuelProd2!AA56*(H86)*1000/FuelProd3!K107</f>
        <v>50.983520452578681</v>
      </c>
      <c r="L108" s="831">
        <f>L102*K108</f>
        <v>152.95056135773604</v>
      </c>
      <c r="M108" s="16"/>
      <c r="N108" s="35"/>
      <c r="O108" s="35"/>
      <c r="P108" s="35"/>
      <c r="Q108" s="16"/>
      <c r="R108" s="35"/>
      <c r="S108" s="35"/>
      <c r="T108" s="110" t="s">
        <v>597</v>
      </c>
      <c r="U108" s="831">
        <f>FuelProd2!AA53*(H86)*1000/FuelProd3!U107</f>
        <v>21.703823076923079</v>
      </c>
      <c r="V108" s="35">
        <f>V102*U108</f>
        <v>65.111469230769245</v>
      </c>
      <c r="W108" s="16"/>
      <c r="X108" s="35"/>
      <c r="Y108" s="35"/>
      <c r="Z108" s="35"/>
      <c r="AA108" s="16"/>
      <c r="AB108" s="35"/>
      <c r="AC108" s="35"/>
      <c r="AD108" s="110" t="s">
        <v>597</v>
      </c>
      <c r="AE108" s="831">
        <f>FuelProd2!AA54*(H86)*1000/FuelProd3!AE107</f>
        <v>5.5497580645161291</v>
      </c>
      <c r="AF108" s="35">
        <f>AF102*AE108</f>
        <v>16.649274193548386</v>
      </c>
      <c r="AG108" s="16"/>
      <c r="AH108" s="35"/>
      <c r="AI108" s="35"/>
      <c r="AJ108" s="35"/>
      <c r="AK108" s="16"/>
      <c r="AL108" s="35"/>
      <c r="AM108" s="35"/>
      <c r="AN108" s="252"/>
      <c r="AR108" s="232" t="s">
        <v>268</v>
      </c>
      <c r="AS108" s="225">
        <v>4.5634393199398797</v>
      </c>
      <c r="AT108" s="139"/>
      <c r="AU108" s="139" t="s">
        <v>338</v>
      </c>
      <c r="AV108" s="139"/>
      <c r="AW108" s="233"/>
      <c r="AX108" s="35"/>
      <c r="AY108" s="139" t="s">
        <v>270</v>
      </c>
      <c r="AZ108" s="139">
        <f>(BT108*BD49/BT110)*AS109</f>
        <v>0.91125325297521331</v>
      </c>
      <c r="BA108" s="139">
        <f>AS109*(BT107*BD50/BT110)</f>
        <v>4.1006396383884605</v>
      </c>
      <c r="BB108" s="139"/>
      <c r="BC108" s="139">
        <f>AS109*(BT109*BD52/BT110)</f>
        <v>0</v>
      </c>
      <c r="BD108" s="233">
        <v>0</v>
      </c>
      <c r="BH108" s="368" t="s">
        <v>586</v>
      </c>
      <c r="BI108" s="15">
        <v>104</v>
      </c>
      <c r="BJ108" s="15">
        <v>98</v>
      </c>
      <c r="BK108" s="15">
        <v>98</v>
      </c>
      <c r="BL108" s="146">
        <v>34</v>
      </c>
      <c r="BM108" s="146">
        <v>32</v>
      </c>
      <c r="BN108" s="146">
        <v>32</v>
      </c>
      <c r="BO108" s="15">
        <v>36</v>
      </c>
      <c r="BP108" s="16">
        <v>2</v>
      </c>
      <c r="BQ108" s="146">
        <v>0</v>
      </c>
      <c r="BR108" s="146">
        <v>0</v>
      </c>
      <c r="BS108" s="16">
        <v>2</v>
      </c>
      <c r="BT108" s="15">
        <v>8</v>
      </c>
      <c r="BU108" s="146"/>
      <c r="BV108" s="146"/>
      <c r="BW108" s="146"/>
      <c r="BX108" s="146"/>
      <c r="BY108" s="146"/>
      <c r="BZ108" s="146"/>
    </row>
    <row r="109" spans="10:81" x14ac:dyDescent="0.25">
      <c r="J109" s="268" t="s">
        <v>599</v>
      </c>
      <c r="K109" s="35">
        <f>K107/M107</f>
        <v>0.97931034482758617</v>
      </c>
      <c r="L109" s="35">
        <f>L107/M107</f>
        <v>2.0689655172413793E-2</v>
      </c>
      <c r="M109" s="16"/>
      <c r="N109" s="35" t="s">
        <v>599</v>
      </c>
      <c r="O109" s="35">
        <f>O107/Q107</f>
        <v>0.87586206896551722</v>
      </c>
      <c r="P109" s="35">
        <f>P107/Q107</f>
        <v>0.12413793103448276</v>
      </c>
      <c r="Q109" s="16"/>
      <c r="R109" s="35">
        <f>SUM(O109:Q109)</f>
        <v>1</v>
      </c>
      <c r="S109" s="35"/>
      <c r="T109" s="35" t="s">
        <v>599</v>
      </c>
      <c r="U109" s="35">
        <f>U107/W107</f>
        <v>0.97916666666666663</v>
      </c>
      <c r="V109" s="35">
        <f>V107/W107</f>
        <v>2.0833333333333332E-2</v>
      </c>
      <c r="W109" s="16"/>
      <c r="X109" s="35" t="s">
        <v>599</v>
      </c>
      <c r="Y109" s="35">
        <f>Y107/AA107</f>
        <v>0.875</v>
      </c>
      <c r="Z109" s="35">
        <f>Z107/AA107</f>
        <v>0.125</v>
      </c>
      <c r="AA109" s="16"/>
      <c r="AB109" s="35">
        <f>SUM(Y109:AA109)</f>
        <v>1</v>
      </c>
      <c r="AC109" s="35"/>
      <c r="AD109" s="35" t="s">
        <v>599</v>
      </c>
      <c r="AE109" s="35">
        <f>AE107/AG107</f>
        <v>0.97709923664122134</v>
      </c>
      <c r="AF109" s="35">
        <f>AF107/AG107</f>
        <v>2.2900763358778626E-2</v>
      </c>
      <c r="AG109" s="16"/>
      <c r="AH109" s="35" t="s">
        <v>599</v>
      </c>
      <c r="AI109" s="35">
        <f>AI107/AK107</f>
        <v>0.86259541984732824</v>
      </c>
      <c r="AJ109" s="35">
        <f>AJ107/AK107</f>
        <v>0.13740458015267176</v>
      </c>
      <c r="AK109" s="16"/>
      <c r="AL109" s="35">
        <f>SUM(AI109:AK109)</f>
        <v>1</v>
      </c>
      <c r="AM109" s="35"/>
      <c r="AN109" s="252"/>
      <c r="AR109" s="232" t="s">
        <v>270</v>
      </c>
      <c r="AS109" s="225">
        <v>5.0118928913636731</v>
      </c>
      <c r="AT109" s="139"/>
      <c r="AU109" s="139" t="s">
        <v>342</v>
      </c>
      <c r="AV109" s="139"/>
      <c r="AW109" s="233"/>
      <c r="AX109" s="35"/>
      <c r="AY109" s="139" t="s">
        <v>376</v>
      </c>
      <c r="AZ109" s="139">
        <f>AS110*BD49*(BP108/BP110)</f>
        <v>3.1314804003780456</v>
      </c>
      <c r="BA109" s="139">
        <v>0</v>
      </c>
      <c r="BB109" s="139">
        <v>0</v>
      </c>
      <c r="BC109" s="139">
        <v>0</v>
      </c>
      <c r="BD109" s="233">
        <v>0</v>
      </c>
      <c r="BH109" s="367" t="s">
        <v>591</v>
      </c>
      <c r="BI109" s="13">
        <v>6</v>
      </c>
      <c r="BJ109" s="13">
        <v>6</v>
      </c>
      <c r="BK109" s="13">
        <v>6</v>
      </c>
      <c r="BL109" s="148">
        <v>2</v>
      </c>
      <c r="BM109" s="148">
        <v>2</v>
      </c>
      <c r="BN109" s="148">
        <v>2</v>
      </c>
      <c r="BO109" s="13">
        <v>2</v>
      </c>
      <c r="BP109" s="14">
        <v>0</v>
      </c>
      <c r="BQ109" s="148">
        <v>2</v>
      </c>
      <c r="BR109" s="148">
        <v>1</v>
      </c>
      <c r="BS109" s="14">
        <v>1</v>
      </c>
      <c r="BT109" s="13">
        <v>0</v>
      </c>
      <c r="BU109" s="148"/>
      <c r="BV109" s="148"/>
      <c r="BW109" s="148"/>
      <c r="BX109" s="148"/>
      <c r="BY109" s="148"/>
      <c r="BZ109" s="148"/>
    </row>
    <row r="110" spans="10:81" x14ac:dyDescent="0.25">
      <c r="J110" s="276" t="s">
        <v>601</v>
      </c>
      <c r="K110" s="831">
        <f>(O38+Y38)*H86</f>
        <v>14.479319808532345</v>
      </c>
      <c r="L110" s="831">
        <f>(FuelProd3!L108*2)/1000</f>
        <v>0.3059011227154721</v>
      </c>
      <c r="M110" s="35" t="s">
        <v>62</v>
      </c>
      <c r="N110" s="35"/>
      <c r="O110" s="35">
        <f>(K110+L110)*O109</f>
        <v>12.949814194954984</v>
      </c>
      <c r="P110" s="35">
        <f>(K110+L110)*P109</f>
        <v>1.8354067362928326</v>
      </c>
      <c r="Q110" s="35">
        <f>(K110+L110)*Q109</f>
        <v>0</v>
      </c>
      <c r="R110" s="16"/>
      <c r="S110" s="35"/>
      <c r="T110" s="536" t="s">
        <v>601</v>
      </c>
      <c r="U110" s="831">
        <f>(P14*(1-F4))*H86</f>
        <v>6.1204781076923078</v>
      </c>
      <c r="V110" s="35">
        <f>(FuelProd3!V108*2)/1000</f>
        <v>0.13022293846153848</v>
      </c>
      <c r="W110" s="35" t="s">
        <v>62</v>
      </c>
      <c r="X110" s="35"/>
      <c r="Y110" s="35">
        <f>(U110+V110)*Y109</f>
        <v>5.4693634153846151</v>
      </c>
      <c r="Z110" s="35">
        <f>(U110+V110)*Z109</f>
        <v>0.7813376307692308</v>
      </c>
      <c r="AA110" s="35">
        <f>(U110+V110)*AA109</f>
        <v>0</v>
      </c>
      <c r="AB110" s="16"/>
      <c r="AC110" s="35"/>
      <c r="AD110" s="536" t="s">
        <v>601</v>
      </c>
      <c r="AE110" s="831">
        <f>(AJ14)*H86</f>
        <v>1.4207380645161289</v>
      </c>
      <c r="AF110" s="35">
        <f>(FuelProd3!AF108*2)/1000</f>
        <v>3.3298548387096776E-2</v>
      </c>
      <c r="AG110" s="35" t="s">
        <v>62</v>
      </c>
      <c r="AH110" s="35"/>
      <c r="AI110" s="35">
        <f>(AE110+AF110)*AI109</f>
        <v>1.2542453225806449</v>
      </c>
      <c r="AJ110" s="35">
        <f>(AE110+AF110)*AJ109</f>
        <v>0.19979129032258064</v>
      </c>
      <c r="AK110" s="35">
        <f>(AE110+AF110)*AK109</f>
        <v>0</v>
      </c>
      <c r="AL110" s="16"/>
      <c r="AM110" s="35"/>
      <c r="AN110" s="252"/>
      <c r="AR110" s="241" t="s">
        <v>376</v>
      </c>
      <c r="AS110" s="286">
        <v>3.1314804003780456</v>
      </c>
      <c r="AT110" s="226"/>
      <c r="AU110" s="226" t="s">
        <v>344</v>
      </c>
      <c r="AV110" s="226"/>
      <c r="AW110" s="243"/>
      <c r="AX110" s="35"/>
      <c r="AY110" s="139"/>
      <c r="AZ110" s="139">
        <f>+SUM(AZ105:AZ109)</f>
        <v>4.549782466679912</v>
      </c>
      <c r="BA110" s="139">
        <f>+SUM(BA105:BA109)</f>
        <v>6.1288348916950728</v>
      </c>
      <c r="BB110" s="139">
        <f>+SUM(BB105:BB109)</f>
        <v>0</v>
      </c>
      <c r="BC110" s="139">
        <f>+SUM(BC105:BC109)</f>
        <v>8.1127810132264528</v>
      </c>
      <c r="BD110" s="233">
        <f>+SUM(BD105:BD109)</f>
        <v>0</v>
      </c>
      <c r="BH110" s="367" t="s">
        <v>594</v>
      </c>
      <c r="BI110" s="139">
        <f>BI107*12+BI108*1+16*BI109</f>
        <v>884</v>
      </c>
      <c r="BJ110" s="139">
        <f>BJ107*12+BJ108*1+16*BJ109</f>
        <v>878</v>
      </c>
      <c r="BK110" s="139">
        <f>BK107*12+BK108*1+16*BK109</f>
        <v>806</v>
      </c>
      <c r="BL110" s="14">
        <f>BL107*12+BL108+BL109*16</f>
        <v>282</v>
      </c>
      <c r="BM110" s="14">
        <f>BM107*12+BM108+BM109*16</f>
        <v>280</v>
      </c>
      <c r="BN110" s="14">
        <f>BN107*12+BN108+BN109*16</f>
        <v>256</v>
      </c>
      <c r="BO110" s="139">
        <f>BO107*12+BO108*1+BO109*16</f>
        <v>284</v>
      </c>
      <c r="BP110" s="14">
        <f>BP107*12+BP108+BP109*16</f>
        <v>2</v>
      </c>
      <c r="BQ110" s="14">
        <f>BQ107*12+BQ108+BQ109*16</f>
        <v>44</v>
      </c>
      <c r="BR110" s="14">
        <f>BR107*12+BR108+BR109*16</f>
        <v>28</v>
      </c>
      <c r="BS110" s="14">
        <f>BS107*12+BS108+BS109*16</f>
        <v>18</v>
      </c>
      <c r="BT110" s="128">
        <f>BT107*12+BT108*1</f>
        <v>44</v>
      </c>
      <c r="BU110" s="148"/>
      <c r="BV110" s="139"/>
      <c r="BW110" s="139"/>
      <c r="BX110" s="139"/>
      <c r="BY110" s="139"/>
      <c r="BZ110" s="139"/>
    </row>
    <row r="111" spans="10:81" ht="15.75" thickBot="1" x14ac:dyDescent="0.3">
      <c r="J111" s="268"/>
      <c r="K111" s="978" t="s">
        <v>320</v>
      </c>
      <c r="L111" s="978"/>
      <c r="M111" s="35"/>
      <c r="N111" s="35"/>
      <c r="O111" s="978" t="s">
        <v>320</v>
      </c>
      <c r="P111" s="978"/>
      <c r="Q111" s="16"/>
      <c r="R111" s="35"/>
      <c r="S111" s="35"/>
      <c r="T111" s="15"/>
      <c r="U111" s="978" t="s">
        <v>320</v>
      </c>
      <c r="V111" s="978"/>
      <c r="W111" s="35"/>
      <c r="X111" s="35"/>
      <c r="Y111" s="978" t="s">
        <v>320</v>
      </c>
      <c r="Z111" s="978"/>
      <c r="AA111" s="16"/>
      <c r="AB111" s="35"/>
      <c r="AC111" s="35"/>
      <c r="AD111" s="15"/>
      <c r="AE111" s="978" t="s">
        <v>320</v>
      </c>
      <c r="AF111" s="978"/>
      <c r="AG111" s="35"/>
      <c r="AH111" s="35"/>
      <c r="AI111" s="978" t="s">
        <v>320</v>
      </c>
      <c r="AJ111" s="978"/>
      <c r="AK111" s="16"/>
      <c r="AL111" s="35"/>
      <c r="AM111" s="35"/>
      <c r="AN111" s="252"/>
      <c r="AR111" s="218" t="s">
        <v>278</v>
      </c>
      <c r="AS111" s="255">
        <v>18.791398371601435</v>
      </c>
      <c r="AT111" s="226"/>
      <c r="AU111" s="226"/>
      <c r="AV111" s="226"/>
      <c r="AW111" s="243"/>
      <c r="AX111" s="35"/>
      <c r="AY111" s="139"/>
      <c r="AZ111" s="139"/>
      <c r="BA111" s="139"/>
      <c r="BB111" s="139"/>
      <c r="BC111" s="139"/>
      <c r="BD111" s="233"/>
      <c r="BH111" s="372" t="s">
        <v>323</v>
      </c>
      <c r="BI111" s="226">
        <f>BI110/1000</f>
        <v>0.88400000000000001</v>
      </c>
      <c r="BJ111" s="226">
        <f t="shared" ref="BJ111:BS111" si="11">BJ110/1000</f>
        <v>0.878</v>
      </c>
      <c r="BK111" s="226">
        <f t="shared" si="11"/>
        <v>0.80600000000000005</v>
      </c>
      <c r="BL111" s="226">
        <f t="shared" si="11"/>
        <v>0.28199999999999997</v>
      </c>
      <c r="BM111" s="226">
        <f t="shared" si="11"/>
        <v>0.28000000000000003</v>
      </c>
      <c r="BN111" s="226">
        <f t="shared" si="11"/>
        <v>0.25600000000000001</v>
      </c>
      <c r="BO111" s="226">
        <f t="shared" si="11"/>
        <v>0.28399999999999997</v>
      </c>
      <c r="BP111" s="226">
        <f>BP110/1000</f>
        <v>2E-3</v>
      </c>
      <c r="BQ111" s="226">
        <f t="shared" si="11"/>
        <v>4.3999999999999997E-2</v>
      </c>
      <c r="BR111" s="226">
        <f t="shared" si="11"/>
        <v>2.8000000000000001E-2</v>
      </c>
      <c r="BS111" s="226">
        <f t="shared" si="11"/>
        <v>1.7999999999999999E-2</v>
      </c>
      <c r="BT111" s="36">
        <f>BT110/1000</f>
        <v>4.3999999999999997E-2</v>
      </c>
      <c r="BU111" s="139"/>
      <c r="BV111" s="139"/>
      <c r="BW111" s="139"/>
      <c r="BX111" s="139"/>
      <c r="BY111" s="139"/>
      <c r="BZ111" s="139"/>
    </row>
    <row r="112" spans="10:81" x14ac:dyDescent="0.25">
      <c r="J112" s="553"/>
      <c r="K112" s="493" t="s">
        <v>323</v>
      </c>
      <c r="L112" s="493" t="s">
        <v>326</v>
      </c>
      <c r="M112" s="35"/>
      <c r="N112" s="35"/>
      <c r="O112" s="493" t="s">
        <v>323</v>
      </c>
      <c r="P112" s="493" t="s">
        <v>326</v>
      </c>
      <c r="Q112" s="16"/>
      <c r="R112" s="35"/>
      <c r="S112" s="35"/>
      <c r="T112" s="381"/>
      <c r="U112" s="493" t="s">
        <v>323</v>
      </c>
      <c r="V112" s="493" t="s">
        <v>326</v>
      </c>
      <c r="W112" s="35"/>
      <c r="X112" s="35"/>
      <c r="Y112" s="493" t="s">
        <v>323</v>
      </c>
      <c r="Z112" s="493" t="s">
        <v>326</v>
      </c>
      <c r="AA112" s="16"/>
      <c r="AB112" s="35"/>
      <c r="AC112" s="35"/>
      <c r="AD112" s="381"/>
      <c r="AE112" s="493" t="s">
        <v>323</v>
      </c>
      <c r="AF112" s="493" t="s">
        <v>326</v>
      </c>
      <c r="AG112" s="35"/>
      <c r="AH112" s="35"/>
      <c r="AI112" s="493" t="s">
        <v>323</v>
      </c>
      <c r="AJ112" s="493" t="s">
        <v>326</v>
      </c>
      <c r="AK112" s="16"/>
      <c r="AL112" s="35"/>
      <c r="AM112" s="35"/>
      <c r="AN112" s="252"/>
      <c r="AR112" s="357" t="s">
        <v>279</v>
      </c>
      <c r="AS112" s="245"/>
      <c r="AT112" s="226"/>
      <c r="AU112" s="226"/>
      <c r="AV112" s="226"/>
      <c r="AW112" s="243"/>
      <c r="AX112" s="35"/>
      <c r="AY112" s="139"/>
      <c r="AZ112" s="139"/>
      <c r="BA112" s="139"/>
      <c r="BB112" s="139"/>
      <c r="BC112" s="139"/>
      <c r="BD112" s="233"/>
      <c r="BH112" s="538" t="s">
        <v>1023</v>
      </c>
      <c r="BI112" s="540">
        <f>BI108/BI110</f>
        <v>0.11764705882352941</v>
      </c>
      <c r="BJ112" s="540">
        <f t="shared" ref="BJ112:BT112" si="12">BJ108/BJ110</f>
        <v>0.11161731207289294</v>
      </c>
      <c r="BK112" s="540">
        <f t="shared" si="12"/>
        <v>0.12158808933002481</v>
      </c>
      <c r="BL112" s="540">
        <f t="shared" si="12"/>
        <v>0.12056737588652482</v>
      </c>
      <c r="BM112" s="540">
        <f t="shared" si="12"/>
        <v>0.11428571428571428</v>
      </c>
      <c r="BN112" s="540">
        <f t="shared" si="12"/>
        <v>0.125</v>
      </c>
      <c r="BO112" s="540">
        <f t="shared" si="12"/>
        <v>0.12676056338028169</v>
      </c>
      <c r="BP112" s="540">
        <f t="shared" si="12"/>
        <v>1</v>
      </c>
      <c r="BQ112" s="540">
        <f t="shared" si="12"/>
        <v>0</v>
      </c>
      <c r="BR112" s="540">
        <f t="shared" si="12"/>
        <v>0</v>
      </c>
      <c r="BS112" s="540">
        <f t="shared" si="12"/>
        <v>0.1111111111111111</v>
      </c>
      <c r="BT112" s="540">
        <f t="shared" si="12"/>
        <v>0.18181818181818182</v>
      </c>
      <c r="BU112" s="541">
        <f>BN97/BN99</f>
        <v>0.15094339622641509</v>
      </c>
      <c r="BV112" s="541">
        <f>BM97/BM99</f>
        <v>0.15044247787610621</v>
      </c>
      <c r="BW112" s="541">
        <f>BL97/BL99</f>
        <v>0.15</v>
      </c>
      <c r="BX112" s="541">
        <f>BK97/BK99</f>
        <v>0.14285714285714285</v>
      </c>
      <c r="BY112" s="541">
        <f>BJ97/BJ99</f>
        <v>0.14960629921259844</v>
      </c>
      <c r="BZ112" s="541">
        <f>BI97/BI99</f>
        <v>0.14285714285714285</v>
      </c>
      <c r="CA112" s="537"/>
      <c r="CB112" s="537">
        <f>(SUM(BI112:BO112)+SUM(BU112:BZ112))/13</f>
        <v>0.13262865944679797</v>
      </c>
      <c r="CC112" t="s">
        <v>1025</v>
      </c>
    </row>
    <row r="113" spans="1:81" x14ac:dyDescent="0.25">
      <c r="J113" s="563" t="s">
        <v>333</v>
      </c>
      <c r="K113" s="139">
        <f>((K104+L104)*C6)/1000</f>
        <v>0.216</v>
      </c>
      <c r="L113" s="261">
        <f>(K113/K118)</f>
        <v>0.74482758620689649</v>
      </c>
      <c r="M113" s="35"/>
      <c r="N113" s="35"/>
      <c r="O113" s="139">
        <f>((O104+P104)*C6)/1000</f>
        <v>0.216</v>
      </c>
      <c r="P113" s="261">
        <f>(O113/O118)</f>
        <v>0.74482758620689649</v>
      </c>
      <c r="Q113" s="16"/>
      <c r="R113" s="35"/>
      <c r="S113" s="35"/>
      <c r="T113" s="372" t="s">
        <v>333</v>
      </c>
      <c r="U113" s="139">
        <f>((U104+V104)*C6)/1000</f>
        <v>0.216</v>
      </c>
      <c r="V113" s="261">
        <f>(U113/U118)</f>
        <v>0.74999999999999989</v>
      </c>
      <c r="W113" s="35"/>
      <c r="X113" s="35"/>
      <c r="Y113" s="139">
        <f>((Y104+Z104)*C6)/1000</f>
        <v>0.216</v>
      </c>
      <c r="Z113" s="261">
        <f>(Y113/Y118)</f>
        <v>0.74999999999999989</v>
      </c>
      <c r="AA113" s="16"/>
      <c r="AB113" s="35"/>
      <c r="AC113" s="35"/>
      <c r="AD113" s="372" t="s">
        <v>333</v>
      </c>
      <c r="AE113" s="139">
        <f>((AE104+AF104)*C6)/1000</f>
        <v>0.192</v>
      </c>
      <c r="AF113" s="261">
        <f>(AE113/AE118)</f>
        <v>0.73282442748091603</v>
      </c>
      <c r="AG113" s="35"/>
      <c r="AH113" s="35"/>
      <c r="AI113" s="139">
        <f>((AI104+AJ104)*C6)/1000</f>
        <v>0.192</v>
      </c>
      <c r="AJ113" s="261">
        <f>(AI113/AI118)</f>
        <v>0.73282442748091603</v>
      </c>
      <c r="AK113" s="16"/>
      <c r="AL113" s="35"/>
      <c r="AM113" s="35"/>
      <c r="AN113" s="252"/>
      <c r="AR113" s="232" t="s">
        <v>280</v>
      </c>
      <c r="AS113" s="225">
        <v>3.6551848837319616</v>
      </c>
      <c r="AT113" s="261"/>
      <c r="AU113" s="226"/>
      <c r="AV113" s="226"/>
      <c r="AW113" s="243"/>
      <c r="AX113" s="35"/>
      <c r="AY113" s="139" t="s">
        <v>758</v>
      </c>
      <c r="AZ113" s="139">
        <f>SUM(AZ105:AZ106)+SUM(AZ108:AZ109)</f>
        <v>4.0427336533532587</v>
      </c>
      <c r="BA113" s="139">
        <f>SUM(BA105:BA106)+SUM(BA108:BA109)</f>
        <v>6.1288348916950728</v>
      </c>
      <c r="BB113" s="139">
        <f>SUM(BB105:BB106)+SUM(BB108:BB109)</f>
        <v>0</v>
      </c>
      <c r="BC113" s="139">
        <f>SUM(BC105:BC106)+SUM(BC108:BC109)</f>
        <v>4.0563905066132264</v>
      </c>
      <c r="BD113" s="233">
        <f>SUM(BD105:BD106)+SUM(BD108:BD109)</f>
        <v>0</v>
      </c>
      <c r="BH113" s="539" t="s">
        <v>1024</v>
      </c>
      <c r="BI113" s="540">
        <f>1/BI110</f>
        <v>1.1312217194570137E-3</v>
      </c>
      <c r="BJ113" s="540">
        <f t="shared" ref="BJ113:BT113" si="13">1/BJ110</f>
        <v>1.1389521640091116E-3</v>
      </c>
      <c r="BK113" s="540">
        <f t="shared" si="13"/>
        <v>1.2406947890818859E-3</v>
      </c>
      <c r="BL113" s="540">
        <f t="shared" si="13"/>
        <v>3.5460992907801418E-3</v>
      </c>
      <c r="BM113" s="540">
        <f t="shared" si="13"/>
        <v>3.5714285714285713E-3</v>
      </c>
      <c r="BN113" s="540">
        <f t="shared" si="13"/>
        <v>3.90625E-3</v>
      </c>
      <c r="BO113" s="540">
        <f t="shared" si="13"/>
        <v>3.5211267605633804E-3</v>
      </c>
      <c r="BP113" s="540">
        <f t="shared" si="13"/>
        <v>0.5</v>
      </c>
      <c r="BQ113" s="540">
        <f t="shared" si="13"/>
        <v>2.2727272727272728E-2</v>
      </c>
      <c r="BR113" s="540">
        <f t="shared" si="13"/>
        <v>3.5714285714285712E-2</v>
      </c>
      <c r="BS113" s="540">
        <f t="shared" si="13"/>
        <v>5.5555555555555552E-2</v>
      </c>
      <c r="BT113" s="540">
        <f t="shared" si="13"/>
        <v>2.2727272727272728E-2</v>
      </c>
      <c r="BU113" s="540">
        <f>1/BN99</f>
        <v>4.7169811320754715E-3</v>
      </c>
      <c r="BV113" s="540">
        <f>1/BM99</f>
        <v>4.4247787610619468E-3</v>
      </c>
      <c r="BW113" s="540">
        <f>1/BL99</f>
        <v>4.1666666666666666E-3</v>
      </c>
      <c r="BX113" s="540">
        <f>1/BK99</f>
        <v>4.2016806722689074E-3</v>
      </c>
      <c r="BY113" s="540">
        <f>1/BJ99</f>
        <v>3.937007874015748E-3</v>
      </c>
      <c r="BZ113" s="540">
        <f>1/BI99</f>
        <v>3.968253968253968E-3</v>
      </c>
      <c r="CA113" s="537"/>
      <c r="CB113" s="537">
        <f>(SUM(BI113:BO113)+SUM(BU113:BZ113))/13</f>
        <v>3.3439340284356005E-3</v>
      </c>
      <c r="CC113" t="s">
        <v>1026</v>
      </c>
    </row>
    <row r="114" spans="1:81" x14ac:dyDescent="0.25">
      <c r="J114" s="563" t="s">
        <v>328</v>
      </c>
      <c r="K114" s="139">
        <f>((K105+L105)*C4)/1000</f>
        <v>4.2000000000000003E-2</v>
      </c>
      <c r="L114" s="261">
        <f>(K114/K118)</f>
        <v>0.14482758620689654</v>
      </c>
      <c r="M114" s="35"/>
      <c r="N114" s="35"/>
      <c r="O114" s="139">
        <f>((O105+P105)*C4)/1000</f>
        <v>4.2000000000000003E-2</v>
      </c>
      <c r="P114" s="261">
        <f>(O114/O118)</f>
        <v>0.14482758620689654</v>
      </c>
      <c r="Q114" s="16"/>
      <c r="R114" s="35"/>
      <c r="S114" s="35"/>
      <c r="T114" s="372" t="s">
        <v>328</v>
      </c>
      <c r="U114" s="139">
        <f>((U105+V105)*C4)/1000</f>
        <v>0.04</v>
      </c>
      <c r="V114" s="261">
        <f>(U114/U118)</f>
        <v>0.13888888888888887</v>
      </c>
      <c r="W114" s="35"/>
      <c r="X114" s="35"/>
      <c r="Y114" s="139">
        <f>((Y105+Z105)*C4)/1000</f>
        <v>0.04</v>
      </c>
      <c r="Z114" s="261">
        <f>(Y114/Y118)</f>
        <v>0.13888888888888887</v>
      </c>
      <c r="AA114" s="16"/>
      <c r="AB114" s="35"/>
      <c r="AC114" s="35"/>
      <c r="AD114" s="372" t="s">
        <v>328</v>
      </c>
      <c r="AE114" s="139">
        <f>((AE105+AF105)*C4)/1000</f>
        <v>3.7999999999999999E-2</v>
      </c>
      <c r="AF114" s="261">
        <f>(AE114/AE118)</f>
        <v>0.14503816793893129</v>
      </c>
      <c r="AG114" s="35"/>
      <c r="AH114" s="35"/>
      <c r="AI114" s="139">
        <f>((AI105+AJ105)*C4)/1000</f>
        <v>3.7999999999999999E-2</v>
      </c>
      <c r="AJ114" s="261">
        <f>(AI114/AI118)</f>
        <v>0.14503816793893129</v>
      </c>
      <c r="AK114" s="16"/>
      <c r="AL114" s="35"/>
      <c r="AM114" s="35"/>
      <c r="AN114" s="252"/>
      <c r="AR114" s="542" t="s">
        <v>472</v>
      </c>
      <c r="AS114" s="498">
        <f>FuelProd2!AS78</f>
        <v>0.95924178683456973</v>
      </c>
      <c r="AT114" s="35"/>
      <c r="AU114" s="35"/>
      <c r="AV114" s="35"/>
      <c r="AW114" s="35"/>
      <c r="AX114" s="35"/>
      <c r="AY114" s="139" t="s">
        <v>268</v>
      </c>
      <c r="AZ114" s="139">
        <f>(AS108+AS114)*(BS108*BD49/BS110)</f>
        <v>0.61363123408604991</v>
      </c>
      <c r="BA114" s="139">
        <f>AS108*(BS107*BD50/BS110)</f>
        <v>0</v>
      </c>
      <c r="BB114" s="139">
        <v>0</v>
      </c>
      <c r="BC114" s="139">
        <f>(AS108+AS114)*(BS109*BD52/BS110)</f>
        <v>4.9090498726883993</v>
      </c>
      <c r="BD114" s="233">
        <v>0</v>
      </c>
    </row>
    <row r="115" spans="1:81" ht="15.75" thickBot="1" x14ac:dyDescent="0.3">
      <c r="J115" s="563" t="s">
        <v>342</v>
      </c>
      <c r="K115" s="139">
        <f>((K106+L106)*C5)/1000</f>
        <v>3.2000000000000001E-2</v>
      </c>
      <c r="L115" s="261">
        <f>(K115/K118)</f>
        <v>0.11034482758620688</v>
      </c>
      <c r="M115" s="35"/>
      <c r="N115" s="35"/>
      <c r="O115" s="139">
        <f>((O106+P106)*C5)/1000</f>
        <v>3.2000000000000001E-2</v>
      </c>
      <c r="P115" s="261">
        <f>(O115/O118)</f>
        <v>0.11034482758620688</v>
      </c>
      <c r="Q115" s="16"/>
      <c r="R115" s="35"/>
      <c r="S115" s="35"/>
      <c r="T115" s="372" t="s">
        <v>342</v>
      </c>
      <c r="U115" s="139">
        <f>((U106+V106)*C5)/1000</f>
        <v>3.2000000000000001E-2</v>
      </c>
      <c r="V115" s="261">
        <f>(U115/U118)</f>
        <v>0.1111111111111111</v>
      </c>
      <c r="W115" s="35"/>
      <c r="X115" s="35"/>
      <c r="Y115" s="139">
        <f>((Y106+Z106)*C5)/1000</f>
        <v>3.2000000000000001E-2</v>
      </c>
      <c r="Z115" s="261">
        <f>(Y115/Y118)</f>
        <v>0.1111111111111111</v>
      </c>
      <c r="AA115" s="16"/>
      <c r="AB115" s="35"/>
      <c r="AC115" s="35"/>
      <c r="AD115" s="372" t="s">
        <v>342</v>
      </c>
      <c r="AE115" s="139">
        <f>((AE106+AF106)*C5)/1000</f>
        <v>3.2000000000000001E-2</v>
      </c>
      <c r="AF115" s="261">
        <f>(AE115/AE118)</f>
        <v>0.12213740458015267</v>
      </c>
      <c r="AG115" s="35"/>
      <c r="AH115" s="35"/>
      <c r="AI115" s="139">
        <f>((AI106+AJ106)*C5)/1000</f>
        <v>3.2000000000000001E-2</v>
      </c>
      <c r="AJ115" s="261">
        <f>(AI115/AI118)</f>
        <v>0.12213740458015267</v>
      </c>
      <c r="AK115" s="16"/>
      <c r="AL115" s="35"/>
      <c r="AM115" s="35"/>
      <c r="AN115" s="252"/>
      <c r="AR115" s="294" t="s">
        <v>278</v>
      </c>
      <c r="AS115" s="295"/>
      <c r="AT115" s="249"/>
      <c r="AU115" s="249" t="s">
        <v>278</v>
      </c>
      <c r="AV115" s="249"/>
      <c r="AW115" s="267"/>
      <c r="AX115" s="35"/>
      <c r="AY115" s="35"/>
      <c r="AZ115" s="35"/>
      <c r="BA115" s="35"/>
      <c r="BB115" s="35"/>
      <c r="BC115" s="35"/>
      <c r="BD115" s="252"/>
    </row>
    <row r="116" spans="1:81" x14ac:dyDescent="0.25">
      <c r="J116" s="563" t="s">
        <v>338</v>
      </c>
      <c r="K116" s="139">
        <v>0</v>
      </c>
      <c r="L116" s="261">
        <f>(K116/K118)</f>
        <v>0</v>
      </c>
      <c r="M116" s="35"/>
      <c r="N116" s="35"/>
      <c r="O116" s="139">
        <v>0</v>
      </c>
      <c r="P116" s="261">
        <f>(O116/O118)</f>
        <v>0</v>
      </c>
      <c r="Q116" s="16"/>
      <c r="R116" s="35"/>
      <c r="S116" s="35"/>
      <c r="T116" s="372" t="s">
        <v>338</v>
      </c>
      <c r="U116" s="139">
        <v>0</v>
      </c>
      <c r="V116" s="261">
        <f>(U116/U118)</f>
        <v>0</v>
      </c>
      <c r="W116" s="35"/>
      <c r="X116" s="35"/>
      <c r="Y116" s="139">
        <v>0</v>
      </c>
      <c r="Z116" s="261">
        <f>(Y116/Y118)</f>
        <v>0</v>
      </c>
      <c r="AA116" s="16"/>
      <c r="AB116" s="35"/>
      <c r="AC116" s="35"/>
      <c r="AD116" s="372" t="s">
        <v>338</v>
      </c>
      <c r="AE116" s="139">
        <v>0</v>
      </c>
      <c r="AF116" s="261">
        <f>(AE116/AE118)</f>
        <v>0</v>
      </c>
      <c r="AG116" s="35"/>
      <c r="AH116" s="35"/>
      <c r="AI116" s="139">
        <v>0</v>
      </c>
      <c r="AJ116" s="261">
        <f>(AI116/AI118)</f>
        <v>0</v>
      </c>
      <c r="AK116" s="16"/>
      <c r="AL116" s="35"/>
      <c r="AM116" s="35"/>
      <c r="AN116" s="252"/>
      <c r="AR116" s="268"/>
      <c r="AS116" s="35"/>
      <c r="AT116" s="35"/>
      <c r="AU116" s="35"/>
      <c r="AV116" s="35"/>
      <c r="AW116" s="35"/>
      <c r="AX116" s="35"/>
      <c r="AY116" s="35"/>
      <c r="AZ116" s="35"/>
      <c r="BA116" s="35"/>
      <c r="BB116" s="35"/>
      <c r="BC116" s="35"/>
      <c r="BD116" s="252"/>
    </row>
    <row r="117" spans="1:81" ht="15.75" customHeight="1" x14ac:dyDescent="0.25">
      <c r="J117" s="564" t="s">
        <v>344</v>
      </c>
      <c r="K117" s="226">
        <v>0</v>
      </c>
      <c r="L117" s="261">
        <f>(K117/K118)</f>
        <v>0</v>
      </c>
      <c r="M117" s="35"/>
      <c r="N117" s="35"/>
      <c r="O117" s="226">
        <v>0</v>
      </c>
      <c r="P117" s="261">
        <f>(O117/O118)</f>
        <v>0</v>
      </c>
      <c r="Q117" s="16"/>
      <c r="R117" s="35"/>
      <c r="S117" s="35"/>
      <c r="T117" s="375" t="s">
        <v>344</v>
      </c>
      <c r="U117" s="226">
        <v>0</v>
      </c>
      <c r="V117" s="261">
        <f>(U117/U118)</f>
        <v>0</v>
      </c>
      <c r="W117" s="35"/>
      <c r="X117" s="35"/>
      <c r="Y117" s="226">
        <v>0</v>
      </c>
      <c r="Z117" s="261">
        <f>(Y117/Y118)</f>
        <v>0</v>
      </c>
      <c r="AA117" s="16"/>
      <c r="AB117" s="35"/>
      <c r="AC117" s="35"/>
      <c r="AD117" s="375" t="s">
        <v>344</v>
      </c>
      <c r="AE117" s="226">
        <v>0</v>
      </c>
      <c r="AF117" s="261">
        <f>(AE117/AE118)</f>
        <v>0</v>
      </c>
      <c r="AG117" s="35"/>
      <c r="AH117" s="35"/>
      <c r="AI117" s="226">
        <v>0</v>
      </c>
      <c r="AJ117" s="261">
        <f>(AI117/AI118)</f>
        <v>0</v>
      </c>
      <c r="AK117" s="16"/>
      <c r="AL117" s="35"/>
      <c r="AM117" s="35"/>
      <c r="AN117" s="252"/>
      <c r="AR117" s="1172" t="s">
        <v>465</v>
      </c>
      <c r="AS117" s="1173"/>
      <c r="AT117" s="1173"/>
      <c r="AU117" s="1173"/>
      <c r="AV117" s="1173"/>
      <c r="AW117" s="1173"/>
      <c r="AX117" s="1173"/>
      <c r="AY117" s="1173"/>
      <c r="AZ117" s="1173"/>
      <c r="BA117" s="1173"/>
      <c r="BB117" s="1173"/>
      <c r="BC117" s="1173"/>
      <c r="BD117" s="1174"/>
    </row>
    <row r="118" spans="1:81" ht="15.75" customHeight="1" x14ac:dyDescent="0.25">
      <c r="J118" s="563" t="s">
        <v>278</v>
      </c>
      <c r="K118" s="139">
        <f>K113+K114+K115+K116+K117</f>
        <v>0.29000000000000004</v>
      </c>
      <c r="L118" s="139"/>
      <c r="M118" s="35"/>
      <c r="N118" s="35"/>
      <c r="O118" s="139">
        <f>O113+O114+O115+O116+O117</f>
        <v>0.29000000000000004</v>
      </c>
      <c r="P118" s="139"/>
      <c r="Q118" s="16"/>
      <c r="R118" s="35"/>
      <c r="S118" s="35"/>
      <c r="T118" s="372" t="s">
        <v>278</v>
      </c>
      <c r="U118" s="139">
        <f>U113+U114+U115+U116+U117</f>
        <v>0.28800000000000003</v>
      </c>
      <c r="V118" s="139"/>
      <c r="W118" s="35"/>
      <c r="X118" s="35"/>
      <c r="Y118" s="139">
        <f>Y113+Y114+Y115+Y116+Y117</f>
        <v>0.28800000000000003</v>
      </c>
      <c r="Z118" s="139"/>
      <c r="AA118" s="16"/>
      <c r="AB118" s="35"/>
      <c r="AC118" s="35"/>
      <c r="AD118" s="372" t="s">
        <v>278</v>
      </c>
      <c r="AE118" s="139">
        <f>AE113+AE114+AE115+AE116+AE117</f>
        <v>0.26200000000000001</v>
      </c>
      <c r="AF118" s="139"/>
      <c r="AG118" s="35"/>
      <c r="AH118" s="35"/>
      <c r="AI118" s="139">
        <f>AI113+AI114+AI115+AI116+AI117</f>
        <v>0.26200000000000001</v>
      </c>
      <c r="AJ118" s="139"/>
      <c r="AK118" s="16"/>
      <c r="AL118" s="35"/>
      <c r="AM118" s="35"/>
      <c r="AN118" s="252"/>
      <c r="AR118" s="1047" t="s">
        <v>319</v>
      </c>
      <c r="AS118" s="1047"/>
      <c r="AT118" s="1047"/>
      <c r="AU118" s="978" t="s">
        <v>320</v>
      </c>
      <c r="AV118" s="978"/>
      <c r="AW118" s="978"/>
      <c r="AX118" s="35"/>
      <c r="AY118" s="139"/>
      <c r="AZ118" s="139" t="s">
        <v>376</v>
      </c>
      <c r="BA118" s="139" t="s">
        <v>707</v>
      </c>
      <c r="BB118" s="139" t="s">
        <v>708</v>
      </c>
      <c r="BC118" s="139" t="s">
        <v>608</v>
      </c>
      <c r="BD118" s="233" t="s">
        <v>709</v>
      </c>
    </row>
    <row r="119" spans="1:81" ht="15.75" customHeight="1" x14ac:dyDescent="0.25">
      <c r="J119" s="565"/>
      <c r="K119" s="35"/>
      <c r="L119" s="14"/>
      <c r="M119" s="11"/>
      <c r="N119" s="11"/>
      <c r="O119" s="13" t="s">
        <v>336</v>
      </c>
      <c r="P119" s="14"/>
      <c r="Q119" s="14"/>
      <c r="R119" s="35"/>
      <c r="S119" s="35"/>
      <c r="T119" s="13"/>
      <c r="U119" s="35"/>
      <c r="V119" s="14"/>
      <c r="W119" s="11"/>
      <c r="X119" s="11"/>
      <c r="Y119" s="13" t="s">
        <v>336</v>
      </c>
      <c r="Z119" s="14"/>
      <c r="AA119" s="14"/>
      <c r="AB119" s="35"/>
      <c r="AC119" s="35"/>
      <c r="AD119" s="13"/>
      <c r="AE119" s="35"/>
      <c r="AF119" s="14"/>
      <c r="AG119" s="11"/>
      <c r="AH119" s="11"/>
      <c r="AI119" s="13" t="s">
        <v>336</v>
      </c>
      <c r="AJ119" s="14"/>
      <c r="AK119" s="14"/>
      <c r="AL119" s="35"/>
      <c r="AM119" s="35"/>
      <c r="AN119" s="252"/>
      <c r="AR119" s="492" t="s">
        <v>322</v>
      </c>
      <c r="AS119" s="493" t="s">
        <v>323</v>
      </c>
      <c r="AT119" s="493" t="s">
        <v>326</v>
      </c>
      <c r="AU119" s="493"/>
      <c r="AV119" s="493" t="s">
        <v>323</v>
      </c>
      <c r="AW119" s="494" t="s">
        <v>326</v>
      </c>
      <c r="AX119" s="35"/>
      <c r="AY119" s="557" t="s">
        <v>471</v>
      </c>
      <c r="AZ119" s="139">
        <f>AS120*(BJ97*BD49/BJ99)</f>
        <v>0.55586687386436984</v>
      </c>
      <c r="BA119" s="139">
        <f>AS120*(BJ96*BD50/BJ99)</f>
        <v>3.1596643356501017</v>
      </c>
      <c r="BB119" s="139"/>
      <c r="BC119" s="139"/>
      <c r="BD119" s="233"/>
    </row>
    <row r="120" spans="1:81" ht="15.75" customHeight="1" x14ac:dyDescent="0.25">
      <c r="J120" s="268"/>
      <c r="K120" s="35"/>
      <c r="L120" s="35"/>
      <c r="M120" s="13" t="s">
        <v>336</v>
      </c>
      <c r="N120" s="35">
        <f>(O102*C18+P102*C28)-(K102*C17+L102*C26)</f>
        <v>164.53999999999996</v>
      </c>
      <c r="O120" s="35"/>
      <c r="P120" s="35"/>
      <c r="Q120" s="35"/>
      <c r="R120" s="35"/>
      <c r="S120" s="35"/>
      <c r="T120" s="35"/>
      <c r="U120" s="35"/>
      <c r="V120" s="35"/>
      <c r="W120" s="13" t="s">
        <v>336</v>
      </c>
      <c r="X120" s="35">
        <f>(Y102*C19+Z102*C28)-(U102*C15+V102*C26)</f>
        <v>164.24</v>
      </c>
      <c r="Y120" s="35"/>
      <c r="Z120" s="35"/>
      <c r="AA120" s="35"/>
      <c r="AB120" s="35"/>
      <c r="AC120" s="35"/>
      <c r="AD120" s="35"/>
      <c r="AE120" s="35"/>
      <c r="AF120" s="35"/>
      <c r="AG120" s="13" t="s">
        <v>336</v>
      </c>
      <c r="AH120" s="35">
        <f>(AI102*C22+AJ102*C28)-(AE102*C14+AF102*C26)</f>
        <v>171.03999999999996</v>
      </c>
      <c r="AI120" s="35"/>
      <c r="AJ120" s="35"/>
      <c r="AK120" s="35"/>
      <c r="AL120" s="35"/>
      <c r="AM120" s="35"/>
      <c r="AN120" s="252"/>
      <c r="AR120" s="386" t="s">
        <v>471</v>
      </c>
      <c r="AS120" s="498">
        <f>FuelProd3!AE126</f>
        <v>3.7155312095144715</v>
      </c>
      <c r="AT120" s="261">
        <v>7.5507095072360836E-2</v>
      </c>
      <c r="AU120" s="139" t="s">
        <v>328</v>
      </c>
      <c r="AV120" s="139"/>
      <c r="AW120" s="233"/>
      <c r="AX120" s="35"/>
      <c r="AY120" s="557" t="s">
        <v>467</v>
      </c>
      <c r="AZ120" s="139">
        <f>AS121*(BL97*BD49/BL99)</f>
        <v>0.38673332412572953</v>
      </c>
      <c r="BA120" s="139">
        <f>AS121*(BL96*BD50/BL99)</f>
        <v>2.1914888367124674</v>
      </c>
      <c r="BB120" s="139"/>
      <c r="BC120" s="139"/>
      <c r="BD120" s="233"/>
    </row>
    <row r="121" spans="1:81" ht="15.75" customHeight="1" x14ac:dyDescent="0.25">
      <c r="J121" s="268"/>
      <c r="K121" s="35"/>
      <c r="L121" s="35"/>
      <c r="M121" s="35"/>
      <c r="N121" s="35">
        <f>N120*K108</f>
        <v>8388.828455267294</v>
      </c>
      <c r="O121" s="35"/>
      <c r="P121" s="35"/>
      <c r="Q121" s="35"/>
      <c r="R121" s="35"/>
      <c r="S121" s="35"/>
      <c r="T121" s="35"/>
      <c r="U121" s="35"/>
      <c r="V121" s="35"/>
      <c r="W121" s="35"/>
      <c r="X121" s="35">
        <f>X120*U108</f>
        <v>3564.6359021538469</v>
      </c>
      <c r="Y121" s="35"/>
      <c r="Z121" s="35"/>
      <c r="AA121" s="35"/>
      <c r="AB121" s="35"/>
      <c r="AC121" s="35"/>
      <c r="AD121" s="35"/>
      <c r="AE121" s="35"/>
      <c r="AF121" s="35"/>
      <c r="AG121" s="35"/>
      <c r="AH121" s="35">
        <f>AH120*AE108</f>
        <v>949.2306193548385</v>
      </c>
      <c r="AI121" s="35"/>
      <c r="AJ121" s="35"/>
      <c r="AK121" s="35"/>
      <c r="AL121" s="35"/>
      <c r="AM121" s="35"/>
      <c r="AN121" s="252"/>
      <c r="AR121" s="386" t="s">
        <v>467</v>
      </c>
      <c r="AS121" s="225">
        <f t="shared" ref="AS121:AS132" si="14">AE127</f>
        <v>2.5782221608381968</v>
      </c>
      <c r="AT121" s="261">
        <v>0.14268550359870005</v>
      </c>
      <c r="AU121" s="139" t="s">
        <v>333</v>
      </c>
      <c r="AV121" s="139"/>
      <c r="AW121" s="233"/>
      <c r="AX121" s="35"/>
      <c r="AY121" s="557" t="s">
        <v>476</v>
      </c>
      <c r="AZ121" s="139">
        <f>AS122*(BM97*BD49/BM99)</f>
        <v>1.9031527650866169E-2</v>
      </c>
      <c r="BA121" s="139">
        <f>AS122*(BM96*BD50/BM99)</f>
        <v>0.10747215614606777</v>
      </c>
      <c r="BB121" s="139"/>
      <c r="BC121" s="139"/>
      <c r="BD121" s="233"/>
    </row>
    <row r="122" spans="1:81" ht="15.75" customHeight="1" x14ac:dyDescent="0.25">
      <c r="J122" s="268"/>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252"/>
      <c r="AR122" s="386" t="s">
        <v>476</v>
      </c>
      <c r="AS122" s="225">
        <f t="shared" si="14"/>
        <v>0.12650368379693394</v>
      </c>
      <c r="AT122" s="261">
        <v>4.5791346427070313E-2</v>
      </c>
      <c r="AU122" s="139" t="s">
        <v>338</v>
      </c>
      <c r="AV122" s="139"/>
      <c r="AW122" s="233"/>
      <c r="AX122" s="35"/>
      <c r="AY122" s="557" t="s">
        <v>474</v>
      </c>
      <c r="AZ122" s="139">
        <f>AS123*(BN97*BD49/BN99)</f>
        <v>0.4221622365949611</v>
      </c>
      <c r="BA122" s="139">
        <f>AS123*(BN96*BD50/BN99)</f>
        <v>2.3746625808466564</v>
      </c>
      <c r="BB122" s="139"/>
      <c r="BC122" s="139"/>
      <c r="BD122" s="233"/>
    </row>
    <row r="123" spans="1:81" x14ac:dyDescent="0.25">
      <c r="J123" s="268"/>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252"/>
      <c r="AR123" s="386" t="s">
        <v>474</v>
      </c>
      <c r="AS123" s="225">
        <f t="shared" si="14"/>
        <v>2.7968248174416175</v>
      </c>
      <c r="AT123" s="261">
        <v>5.0600023743000475E-2</v>
      </c>
      <c r="AU123" s="139" t="s">
        <v>342</v>
      </c>
      <c r="AV123" s="139"/>
      <c r="AW123" s="233"/>
      <c r="AX123" s="35"/>
      <c r="AY123" s="557" t="s">
        <v>512</v>
      </c>
      <c r="AZ123" s="139">
        <f>AS124*(BO97*BD49/BO99)</f>
        <v>0.83108707787570357</v>
      </c>
      <c r="BA123" s="139">
        <f>AS124*(BO96*BD50/BO99)</f>
        <v>4.6540876361039398</v>
      </c>
      <c r="BB123" s="139"/>
      <c r="BC123" s="139"/>
      <c r="BD123" s="233"/>
    </row>
    <row r="124" spans="1:81" ht="15.75" thickBot="1" x14ac:dyDescent="0.3">
      <c r="J124" s="268"/>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252"/>
      <c r="AR124" s="386" t="s">
        <v>512</v>
      </c>
      <c r="AS124" s="225">
        <f t="shared" si="14"/>
        <v>5.4851747139796432</v>
      </c>
      <c r="AT124" s="242">
        <v>4.0302654137170234E-2</v>
      </c>
      <c r="AU124" s="226" t="s">
        <v>344</v>
      </c>
      <c r="AV124" s="226"/>
      <c r="AW124" s="243"/>
      <c r="AX124" s="35"/>
      <c r="AY124" s="557" t="s">
        <v>513</v>
      </c>
      <c r="AZ124" s="139">
        <f>AS125*(BP97*BD49/BP99)</f>
        <v>1.0726528022929271</v>
      </c>
      <c r="BA124" s="139">
        <f>AS125*(BP96*BD50/BP99)</f>
        <v>5.9762084699177374</v>
      </c>
      <c r="BB124" s="139"/>
      <c r="BC124" s="139"/>
      <c r="BD124" s="233"/>
    </row>
    <row r="125" spans="1:81" ht="15.75" thickBot="1" x14ac:dyDescent="0.3">
      <c r="J125" s="257"/>
      <c r="K125" s="245"/>
      <c r="L125" s="1167" t="s">
        <v>775</v>
      </c>
      <c r="M125" s="1167"/>
      <c r="N125" s="1167" t="s">
        <v>776</v>
      </c>
      <c r="O125" s="1167"/>
      <c r="P125" s="35"/>
      <c r="Q125" s="865" t="s">
        <v>775</v>
      </c>
      <c r="R125" s="865"/>
      <c r="S125" s="865"/>
      <c r="T125" s="865"/>
      <c r="U125" s="865" t="s">
        <v>779</v>
      </c>
      <c r="V125" s="865"/>
      <c r="W125" s="35"/>
      <c r="X125" s="865" t="s">
        <v>780</v>
      </c>
      <c r="Y125" s="865"/>
      <c r="Z125" s="865"/>
      <c r="AA125" s="865"/>
      <c r="AB125" s="865" t="s">
        <v>779</v>
      </c>
      <c r="AC125" s="865"/>
      <c r="AD125" s="552" t="s">
        <v>1033</v>
      </c>
      <c r="AE125" s="264" t="s">
        <v>781</v>
      </c>
      <c r="AF125" s="35"/>
      <c r="AG125" s="35"/>
      <c r="AH125" s="35"/>
      <c r="AI125" s="35"/>
      <c r="AJ125" s="35"/>
      <c r="AK125" s="35"/>
      <c r="AL125" s="35"/>
      <c r="AM125" s="35"/>
      <c r="AN125" s="252"/>
      <c r="AR125" s="386" t="s">
        <v>513</v>
      </c>
      <c r="AS125" s="225">
        <f t="shared" si="14"/>
        <v>7.0488612722106643</v>
      </c>
      <c r="AT125" s="242">
        <v>4.0302654137170234E-2</v>
      </c>
      <c r="AU125" s="226"/>
      <c r="AV125" s="226"/>
      <c r="AW125" s="243" t="s">
        <v>173</v>
      </c>
      <c r="AX125" s="35"/>
      <c r="AY125" s="557" t="s">
        <v>515</v>
      </c>
      <c r="AZ125" s="139">
        <f>AS126*(BQ97*BD49/BQ99)</f>
        <v>1.3694811816555041</v>
      </c>
      <c r="BA125" s="139">
        <f>AS126*(BQ96*BD50/BQ99)</f>
        <v>7.5848188522458679</v>
      </c>
      <c r="BB125" s="139"/>
      <c r="BC125" s="139"/>
      <c r="BD125" s="233"/>
    </row>
    <row r="126" spans="1:81" ht="15.75" thickBot="1" x14ac:dyDescent="0.3">
      <c r="J126" s="1081" t="s">
        <v>777</v>
      </c>
      <c r="K126" s="1081"/>
      <c r="L126" s="1168" t="s">
        <v>323</v>
      </c>
      <c r="M126" s="1169" t="s">
        <v>778</v>
      </c>
      <c r="N126" s="1170" t="s">
        <v>323</v>
      </c>
      <c r="O126" s="1171" t="s">
        <v>778</v>
      </c>
      <c r="P126" s="35"/>
      <c r="Q126" s="264" t="s">
        <v>782</v>
      </c>
      <c r="R126" s="264" t="s">
        <v>783</v>
      </c>
      <c r="S126" s="264" t="s">
        <v>784</v>
      </c>
      <c r="T126" s="264" t="s">
        <v>785</v>
      </c>
      <c r="U126" s="257" t="s">
        <v>786</v>
      </c>
      <c r="V126" s="399">
        <f>T127</f>
        <v>6.1397258701131996</v>
      </c>
      <c r="W126" s="35"/>
      <c r="X126" s="264" t="s">
        <v>782</v>
      </c>
      <c r="Y126" s="264" t="s">
        <v>783</v>
      </c>
      <c r="Z126" s="264" t="s">
        <v>784</v>
      </c>
      <c r="AA126" s="264" t="s">
        <v>785</v>
      </c>
      <c r="AB126" s="405" t="s">
        <v>786</v>
      </c>
      <c r="AC126" s="399">
        <f>AA127</f>
        <v>3.6838355220679198</v>
      </c>
      <c r="AD126" s="403">
        <f>AC126/AC142</f>
        <v>4.4231315053996655E-2</v>
      </c>
      <c r="AE126" s="399">
        <f>AC126+M173*AD126</f>
        <v>3.7155312095144715</v>
      </c>
      <c r="AF126" s="35"/>
      <c r="AG126" s="35"/>
      <c r="AH126" s="35"/>
      <c r="AI126" s="35"/>
      <c r="AJ126" s="35"/>
      <c r="AK126" s="35"/>
      <c r="AL126" s="35"/>
      <c r="AM126" s="35"/>
      <c r="AN126" s="252"/>
      <c r="AR126" s="386" t="s">
        <v>515</v>
      </c>
      <c r="AS126" s="225">
        <f t="shared" si="14"/>
        <v>8.9543000339013723</v>
      </c>
      <c r="AT126" s="242">
        <v>8.0605308274340468E-2</v>
      </c>
      <c r="AU126" s="226"/>
      <c r="AV126" s="226"/>
      <c r="AW126" s="243" t="s">
        <v>173</v>
      </c>
      <c r="AX126" s="35"/>
      <c r="AY126" s="557" t="s">
        <v>517</v>
      </c>
      <c r="AZ126" s="139">
        <f>AS127*(BR97*BD49/BR99)</f>
        <v>1.521793076293654</v>
      </c>
      <c r="BA126" s="139">
        <f>AS127*(BR96*BD50/BR99)</f>
        <v>8.3698619196150954</v>
      </c>
      <c r="BB126" s="139"/>
      <c r="BC126" s="139"/>
      <c r="BD126" s="233"/>
    </row>
    <row r="127" spans="1:81" ht="15.75" thickBot="1" x14ac:dyDescent="0.3">
      <c r="A127" s="865" t="s">
        <v>780</v>
      </c>
      <c r="B127" s="865"/>
      <c r="C127" s="865"/>
      <c r="D127" s="865"/>
      <c r="E127" s="865" t="s">
        <v>779</v>
      </c>
      <c r="F127" s="865"/>
      <c r="G127" s="552" t="s">
        <v>1033</v>
      </c>
      <c r="H127" s="264" t="s">
        <v>781</v>
      </c>
      <c r="J127" s="1081"/>
      <c r="K127" s="1081"/>
      <c r="L127" s="1168"/>
      <c r="M127" s="1169"/>
      <c r="N127" s="1170"/>
      <c r="O127" s="1171"/>
      <c r="P127" s="35"/>
      <c r="Q127" s="405" t="s">
        <v>786</v>
      </c>
      <c r="R127" s="405" t="s">
        <v>786</v>
      </c>
      <c r="S127" s="406">
        <v>0.33333333333333331</v>
      </c>
      <c r="T127" s="399">
        <f>Q128*S127</f>
        <v>6.1397258701131996</v>
      </c>
      <c r="U127" s="268" t="s">
        <v>787</v>
      </c>
      <c r="V127" s="407">
        <f>T130</f>
        <v>14.201268860526287</v>
      </c>
      <c r="W127" s="35"/>
      <c r="X127" s="405" t="s">
        <v>786</v>
      </c>
      <c r="Y127" s="405" t="s">
        <v>786</v>
      </c>
      <c r="Z127" s="405">
        <v>0.2</v>
      </c>
      <c r="AA127" s="399">
        <f>X128*Z127</f>
        <v>3.6838355220679198</v>
      </c>
      <c r="AB127" s="410" t="s">
        <v>787</v>
      </c>
      <c r="AC127" s="407">
        <f>AA132</f>
        <v>2.556228394894732</v>
      </c>
      <c r="AD127" s="551">
        <f>AC127/AC142</f>
        <v>3.0692288732014798E-2</v>
      </c>
      <c r="AE127" s="407">
        <f>AC127+AD127*M173</f>
        <v>2.5782221608381968</v>
      </c>
      <c r="AF127" s="35"/>
      <c r="AG127" s="35"/>
      <c r="AH127" s="35"/>
      <c r="AI127" s="35"/>
      <c r="AJ127" s="35"/>
      <c r="AK127" s="35"/>
      <c r="AL127" s="35"/>
      <c r="AM127" s="35"/>
      <c r="AN127" s="252"/>
      <c r="AR127" s="386" t="s">
        <v>517</v>
      </c>
      <c r="AS127" s="225">
        <f t="shared" si="14"/>
        <v>9.8916549959087501</v>
      </c>
      <c r="AT127" s="242">
        <v>9.246923085072796E-2</v>
      </c>
      <c r="AU127" s="226"/>
      <c r="AV127" s="226"/>
      <c r="AW127" s="243" t="s">
        <v>173</v>
      </c>
      <c r="AX127" s="35"/>
      <c r="AY127" s="557" t="s">
        <v>518</v>
      </c>
      <c r="AZ127" s="139">
        <f>AS128*(BS97*BD49/BS99)</f>
        <v>1.2792126229940277</v>
      </c>
      <c r="BA127" s="139">
        <f>AS128*(BS96*BD50/BS99)</f>
        <v>6.9775233981492422</v>
      </c>
      <c r="BB127" s="139"/>
      <c r="BC127" s="139"/>
      <c r="BD127" s="233"/>
    </row>
    <row r="128" spans="1:81" ht="15.75" thickBot="1" x14ac:dyDescent="0.3">
      <c r="A128" s="264" t="s">
        <v>782</v>
      </c>
      <c r="B128" s="264" t="s">
        <v>783</v>
      </c>
      <c r="C128" s="264" t="s">
        <v>784</v>
      </c>
      <c r="D128" s="264" t="s">
        <v>785</v>
      </c>
      <c r="E128" s="405" t="s">
        <v>786</v>
      </c>
      <c r="F128" s="399">
        <f>D129</f>
        <v>0.36838355220679198</v>
      </c>
      <c r="G128" s="403">
        <f>F128/F144</f>
        <v>4.3783377697346713E-3</v>
      </c>
      <c r="H128" s="399">
        <f>F128+H170*G128</f>
        <v>0.37158227166522906</v>
      </c>
      <c r="J128" s="401" t="s">
        <v>471</v>
      </c>
      <c r="K128" s="245" t="s">
        <v>786</v>
      </c>
      <c r="L128" s="402">
        <f>(1/3)*(O147)</f>
        <v>6.1397258701131996</v>
      </c>
      <c r="M128" s="403">
        <f>L128/L141</f>
        <v>7.3473168993353891E-2</v>
      </c>
      <c r="N128" s="404">
        <f>1/3*L128</f>
        <v>2.0465752900377332</v>
      </c>
      <c r="O128" s="400">
        <f>N128/N141</f>
        <v>2.449105633111796E-2</v>
      </c>
      <c r="P128" s="35"/>
      <c r="Q128" s="407">
        <f>O147</f>
        <v>18.419177610339599</v>
      </c>
      <c r="R128" s="410" t="s">
        <v>788</v>
      </c>
      <c r="S128" s="1163">
        <v>0.66666666666666663</v>
      </c>
      <c r="T128" s="407">
        <f>Q128*S128*10/18</f>
        <v>6.821917633459111</v>
      </c>
      <c r="U128" s="268" t="s">
        <v>789</v>
      </c>
      <c r="V128" s="407">
        <f>T135+T145+(1/22)*-K146</f>
        <v>3.4520647916612153</v>
      </c>
      <c r="W128" s="35"/>
      <c r="X128" s="407">
        <f>O147</f>
        <v>18.419177610339599</v>
      </c>
      <c r="Y128" s="410" t="s">
        <v>788</v>
      </c>
      <c r="Z128" s="1151">
        <v>0.8</v>
      </c>
      <c r="AA128" s="407">
        <f>X128*Z128*10/18</f>
        <v>8.1863011601509328</v>
      </c>
      <c r="AB128" s="410" t="s">
        <v>789</v>
      </c>
      <c r="AC128" s="407">
        <f>AA143+AA159</f>
        <v>0.12542453225806449</v>
      </c>
      <c r="AD128" s="551">
        <f>AC128/AC142</f>
        <v>1.5059554012586377E-3</v>
      </c>
      <c r="AE128" s="407">
        <f>AC128+M173*AD128</f>
        <v>0.12650368379693394</v>
      </c>
      <c r="AF128" s="35"/>
      <c r="AG128" s="35"/>
      <c r="AH128" s="35"/>
      <c r="AI128" s="35"/>
      <c r="AJ128" s="35"/>
      <c r="AK128" s="35"/>
      <c r="AL128" s="35"/>
      <c r="AM128" s="35"/>
      <c r="AN128" s="252"/>
      <c r="AR128" s="386" t="s">
        <v>518</v>
      </c>
      <c r="AS128" s="225">
        <f t="shared" si="14"/>
        <v>8.2567360211432703</v>
      </c>
      <c r="AT128" s="242">
        <v>0.16825937175068345</v>
      </c>
      <c r="AU128" s="226"/>
      <c r="AV128" s="226"/>
      <c r="AW128" s="243" t="s">
        <v>173</v>
      </c>
      <c r="AX128" s="35"/>
      <c r="AY128" s="557" t="s">
        <v>519</v>
      </c>
      <c r="AZ128" s="139">
        <f>AS129*(BT97*BD49/BT99)</f>
        <v>1.0991904968422688</v>
      </c>
      <c r="BA128" s="139">
        <f>AS129*(BT96*BD50/BT99)</f>
        <v>5.9356286829482521</v>
      </c>
      <c r="BB128" s="139"/>
      <c r="BC128" s="139"/>
      <c r="BD128" s="233"/>
    </row>
    <row r="129" spans="1:68" ht="15.75" thickBot="1" x14ac:dyDescent="0.3">
      <c r="A129" s="405" t="s">
        <v>786</v>
      </c>
      <c r="B129" s="405" t="s">
        <v>786</v>
      </c>
      <c r="C129" s="405">
        <v>0.02</v>
      </c>
      <c r="D129" s="399">
        <f>A130*C129</f>
        <v>0.36838355220679198</v>
      </c>
      <c r="E129" s="410" t="s">
        <v>787</v>
      </c>
      <c r="F129" s="407">
        <f>D134</f>
        <v>2.1301903290789435</v>
      </c>
      <c r="G129" s="551">
        <f>F129/F144</f>
        <v>2.5317885987739028E-2</v>
      </c>
      <c r="H129" s="407">
        <f>F129+G129*H170</f>
        <v>2.1486870323518801</v>
      </c>
      <c r="J129" s="232" t="s">
        <v>467</v>
      </c>
      <c r="K129" s="35" t="s">
        <v>787</v>
      </c>
      <c r="L129" s="282">
        <f>(1/3)*(O148)</f>
        <v>14.201268860526287</v>
      </c>
      <c r="M129" s="551">
        <f>L129/L141</f>
        <v>0.1699444322080563</v>
      </c>
      <c r="N129" s="409">
        <f>1/3*L129</f>
        <v>4.7337562868420955</v>
      </c>
      <c r="O129" s="408">
        <f>N129/N141</f>
        <v>5.6648144069352091E-2</v>
      </c>
      <c r="P129" s="35"/>
      <c r="Q129" s="360"/>
      <c r="R129" s="360" t="s">
        <v>790</v>
      </c>
      <c r="S129" s="1163"/>
      <c r="T129" s="411">
        <f>Q128*S128*8/18</f>
        <v>5.4575341067672882</v>
      </c>
      <c r="U129" s="268" t="s">
        <v>791</v>
      </c>
      <c r="V129" s="407">
        <f>T138+T144+(1/22)*-K146</f>
        <v>3.9941549529515381</v>
      </c>
      <c r="W129" s="35"/>
      <c r="X129" s="360"/>
      <c r="Y129" s="360" t="s">
        <v>790</v>
      </c>
      <c r="Z129" s="1151"/>
      <c r="AA129" s="411">
        <f>X128*Z128*8/18</f>
        <v>6.5490409281207462</v>
      </c>
      <c r="AB129" s="410" t="s">
        <v>791</v>
      </c>
      <c r="AC129" s="407">
        <f>AA146+AA158</f>
        <v>2.7729662410341884</v>
      </c>
      <c r="AD129" s="551">
        <f>AC129/AC142</f>
        <v>3.3294630747365557E-2</v>
      </c>
      <c r="AE129" s="407">
        <f>AC129+AD129*M173</f>
        <v>2.7968248174416175</v>
      </c>
      <c r="AF129" s="35"/>
      <c r="AG129" s="35"/>
      <c r="AH129" s="35"/>
      <c r="AI129" s="35"/>
      <c r="AJ129" s="35"/>
      <c r="AK129" s="35"/>
      <c r="AL129" s="35"/>
      <c r="AM129" s="35"/>
      <c r="AN129" s="252"/>
      <c r="AR129" s="386" t="s">
        <v>519</v>
      </c>
      <c r="AS129" s="225">
        <f t="shared" si="14"/>
        <v>7.0348191797905208</v>
      </c>
      <c r="AT129" s="242">
        <v>1.9104889382939704E-2</v>
      </c>
      <c r="AU129" s="226"/>
      <c r="AV129" s="226"/>
      <c r="AW129" s="243" t="s">
        <v>173</v>
      </c>
      <c r="AX129" s="35"/>
      <c r="AY129" s="557" t="s">
        <v>520</v>
      </c>
      <c r="AZ129" s="139">
        <f>AS130*(BU97*BD49/BU99)</f>
        <v>1.6383511271233073</v>
      </c>
      <c r="BA129" s="139">
        <f>AS130*(BU96*BD50/BU99)</f>
        <v>8.737872677990973</v>
      </c>
      <c r="BB129" s="139"/>
      <c r="BC129" s="139"/>
      <c r="BD129" s="233"/>
    </row>
    <row r="130" spans="1:68" x14ac:dyDescent="0.25">
      <c r="A130" s="407">
        <f>X128</f>
        <v>18.419177610339599</v>
      </c>
      <c r="B130" s="410" t="s">
        <v>799</v>
      </c>
      <c r="C130" s="1151">
        <v>0.98</v>
      </c>
      <c r="D130" s="407">
        <f>A130*C130*10/18</f>
        <v>10.028218921184893</v>
      </c>
      <c r="E130" s="410" t="s">
        <v>789</v>
      </c>
      <c r="F130" s="407">
        <f>D145+D161</f>
        <v>0</v>
      </c>
      <c r="G130" s="551">
        <f>F130/F144</f>
        <v>0</v>
      </c>
      <c r="H130" s="407">
        <f>F130+H170*G130</f>
        <v>0</v>
      </c>
      <c r="J130" s="232" t="s">
        <v>476</v>
      </c>
      <c r="K130" s="35" t="s">
        <v>789</v>
      </c>
      <c r="L130" s="282">
        <f>(1/3)*M149+(1/6)*M151+(1/22)*-K146</f>
        <v>3.4520647916612153</v>
      </c>
      <c r="M130" s="551">
        <f>L130/L141</f>
        <v>4.131033619080051E-2</v>
      </c>
      <c r="N130" s="409">
        <f t="shared" ref="N130:N140" si="15">AM151</f>
        <v>0.15563695858841012</v>
      </c>
      <c r="O130" s="408">
        <f>N130/N141</f>
        <v>1.8624838961689742E-3</v>
      </c>
      <c r="P130" s="35"/>
      <c r="Q130" s="405" t="s">
        <v>787</v>
      </c>
      <c r="R130" s="405" t="s">
        <v>787</v>
      </c>
      <c r="S130" s="412">
        <v>0.33333333333333331</v>
      </c>
      <c r="T130" s="399">
        <f>Q131*S130</f>
        <v>14.201268860526287</v>
      </c>
      <c r="U130" s="268" t="s">
        <v>792</v>
      </c>
      <c r="V130" s="407">
        <f>T143+(1/22)*-K146</f>
        <v>3.033983017467667</v>
      </c>
      <c r="W130" s="35"/>
      <c r="X130" s="405" t="s">
        <v>790</v>
      </c>
      <c r="Y130" s="410" t="s">
        <v>790</v>
      </c>
      <c r="Z130" s="35">
        <v>0.5</v>
      </c>
      <c r="AA130" s="407">
        <f>AA129*Z130</f>
        <v>3.2745204640603731</v>
      </c>
      <c r="AB130" s="410" t="s">
        <v>792</v>
      </c>
      <c r="AC130" s="407">
        <f>AA157</f>
        <v>5.4383829166509523</v>
      </c>
      <c r="AD130" s="551">
        <f>AC130/AC142</f>
        <v>6.5297928403608693E-2</v>
      </c>
      <c r="AE130" s="407">
        <f>AC130+M173*AD130</f>
        <v>5.4851747139796432</v>
      </c>
      <c r="AF130" s="35"/>
      <c r="AG130" s="35"/>
      <c r="AH130" s="35"/>
      <c r="AI130" s="35"/>
      <c r="AJ130" s="35"/>
      <c r="AK130" s="35"/>
      <c r="AL130" s="35"/>
      <c r="AM130" s="35"/>
      <c r="AN130" s="252"/>
      <c r="AR130" s="386" t="s">
        <v>520</v>
      </c>
      <c r="AS130" s="225">
        <f t="shared" si="14"/>
        <v>10.376223805114281</v>
      </c>
      <c r="AT130" s="242">
        <v>6.7404051357001421E-2</v>
      </c>
      <c r="AU130" s="226"/>
      <c r="AV130" s="226"/>
      <c r="AW130" s="243" t="s">
        <v>173</v>
      </c>
      <c r="AX130" s="35"/>
      <c r="AY130" s="557" t="s">
        <v>521</v>
      </c>
      <c r="AZ130" s="139">
        <f>AS131*(BV97*BD49/BV99)</f>
        <v>0.51851129791043993</v>
      </c>
      <c r="BA130" s="139">
        <f>AS131*(BV96*BD50/BV99)</f>
        <v>2.7221843140298092</v>
      </c>
      <c r="BB130" s="139"/>
      <c r="BC130" s="139"/>
      <c r="BD130" s="233"/>
    </row>
    <row r="131" spans="1:68" ht="15.75" thickBot="1" x14ac:dyDescent="0.3">
      <c r="A131" s="360"/>
      <c r="B131" s="360" t="s">
        <v>799</v>
      </c>
      <c r="C131" s="1151"/>
      <c r="D131" s="411">
        <f>A130*C130*8/18</f>
        <v>8.0225751369479141</v>
      </c>
      <c r="E131" s="410" t="s">
        <v>791</v>
      </c>
      <c r="F131" s="407">
        <f>D148+D160</f>
        <v>6.5061044175522484</v>
      </c>
      <c r="G131" s="551">
        <f>F131/F144</f>
        <v>7.7326803910116051E-2</v>
      </c>
      <c r="H131" s="407">
        <f>F131+G131*H170</f>
        <v>6.5625977182829107</v>
      </c>
      <c r="J131" s="232" t="s">
        <v>474</v>
      </c>
      <c r="K131" s="35" t="s">
        <v>791</v>
      </c>
      <c r="L131" s="282">
        <f>(1/3)*O150+(1/6)*M151+(1/22)*-K146</f>
        <v>3.9941549529515381</v>
      </c>
      <c r="M131" s="551">
        <f>L131/L141</f>
        <v>4.7797446995534863E-2</v>
      </c>
      <c r="N131" s="409">
        <f t="shared" si="15"/>
        <v>6.2254783435364045</v>
      </c>
      <c r="O131" s="408">
        <f>N131/N141</f>
        <v>7.4499355846758958E-2</v>
      </c>
      <c r="P131" s="35"/>
      <c r="Q131" s="407">
        <f>O148</f>
        <v>42.603806581578866</v>
      </c>
      <c r="R131" s="410" t="s">
        <v>793</v>
      </c>
      <c r="S131" s="1163">
        <v>0.33333333333333331</v>
      </c>
      <c r="T131" s="407">
        <f>Q131*S131*11/17</f>
        <v>9.1890563215170094</v>
      </c>
      <c r="U131" s="268" t="s">
        <v>794</v>
      </c>
      <c r="V131" s="407">
        <f>T142+(1/22)*-K146</f>
        <v>3.033983017467667</v>
      </c>
      <c r="W131" s="35"/>
      <c r="X131" s="360"/>
      <c r="Y131" s="410" t="s">
        <v>795</v>
      </c>
      <c r="Z131" s="35">
        <v>0.5</v>
      </c>
      <c r="AA131" s="411">
        <f>Z131*AA129</f>
        <v>3.2745204640603731</v>
      </c>
      <c r="AB131" s="410" t="s">
        <v>794</v>
      </c>
      <c r="AC131" s="407">
        <f>AA156+AA139</f>
        <v>6.9887303000455061</v>
      </c>
      <c r="AD131" s="551">
        <f>AC131/AC142</f>
        <v>8.3912739826994376E-2</v>
      </c>
      <c r="AE131" s="407">
        <f>AC131+AD131*M173</f>
        <v>7.0488612722106643</v>
      </c>
      <c r="AF131" s="35"/>
      <c r="AG131" s="35"/>
      <c r="AH131" s="35"/>
      <c r="AI131" s="35"/>
      <c r="AJ131" s="35"/>
      <c r="AK131" s="35"/>
      <c r="AL131" s="35"/>
      <c r="AM131" s="35"/>
      <c r="AN131" s="252"/>
      <c r="AR131" s="393" t="s">
        <v>521</v>
      </c>
      <c r="AS131" s="286">
        <f t="shared" si="14"/>
        <v>3.2406956119402492</v>
      </c>
      <c r="AT131" s="242">
        <v>6.3985410449011085E-2</v>
      </c>
      <c r="AU131" s="226"/>
      <c r="AV131" s="226"/>
      <c r="AW131" s="243"/>
      <c r="AX131" s="35"/>
      <c r="AY131" s="557" t="s">
        <v>522</v>
      </c>
      <c r="AZ131" s="139">
        <f>AS132*(BW97*BD49/BW99)</f>
        <v>1.0281266303662389</v>
      </c>
      <c r="BA131" s="139">
        <f>AS132*(BW96*BD50/BW99)</f>
        <v>5.287508384740657</v>
      </c>
      <c r="BB131" s="139"/>
      <c r="BC131" s="139"/>
      <c r="BD131" s="233"/>
    </row>
    <row r="132" spans="1:68" ht="15.75" thickBot="1" x14ac:dyDescent="0.3">
      <c r="A132" s="405" t="s">
        <v>790</v>
      </c>
      <c r="B132" s="410" t="s">
        <v>790</v>
      </c>
      <c r="C132" s="35">
        <v>0.5</v>
      </c>
      <c r="D132" s="407">
        <v>0</v>
      </c>
      <c r="E132" s="410" t="s">
        <v>792</v>
      </c>
      <c r="F132" s="407">
        <f>D159</f>
        <v>3.625588611100635</v>
      </c>
      <c r="G132" s="551">
        <f>F132/F144</f>
        <v>4.309109746732364E-2</v>
      </c>
      <c r="H132" s="407">
        <f>F132+H170*G132</f>
        <v>3.6570700406301091</v>
      </c>
      <c r="J132" s="232" t="s">
        <v>512</v>
      </c>
      <c r="K132" s="35" t="s">
        <v>792</v>
      </c>
      <c r="L132" s="282">
        <f>(1/6)*M151+(1/22)*-K146</f>
        <v>3.033983017467667</v>
      </c>
      <c r="M132" s="551">
        <f>L132/L141</f>
        <v>3.6307214960601769E-2</v>
      </c>
      <c r="N132" s="409">
        <f t="shared" si="15"/>
        <v>7.7818479294205058</v>
      </c>
      <c r="O132" s="408">
        <f>N132/N141</f>
        <v>9.3124194808448704E-2</v>
      </c>
      <c r="P132" s="35"/>
      <c r="Q132" s="410"/>
      <c r="R132" s="410" t="s">
        <v>796</v>
      </c>
      <c r="S132" s="1163"/>
      <c r="T132" s="407">
        <f>Q131*S131*6/17</f>
        <v>5.012212539009278</v>
      </c>
      <c r="U132" s="268" t="s">
        <v>797</v>
      </c>
      <c r="V132" s="407">
        <f>T141+(2/22)*-K146</f>
        <v>6.0679660349353339</v>
      </c>
      <c r="W132" s="35"/>
      <c r="X132" s="405" t="s">
        <v>787</v>
      </c>
      <c r="Y132" s="405" t="s">
        <v>787</v>
      </c>
      <c r="Z132" s="413">
        <v>0.06</v>
      </c>
      <c r="AA132" s="399">
        <f>X133*Z132</f>
        <v>2.556228394894732</v>
      </c>
      <c r="AB132" s="410" t="s">
        <v>797</v>
      </c>
      <c r="AC132" s="407">
        <f>AA155+AA141</f>
        <v>8.8779145376766557</v>
      </c>
      <c r="AD132" s="551">
        <f>AC132/AC142</f>
        <v>0.10659591954800453</v>
      </c>
      <c r="AE132" s="407">
        <f>AC132+M173*AD132</f>
        <v>8.9543000339013723</v>
      </c>
      <c r="AF132" s="35"/>
      <c r="AG132" s="35"/>
      <c r="AH132" s="35"/>
      <c r="AI132" s="35"/>
      <c r="AJ132" s="35"/>
      <c r="AK132" s="35"/>
      <c r="AL132" s="35"/>
      <c r="AM132" s="35"/>
      <c r="AN132" s="252"/>
      <c r="AR132" s="393" t="s">
        <v>522</v>
      </c>
      <c r="AS132" s="286">
        <f t="shared" si="14"/>
        <v>6.3156350151068956</v>
      </c>
      <c r="AT132" s="242">
        <v>5.9027435462442122E-2</v>
      </c>
      <c r="AU132" s="226"/>
      <c r="AV132" s="226"/>
      <c r="AW132" s="243"/>
      <c r="AX132" s="35"/>
      <c r="AY132" s="558" t="s">
        <v>376</v>
      </c>
      <c r="AZ132" s="225">
        <f>AS133</f>
        <v>4.7239468205838842</v>
      </c>
      <c r="BA132" s="139">
        <v>0</v>
      </c>
      <c r="BB132" s="139"/>
      <c r="BC132" s="139"/>
      <c r="BD132" s="233"/>
    </row>
    <row r="133" spans="1:68" ht="15.75" thickBot="1" x14ac:dyDescent="0.3">
      <c r="A133" s="360"/>
      <c r="B133" s="410" t="s">
        <v>795</v>
      </c>
      <c r="C133" s="35">
        <v>0.5</v>
      </c>
      <c r="D133" s="411">
        <v>0</v>
      </c>
      <c r="E133" s="410" t="s">
        <v>794</v>
      </c>
      <c r="F133" s="407">
        <f>D158+D141</f>
        <v>11.770433986990714</v>
      </c>
      <c r="G133" s="551">
        <f>F133/F144</f>
        <v>0.13989477918514934</v>
      </c>
      <c r="H133" s="407">
        <f>F133+G133*H170</f>
        <v>11.872638105504945</v>
      </c>
      <c r="J133" s="232" t="s">
        <v>513</v>
      </c>
      <c r="K133" s="35" t="s">
        <v>794</v>
      </c>
      <c r="L133" s="282">
        <f>(1/6)*M151+(1/22)*-K146</f>
        <v>3.033983017467667</v>
      </c>
      <c r="M133" s="551">
        <f>L133/L141</f>
        <v>3.6307214960601769E-2</v>
      </c>
      <c r="N133" s="409">
        <f t="shared" si="15"/>
        <v>8.0931218465973256</v>
      </c>
      <c r="O133" s="408">
        <f>N133/N141</f>
        <v>9.6849162600786645E-2</v>
      </c>
      <c r="P133" s="35"/>
      <c r="Q133" s="410"/>
      <c r="R133" s="410" t="s">
        <v>798</v>
      </c>
      <c r="S133" s="1163">
        <v>0.33333333333333331</v>
      </c>
      <c r="T133" s="407">
        <f>Q131*S133*7/17</f>
        <v>5.8475812955108246</v>
      </c>
      <c r="U133" s="268" t="s">
        <v>793</v>
      </c>
      <c r="V133" s="407">
        <f>T131+(1/22)*-K146</f>
        <v>9.2017154964008139</v>
      </c>
      <c r="W133" s="35"/>
      <c r="X133" s="407">
        <f>O148</f>
        <v>42.603806581578866</v>
      </c>
      <c r="Y133" s="410" t="s">
        <v>793</v>
      </c>
      <c r="Z133" s="1152">
        <v>0.28999999999999998</v>
      </c>
      <c r="AA133" s="407">
        <f>X133*Z133*11/17</f>
        <v>7.9944789997197976</v>
      </c>
      <c r="AB133" s="410" t="s">
        <v>793</v>
      </c>
      <c r="AC133" s="407">
        <f>AA133+AA154</f>
        <v>9.8072733052701153</v>
      </c>
      <c r="AD133" s="551">
        <f>AC133/AC142</f>
        <v>0.11775460461995504</v>
      </c>
      <c r="AE133" s="407">
        <f>AC133+AD133*M173</f>
        <v>9.8916549959087501</v>
      </c>
      <c r="AF133" s="35"/>
      <c r="AG133" s="35"/>
      <c r="AH133" s="35"/>
      <c r="AI133" s="35"/>
      <c r="AJ133" s="35"/>
      <c r="AK133" s="35"/>
      <c r="AL133" s="35"/>
      <c r="AM133" s="35"/>
      <c r="AN133" s="252"/>
      <c r="AR133" s="394" t="s">
        <v>376</v>
      </c>
      <c r="AS133" s="286">
        <v>4.7239468205838842</v>
      </c>
      <c r="AT133" s="242">
        <v>5.3955025357381572E-2</v>
      </c>
      <c r="AU133" s="226"/>
      <c r="AV133" s="226"/>
      <c r="AW133" s="243"/>
      <c r="AX133" s="35"/>
      <c r="AY133" s="139"/>
      <c r="AZ133" s="139">
        <f>SUM(AZ119:AZ132)</f>
        <v>16.466147096173884</v>
      </c>
      <c r="BA133" s="139">
        <f>SUM(BA119:BA132)</f>
        <v>64.078982245096867</v>
      </c>
      <c r="BB133" s="139">
        <f>SUM(BB119:BB132)</f>
        <v>0</v>
      </c>
      <c r="BC133" s="139">
        <f>SUM(BC119:BC132)</f>
        <v>0</v>
      </c>
      <c r="BD133" s="233">
        <f>SUM(BD119:BD132)</f>
        <v>0</v>
      </c>
    </row>
    <row r="134" spans="1:68" ht="15.75" thickBot="1" x14ac:dyDescent="0.3">
      <c r="A134" s="405" t="s">
        <v>787</v>
      </c>
      <c r="B134" s="405" t="s">
        <v>787</v>
      </c>
      <c r="C134" s="413">
        <v>0.05</v>
      </c>
      <c r="D134" s="399">
        <f>A135*C134</f>
        <v>2.1301903290789435</v>
      </c>
      <c r="E134" s="410" t="s">
        <v>797</v>
      </c>
      <c r="F134" s="407">
        <f>D157+D143</f>
        <v>6.6329161345062024</v>
      </c>
      <c r="G134" s="551">
        <f>F134/F144</f>
        <v>7.8833995332366971E-2</v>
      </c>
      <c r="H134" s="407">
        <f>F134+H170*G134</f>
        <v>6.6905105568915868</v>
      </c>
      <c r="J134" s="232" t="s">
        <v>515</v>
      </c>
      <c r="K134" s="35" t="s">
        <v>797</v>
      </c>
      <c r="L134" s="282">
        <f>(2/6)*M151+(2/22)*-K146</f>
        <v>6.0679660349353339</v>
      </c>
      <c r="M134" s="551">
        <f>L134/L141</f>
        <v>7.2614429921203538E-2</v>
      </c>
      <c r="N134" s="409">
        <f t="shared" si="15"/>
        <v>11.672771894130758</v>
      </c>
      <c r="O134" s="408">
        <f>N134/N141</f>
        <v>0.13968629221267304</v>
      </c>
      <c r="P134" s="35"/>
      <c r="Q134" s="360"/>
      <c r="R134" s="360" t="s">
        <v>788</v>
      </c>
      <c r="S134" s="1163"/>
      <c r="T134" s="411">
        <f>Q131*S133*10/17</f>
        <v>8.3536875650154627</v>
      </c>
      <c r="U134" s="268" t="s">
        <v>788</v>
      </c>
      <c r="V134" s="407">
        <f>T128+T134+(3/22)*-K146</f>
        <v>15.21358272312599</v>
      </c>
      <c r="W134" s="35"/>
      <c r="X134" s="410"/>
      <c r="Y134" s="410" t="s">
        <v>796</v>
      </c>
      <c r="Z134" s="1152"/>
      <c r="AA134" s="407">
        <f>X133*Z133*6/17</f>
        <v>4.360624908938072</v>
      </c>
      <c r="AB134" s="410" t="s">
        <v>788</v>
      </c>
      <c r="AC134" s="407">
        <f>AA128+AA136+AA153</f>
        <v>8.1863011601509328</v>
      </c>
      <c r="AD134" s="551">
        <f>AC134/AC142</f>
        <v>9.8291811231103671E-2</v>
      </c>
      <c r="AE134" s="407">
        <f>AC134+M173*AD134</f>
        <v>8.2567360211432703</v>
      </c>
      <c r="AF134" s="35"/>
      <c r="AG134" s="35"/>
      <c r="AH134" s="35"/>
      <c r="AI134" s="35"/>
      <c r="AJ134" s="35"/>
      <c r="AK134" s="35"/>
      <c r="AL134" s="35"/>
      <c r="AM134" s="35"/>
      <c r="AN134" s="252"/>
      <c r="AR134" s="382" t="s">
        <v>441</v>
      </c>
      <c r="AS134" s="286">
        <v>-0.27605317941611601</v>
      </c>
      <c r="AT134" s="242"/>
      <c r="AU134" s="226"/>
      <c r="AV134" s="226"/>
      <c r="AW134" s="243"/>
      <c r="AX134" s="35"/>
      <c r="AY134" s="139" t="s">
        <v>257</v>
      </c>
      <c r="AZ134" s="139">
        <f>SUM(AZ129:AZ131)</f>
        <v>3.1849890553999858</v>
      </c>
      <c r="BA134" s="139">
        <f>SUM(BA129:BA131)</f>
        <v>16.74756537676144</v>
      </c>
      <c r="BB134" s="35"/>
      <c r="BC134" s="35"/>
      <c r="BD134" s="252"/>
    </row>
    <row r="135" spans="1:68" ht="15.75" thickBot="1" x14ac:dyDescent="0.3">
      <c r="A135" s="407">
        <f>X133</f>
        <v>42.603806581578866</v>
      </c>
      <c r="B135" s="410" t="s">
        <v>793</v>
      </c>
      <c r="C135" s="1152">
        <v>0.28999999999999998</v>
      </c>
      <c r="D135" s="407">
        <f>A135*C135*11/17</f>
        <v>7.9944789997197976</v>
      </c>
      <c r="E135" s="410" t="s">
        <v>793</v>
      </c>
      <c r="F135" s="407">
        <f>D135+D156</f>
        <v>11.620067610820433</v>
      </c>
      <c r="G135" s="551">
        <f>F135/F144</f>
        <v>0.13810763429189715</v>
      </c>
      <c r="H135" s="407">
        <f>F135+G135*H170</f>
        <v>11.72096607969187</v>
      </c>
      <c r="J135" s="232" t="s">
        <v>517</v>
      </c>
      <c r="K135" s="35" t="s">
        <v>793</v>
      </c>
      <c r="L135" s="282">
        <f>(1/3)*(O148)*(11/17)+(1/22)*-K146</f>
        <v>9.2017154964008139</v>
      </c>
      <c r="M135" s="551">
        <f>L135/L141</f>
        <v>0.11011553479721649</v>
      </c>
      <c r="N135" s="409">
        <f t="shared" si="15"/>
        <v>12.450956687072809</v>
      </c>
      <c r="O135" s="408">
        <f>N135/N141</f>
        <v>0.14899871169351792</v>
      </c>
      <c r="P135" s="35"/>
      <c r="Q135" s="405" t="s">
        <v>789</v>
      </c>
      <c r="R135" s="405" t="s">
        <v>789</v>
      </c>
      <c r="S135" s="406">
        <v>0.33333333333333331</v>
      </c>
      <c r="T135" s="399">
        <f>Q136*S135</f>
        <v>0.41808177419354831</v>
      </c>
      <c r="U135" s="268" t="s">
        <v>799</v>
      </c>
      <c r="V135" s="407">
        <f>T136+T139+(4/22)*-K146</f>
        <v>1.673185018083607</v>
      </c>
      <c r="W135" s="35"/>
      <c r="X135" s="410"/>
      <c r="Y135" s="410" t="s">
        <v>798</v>
      </c>
      <c r="Z135" s="1151">
        <v>0</v>
      </c>
      <c r="AA135" s="407">
        <f>X133*Z135*7/17</f>
        <v>0</v>
      </c>
      <c r="AB135" s="410" t="s">
        <v>799</v>
      </c>
      <c r="AC135" s="407">
        <f>AA144+AA147+AA138+AA152</f>
        <v>6.9748079950116999</v>
      </c>
      <c r="AD135" s="551">
        <f>AC135/AC142</f>
        <v>8.3745576592767657E-2</v>
      </c>
      <c r="AE135" s="407">
        <f>AC135+AD135*M173</f>
        <v>7.0348191797905208</v>
      </c>
      <c r="AF135" s="35"/>
      <c r="AG135" s="35"/>
      <c r="AH135" s="35"/>
      <c r="AI135" s="35"/>
      <c r="AJ135" s="35"/>
      <c r="AK135" s="35"/>
      <c r="AL135" s="35"/>
      <c r="AM135" s="35"/>
      <c r="AN135" s="252"/>
      <c r="AR135" s="218" t="s">
        <v>278</v>
      </c>
      <c r="AS135" s="255">
        <v>87.55341674466662</v>
      </c>
      <c r="AT135" s="248">
        <v>1</v>
      </c>
      <c r="AU135" s="249" t="s">
        <v>278</v>
      </c>
      <c r="AV135" s="249"/>
      <c r="AW135" s="267"/>
      <c r="AX135" s="35"/>
      <c r="AY135" s="139" t="s">
        <v>772</v>
      </c>
      <c r="AZ135" s="139">
        <f>SUM(AZ119:AZ128)</f>
        <v>8.5572112201900126</v>
      </c>
      <c r="BA135" s="139">
        <f>SUM(BA119:BA128)</f>
        <v>47.331416868335424</v>
      </c>
      <c r="BB135" s="35"/>
      <c r="BC135" s="35"/>
      <c r="BD135" s="252"/>
    </row>
    <row r="136" spans="1:68" ht="15.75" thickBot="1" x14ac:dyDescent="0.3">
      <c r="A136" s="410"/>
      <c r="B136" s="410" t="s">
        <v>796</v>
      </c>
      <c r="C136" s="1152"/>
      <c r="D136" s="407">
        <f>A135*C135*6/17</f>
        <v>4.360624908938072</v>
      </c>
      <c r="E136" s="410" t="s">
        <v>788</v>
      </c>
      <c r="F136" s="407">
        <f>D138+D155</f>
        <v>0.75183188085139174</v>
      </c>
      <c r="G136" s="551">
        <f>F136/F144</f>
        <v>8.9357244662608328E-3</v>
      </c>
      <c r="H136" s="407">
        <f>F136+H170*G136</f>
        <v>0.75836012906536931</v>
      </c>
      <c r="J136" s="232" t="s">
        <v>518</v>
      </c>
      <c r="K136" s="35" t="s">
        <v>788</v>
      </c>
      <c r="L136" s="282">
        <f>(1/3)*(O148)*(10/17)+(2/3)*(O147)*(10/18)+(3/22)*-K146</f>
        <v>15.21358272312599</v>
      </c>
      <c r="M136" s="551">
        <f>L136/L141</f>
        <v>0.18205863878251555</v>
      </c>
      <c r="N136" s="409">
        <f t="shared" si="15"/>
        <v>11.828408852719168</v>
      </c>
      <c r="O136" s="408">
        <f>N136/N141</f>
        <v>0.14154877610884201</v>
      </c>
      <c r="P136" s="35"/>
      <c r="Q136" s="407">
        <f>O149</f>
        <v>1.2542453225806449</v>
      </c>
      <c r="R136" s="410" t="s">
        <v>799</v>
      </c>
      <c r="S136" s="1163">
        <v>0.66666666666666663</v>
      </c>
      <c r="T136" s="407">
        <f>Q136*S136*9/16</f>
        <v>0.47034199596774184</v>
      </c>
      <c r="U136" s="268" t="s">
        <v>790</v>
      </c>
      <c r="V136" s="407">
        <f>T129+(2/22)*-K146</f>
        <v>5.4828524565348982</v>
      </c>
      <c r="W136" s="35"/>
      <c r="X136" s="410"/>
      <c r="Y136" s="360" t="s">
        <v>788</v>
      </c>
      <c r="Z136" s="1151"/>
      <c r="AA136" s="411">
        <f>X133*Z135*10/17</f>
        <v>0</v>
      </c>
      <c r="AB136" s="410" t="s">
        <v>790</v>
      </c>
      <c r="AC136" s="407">
        <f>AA130+AA137+AA151</f>
        <v>10.287708454803081</v>
      </c>
      <c r="AD136" s="551">
        <f>AC136/AC142</f>
        <v>0.12352312450492477</v>
      </c>
      <c r="AE136" s="407">
        <f>AC136+M173*AD136</f>
        <v>10.376223805114281</v>
      </c>
      <c r="AF136" s="35"/>
      <c r="AG136" s="35"/>
      <c r="AH136" s="35"/>
      <c r="AI136" s="35"/>
      <c r="AJ136" s="35"/>
      <c r="AK136" s="35"/>
      <c r="AL136" s="35"/>
      <c r="AM136" s="35"/>
      <c r="AN136" s="252"/>
      <c r="AR136" s="357" t="s">
        <v>279</v>
      </c>
      <c r="AS136" s="353" t="s">
        <v>173</v>
      </c>
      <c r="AT136" s="226"/>
      <c r="AU136" s="226"/>
      <c r="AV136" s="226"/>
      <c r="AW136" s="243"/>
      <c r="AX136" s="35"/>
      <c r="AY136" s="139" t="s">
        <v>260</v>
      </c>
      <c r="AZ136" s="139">
        <f>SUM(AZ121:AZ128)</f>
        <v>7.614611022199913</v>
      </c>
      <c r="BA136" s="139">
        <f>SUM(BA121:BA128)</f>
        <v>41.980263695972866</v>
      </c>
      <c r="BB136" s="35"/>
      <c r="BC136" s="35"/>
      <c r="BD136" s="252"/>
    </row>
    <row r="137" spans="1:68" ht="15.75" thickBot="1" x14ac:dyDescent="0.3">
      <c r="A137" s="410"/>
      <c r="B137" s="410" t="s">
        <v>798</v>
      </c>
      <c r="C137" s="1151">
        <v>0.03</v>
      </c>
      <c r="D137" s="407">
        <f>A135*C137*7/17</f>
        <v>0.52628231659597424</v>
      </c>
      <c r="E137" s="410" t="s">
        <v>799</v>
      </c>
      <c r="F137" s="407">
        <f>D146+D149+D140+D154+D130+D131</f>
        <v>25.522793979746943</v>
      </c>
      <c r="G137" s="551">
        <f>F137/F144</f>
        <v>0.30334528292933488</v>
      </c>
      <c r="H137" s="407">
        <f>F137+G137*H170</f>
        <v>25.744411522787704</v>
      </c>
      <c r="J137" s="232" t="s">
        <v>519</v>
      </c>
      <c r="K137" s="35" t="s">
        <v>799</v>
      </c>
      <c r="L137" s="282">
        <f>(2/3)*O150*(9/15)+(2/3)*O149*(9/16)+(4/22)*-K146</f>
        <v>1.673185018083607</v>
      </c>
      <c r="M137" s="551">
        <f>L137/L141</f>
        <v>2.0022751535084118E-2</v>
      </c>
      <c r="N137" s="409">
        <f t="shared" si="15"/>
        <v>8.2487588051857355</v>
      </c>
      <c r="O137" s="408">
        <f>N137/N141</f>
        <v>9.8711646496955616E-2</v>
      </c>
      <c r="P137" s="35"/>
      <c r="Q137" s="360"/>
      <c r="R137" s="360" t="s">
        <v>798</v>
      </c>
      <c r="S137" s="1163"/>
      <c r="T137" s="411">
        <f>Q136*S136*7/16</f>
        <v>0.36582155241935477</v>
      </c>
      <c r="U137" s="268" t="s">
        <v>798</v>
      </c>
      <c r="V137" s="407">
        <f>T137+T133+(3/22)*-K146</f>
        <v>6.2513803725815942</v>
      </c>
      <c r="W137" s="35"/>
      <c r="X137" s="410"/>
      <c r="Y137" s="410" t="s">
        <v>790</v>
      </c>
      <c r="Z137" s="1152">
        <v>0.23</v>
      </c>
      <c r="AA137" s="407">
        <f>X133*Z137*8/17</f>
        <v>4.611235535888536</v>
      </c>
      <c r="AB137" s="410" t="s">
        <v>798</v>
      </c>
      <c r="AC137" s="407">
        <f>AA145+AA135+AA150</f>
        <v>3.213050554091605</v>
      </c>
      <c r="AD137" s="551">
        <f>AC137/AC142</f>
        <v>3.8578663594260237E-2</v>
      </c>
      <c r="AE137" s="407">
        <f>AC137+AD137*M173</f>
        <v>3.2406956119402492</v>
      </c>
      <c r="AF137" s="35"/>
      <c r="AG137" s="35"/>
      <c r="AH137" s="35"/>
      <c r="AI137" s="35"/>
      <c r="AJ137" s="35"/>
      <c r="AK137" s="35"/>
      <c r="AL137" s="35"/>
      <c r="AM137" s="35"/>
      <c r="AN137" s="252"/>
      <c r="AR137" s="232" t="s">
        <v>483</v>
      </c>
      <c r="AS137" s="225">
        <v>0</v>
      </c>
      <c r="AT137" s="226"/>
      <c r="AU137" s="226"/>
      <c r="AV137" s="226"/>
      <c r="AW137" s="243"/>
      <c r="AX137" s="35"/>
      <c r="AY137" s="139" t="s">
        <v>112</v>
      </c>
      <c r="AZ137" s="139">
        <f>SUM(AZ119:AZ120)</f>
        <v>0.94260019799009931</v>
      </c>
      <c r="BA137" s="139">
        <f>SUM(BA119:BA120)</f>
        <v>5.3511531723625687</v>
      </c>
      <c r="BB137" s="35"/>
      <c r="BC137" s="35"/>
      <c r="BD137" s="252"/>
    </row>
    <row r="138" spans="1:68" ht="15.75" thickBot="1" x14ac:dyDescent="0.3">
      <c r="A138" s="410"/>
      <c r="B138" s="360" t="s">
        <v>788</v>
      </c>
      <c r="C138" s="1151"/>
      <c r="D138" s="411">
        <f>A135*C137*10/17</f>
        <v>0.75183188085139174</v>
      </c>
      <c r="E138" s="410" t="s">
        <v>790</v>
      </c>
      <c r="F138" s="407">
        <f>D139+D153</f>
        <v>6.0146550468111339</v>
      </c>
      <c r="G138" s="551">
        <f>F138/F144</f>
        <v>7.1485795730086663E-2</v>
      </c>
      <c r="H138" s="407">
        <f>F138+H170*G138</f>
        <v>6.0668810325229545</v>
      </c>
      <c r="J138" s="232" t="s">
        <v>520</v>
      </c>
      <c r="K138" s="35" t="s">
        <v>790</v>
      </c>
      <c r="L138" s="282">
        <f>(2/3)*(O147)*(8/18)+(2/22)*-K146</f>
        <v>5.4828524565348982</v>
      </c>
      <c r="M138" s="551">
        <f>L138/L141</f>
        <v>6.5612464404243315E-2</v>
      </c>
      <c r="N138" s="409">
        <f t="shared" si="15"/>
        <v>5.6029305091827641</v>
      </c>
      <c r="O138" s="408">
        <f>N138/N141</f>
        <v>6.7049420262083062E-2</v>
      </c>
      <c r="P138" s="35"/>
      <c r="Q138" s="405" t="s">
        <v>791</v>
      </c>
      <c r="R138" s="405" t="s">
        <v>791</v>
      </c>
      <c r="S138" s="406">
        <v>0.33333333333333331</v>
      </c>
      <c r="T138" s="399">
        <f>Q139*S138</f>
        <v>0.96017193548387114</v>
      </c>
      <c r="U138" s="268" t="s">
        <v>796</v>
      </c>
      <c r="V138" s="407">
        <f>+T132+T140+(3/22)*-K146</f>
        <v>5.8183276120477894</v>
      </c>
      <c r="W138" s="35"/>
      <c r="X138" s="410"/>
      <c r="Y138" s="410" t="s">
        <v>799</v>
      </c>
      <c r="Z138" s="1152"/>
      <c r="AA138" s="407">
        <f>X133*Z137*9/17</f>
        <v>5.1876399778746034</v>
      </c>
      <c r="AB138" s="410" t="s">
        <v>796</v>
      </c>
      <c r="AC138" s="407">
        <f>+AA134+AA148+AA149</f>
        <v>6.2617588982941168</v>
      </c>
      <c r="AD138" s="417">
        <f>AC138/AC142</f>
        <v>7.5184092493667962E-2</v>
      </c>
      <c r="AE138" s="407">
        <f>AC138+M173*AD138</f>
        <v>6.3156350151068956</v>
      </c>
      <c r="AF138" s="35"/>
      <c r="AG138" s="35"/>
      <c r="AH138" s="35"/>
      <c r="AI138" s="35"/>
      <c r="AJ138" s="35"/>
      <c r="AK138" s="35"/>
      <c r="AL138" s="35"/>
      <c r="AM138" s="35"/>
      <c r="AN138" s="252"/>
      <c r="AR138" s="218" t="s">
        <v>278</v>
      </c>
      <c r="AS138" s="255">
        <v>0</v>
      </c>
      <c r="AT138" s="249"/>
      <c r="AU138" s="249" t="s">
        <v>278</v>
      </c>
      <c r="AV138" s="249"/>
      <c r="AW138" s="267"/>
      <c r="AX138" s="272"/>
      <c r="AY138" s="249" t="s">
        <v>774</v>
      </c>
      <c r="AZ138" s="249"/>
      <c r="BA138" s="249"/>
      <c r="BB138" s="272"/>
      <c r="BC138" s="272"/>
      <c r="BD138" s="273"/>
    </row>
    <row r="139" spans="1:68" ht="24" thickBot="1" x14ac:dyDescent="0.4">
      <c r="A139" s="410"/>
      <c r="B139" s="410" t="s">
        <v>790</v>
      </c>
      <c r="C139" s="1152">
        <v>0.3</v>
      </c>
      <c r="D139" s="407">
        <f>A135*C139*8/17</f>
        <v>6.0146550468111339</v>
      </c>
      <c r="E139" s="410" t="s">
        <v>798</v>
      </c>
      <c r="F139" s="407">
        <f>D147+D137+D152</f>
        <v>1.0750146452250064</v>
      </c>
      <c r="G139" s="551">
        <f>F139/F144</f>
        <v>1.2776838694373674E-2</v>
      </c>
      <c r="H139" s="407">
        <f>F139+G139*H170</f>
        <v>1.0843491289259937</v>
      </c>
      <c r="J139" s="241" t="s">
        <v>521</v>
      </c>
      <c r="K139" s="35" t="s">
        <v>798</v>
      </c>
      <c r="L139" s="331">
        <f>(1/3)*(O148)*(7/17)+(2/3)*O149*(7/16)+(3/22)*-K146</f>
        <v>6.2513803725815933</v>
      </c>
      <c r="M139" s="551">
        <f>L139/L141</f>
        <v>7.4809321502810791E-2</v>
      </c>
      <c r="N139" s="414">
        <f t="shared" si="15"/>
        <v>0</v>
      </c>
      <c r="O139" s="408">
        <f>N139/N141</f>
        <v>0</v>
      </c>
      <c r="P139" s="35"/>
      <c r="Q139" s="407">
        <f>O150</f>
        <v>2.8805158064516134</v>
      </c>
      <c r="R139" s="410" t="s">
        <v>799</v>
      </c>
      <c r="S139" s="1163">
        <v>0.66666666666666663</v>
      </c>
      <c r="T139" s="407">
        <f>Q139*S139*9/15</f>
        <v>1.1522063225806454</v>
      </c>
      <c r="U139" s="419" t="s">
        <v>278</v>
      </c>
      <c r="V139" s="420">
        <f>SUM(V126:V138)</f>
        <v>83.564190223897597</v>
      </c>
      <c r="W139" s="35"/>
      <c r="X139" s="410"/>
      <c r="Y139" s="410" t="s">
        <v>794</v>
      </c>
      <c r="Z139" s="1153">
        <v>0.17</v>
      </c>
      <c r="AA139" s="407">
        <f>X133*Z139*13/17</f>
        <v>5.5384948556052525</v>
      </c>
      <c r="AB139" s="410" t="s">
        <v>800</v>
      </c>
      <c r="AC139" s="407">
        <f>AA142</f>
        <v>3.1326328368807985</v>
      </c>
      <c r="AD139" s="551">
        <f>AC139/AC142</f>
        <v>3.7613098936292638E-2</v>
      </c>
      <c r="AE139" s="407">
        <f>AC139+AD139*M173</f>
        <v>3.1595859814193585</v>
      </c>
      <c r="AF139" s="35"/>
      <c r="AG139" s="35"/>
      <c r="AH139" s="35"/>
      <c r="AI139" s="35"/>
      <c r="AJ139" s="35"/>
      <c r="AK139" s="35"/>
      <c r="AL139" s="35"/>
      <c r="AM139" s="35"/>
      <c r="AN139" s="252"/>
      <c r="BJ139" s="706"/>
      <c r="BK139" s="854" t="s">
        <v>1702</v>
      </c>
      <c r="BL139" s="853"/>
      <c r="BM139" s="706"/>
      <c r="BN139" s="706"/>
      <c r="BO139" s="706"/>
      <c r="BP139" s="706"/>
    </row>
    <row r="140" spans="1:68" ht="15.75" thickBot="1" x14ac:dyDescent="0.3">
      <c r="A140" s="410"/>
      <c r="B140" s="410" t="s">
        <v>799</v>
      </c>
      <c r="C140" s="1152"/>
      <c r="D140" s="407">
        <f>A135*C139*9/17</f>
        <v>6.766486927662525</v>
      </c>
      <c r="E140" s="410" t="s">
        <v>796</v>
      </c>
      <c r="F140" s="407">
        <f>+D136+D150+D151</f>
        <v>4.360624908938072</v>
      </c>
      <c r="G140" s="417">
        <f>F140/F144</f>
        <v>5.1827201904312822E-2</v>
      </c>
      <c r="H140" s="407">
        <f>F140+H170*G140</f>
        <v>4.3984887485791422</v>
      </c>
      <c r="J140" s="218" t="s">
        <v>522</v>
      </c>
      <c r="K140" s="272" t="s">
        <v>796</v>
      </c>
      <c r="L140" s="416">
        <f>(1/3)*(O148)*(6/17)+(2/3)*O150*(6/15)+(3/22)*-K146</f>
        <v>5.8183276120477894</v>
      </c>
      <c r="M140" s="417">
        <f>L140/L141</f>
        <v>6.962704474797711E-2</v>
      </c>
      <c r="N140" s="418">
        <f t="shared" si="15"/>
        <v>0</v>
      </c>
      <c r="O140" s="415">
        <f>N140/N141</f>
        <v>0</v>
      </c>
      <c r="P140" s="35"/>
      <c r="Q140" s="360"/>
      <c r="R140" s="360" t="s">
        <v>796</v>
      </c>
      <c r="S140" s="1163"/>
      <c r="T140" s="411">
        <f>Q139*S139*6/15</f>
        <v>0.76813754838709691</v>
      </c>
      <c r="U140" s="35"/>
      <c r="V140" s="35"/>
      <c r="W140" s="35"/>
      <c r="X140" s="410"/>
      <c r="Y140" s="410" t="s">
        <v>795</v>
      </c>
      <c r="Z140" s="1153"/>
      <c r="AA140" s="407">
        <f>X133*Z139*4/17</f>
        <v>1.7041522632631547</v>
      </c>
      <c r="AB140" s="410" t="s">
        <v>795</v>
      </c>
      <c r="AC140" s="407">
        <f>AA140+AA131</f>
        <v>4.9786727273235281</v>
      </c>
      <c r="AD140" s="417">
        <f>AC140/AC142</f>
        <v>5.977825031378467E-2</v>
      </c>
      <c r="AE140" s="407">
        <f>AC140+M173*AD140</f>
        <v>5.0215091823494395</v>
      </c>
      <c r="AF140" s="35"/>
      <c r="AG140" s="35"/>
      <c r="AH140" s="35"/>
      <c r="AI140" s="35"/>
      <c r="AJ140" s="35"/>
      <c r="AK140" s="35"/>
      <c r="AL140" s="35"/>
      <c r="AM140" s="35"/>
      <c r="AN140" s="252"/>
      <c r="BJ140" s="706"/>
      <c r="BK140" s="706"/>
      <c r="BL140" s="706"/>
      <c r="BM140" s="706"/>
      <c r="BN140" s="706"/>
      <c r="BO140" s="706"/>
      <c r="BP140" s="706"/>
    </row>
    <row r="141" spans="1:68" ht="15.75" thickBot="1" x14ac:dyDescent="0.3">
      <c r="A141" s="410"/>
      <c r="B141" s="410" t="s">
        <v>794</v>
      </c>
      <c r="C141" s="1153">
        <v>0.25</v>
      </c>
      <c r="D141" s="407">
        <f>A135*C141*13/17</f>
        <v>8.1448453758900783</v>
      </c>
      <c r="E141" s="410" t="s">
        <v>800</v>
      </c>
      <c r="F141" s="407">
        <f>D144</f>
        <v>1.2530531347523195</v>
      </c>
      <c r="G141" s="551">
        <f>F141/F144</f>
        <v>1.4892874110434719E-2</v>
      </c>
      <c r="H141" s="407">
        <f>F141+G141*H170</f>
        <v>1.2639335484422822</v>
      </c>
      <c r="J141" s="268"/>
      <c r="K141" s="35"/>
      <c r="L141" s="498">
        <f>SUM(L128:L140)</f>
        <v>83.564190223897597</v>
      </c>
      <c r="M141" s="35"/>
      <c r="N141" s="498">
        <f>SUM(N128:N140)+K145</f>
        <v>83.564190223897612</v>
      </c>
      <c r="O141" s="252"/>
      <c r="P141" s="35"/>
      <c r="Q141" s="410" t="s">
        <v>802</v>
      </c>
      <c r="R141" s="410" t="s">
        <v>797</v>
      </c>
      <c r="S141" s="421">
        <v>0.33333333333333331</v>
      </c>
      <c r="T141" s="399">
        <f>Q142*S141</f>
        <v>6.042647685167724</v>
      </c>
      <c r="U141" s="35"/>
      <c r="V141" s="35"/>
      <c r="W141" s="35"/>
      <c r="X141" s="410"/>
      <c r="Y141" s="410" t="s">
        <v>797</v>
      </c>
      <c r="Z141" s="1152">
        <v>0.25</v>
      </c>
      <c r="AA141" s="407">
        <f>X133*Z141*12/17</f>
        <v>7.5183188085139179</v>
      </c>
      <c r="AB141" s="360"/>
      <c r="AC141" s="360"/>
      <c r="AD141" s="35"/>
      <c r="AE141" s="360"/>
      <c r="AF141" s="35"/>
      <c r="AG141" s="35"/>
      <c r="AH141" s="35"/>
      <c r="AI141" s="35"/>
      <c r="AJ141" s="35"/>
      <c r="AK141" s="35"/>
      <c r="AL141" s="35"/>
      <c r="AM141" s="35"/>
      <c r="AN141" s="252"/>
      <c r="BJ141" s="706"/>
      <c r="BK141" s="706"/>
      <c r="BL141" s="706"/>
      <c r="BM141" s="706"/>
      <c r="BN141" s="706"/>
      <c r="BO141" s="706"/>
      <c r="BP141" s="706"/>
    </row>
    <row r="142" spans="1:68" ht="15.75" thickBot="1" x14ac:dyDescent="0.3">
      <c r="A142" s="410"/>
      <c r="B142" s="410" t="s">
        <v>795</v>
      </c>
      <c r="C142" s="1153"/>
      <c r="D142" s="407">
        <f>A135*C141*4/17</f>
        <v>2.506106269504639</v>
      </c>
      <c r="E142" s="410" t="s">
        <v>795</v>
      </c>
      <c r="F142" s="407">
        <f>D142+D133</f>
        <v>2.506106269504639</v>
      </c>
      <c r="G142" s="417">
        <f>F142/F144</f>
        <v>2.9785748220869438E-2</v>
      </c>
      <c r="H142" s="407">
        <f>F142+H170*G142</f>
        <v>2.5278670968845645</v>
      </c>
      <c r="J142" s="271" t="s">
        <v>801</v>
      </c>
      <c r="K142" s="272"/>
      <c r="L142" s="312">
        <f>L141-K145-1/3*L128-1/3*L129</f>
        <v>72.059911826433876</v>
      </c>
      <c r="M142" s="272"/>
      <c r="N142" s="272"/>
      <c r="O142" s="273"/>
      <c r="P142" s="35"/>
      <c r="Q142" s="407">
        <f>O151</f>
        <v>18.127943055503174</v>
      </c>
      <c r="R142" s="410" t="s">
        <v>794</v>
      </c>
      <c r="S142" s="421">
        <v>0.16666666666666666</v>
      </c>
      <c r="T142" s="407">
        <f>Q142*S142</f>
        <v>3.021323842583862</v>
      </c>
      <c r="U142" s="35"/>
      <c r="V142" s="35"/>
      <c r="W142" s="35"/>
      <c r="X142" s="360"/>
      <c r="Y142" s="410" t="s">
        <v>800</v>
      </c>
      <c r="Z142" s="1152"/>
      <c r="AA142" s="411">
        <f>X133*Z141*5/17</f>
        <v>3.1326328368807985</v>
      </c>
      <c r="AB142" s="419" t="s">
        <v>278</v>
      </c>
      <c r="AC142" s="420">
        <f>SUM(AC126:AC140)</f>
        <v>83.285688376453905</v>
      </c>
      <c r="AD142" s="420">
        <f>SUM(AD126:AD140)</f>
        <v>0.99999999999999989</v>
      </c>
      <c r="AE142" s="420">
        <f>SUM(AE126:AE140)</f>
        <v>84.002277684455649</v>
      </c>
      <c r="AF142" s="35"/>
      <c r="AG142" s="35"/>
      <c r="AH142" s="35"/>
      <c r="AI142" s="35"/>
      <c r="AJ142" s="35"/>
      <c r="AK142" s="35"/>
      <c r="AL142" s="35"/>
      <c r="AM142" s="35"/>
      <c r="AN142" s="252"/>
      <c r="AP142" t="s">
        <v>1562</v>
      </c>
      <c r="AT142" s="1004" t="s">
        <v>1564</v>
      </c>
      <c r="AU142" s="1004"/>
      <c r="AV142" s="1004"/>
      <c r="BC142" t="s">
        <v>1568</v>
      </c>
      <c r="BE142" t="s">
        <v>1571</v>
      </c>
      <c r="BJ142" s="706"/>
      <c r="BK142" s="706"/>
      <c r="BL142" s="706"/>
      <c r="BM142" s="706"/>
      <c r="BN142" s="1154" t="s">
        <v>1701</v>
      </c>
      <c r="BO142" s="1154" t="s">
        <v>1700</v>
      </c>
      <c r="BP142" s="706"/>
    </row>
    <row r="143" spans="1:68" ht="15.75" thickBot="1" x14ac:dyDescent="0.3">
      <c r="A143" s="410"/>
      <c r="B143" s="410" t="s">
        <v>797</v>
      </c>
      <c r="C143" s="1152">
        <v>0.1</v>
      </c>
      <c r="D143" s="407">
        <f>A135*C143*12/17</f>
        <v>3.0073275234055674</v>
      </c>
      <c r="E143" s="360"/>
      <c r="F143" s="360"/>
      <c r="G143" s="35"/>
      <c r="H143" s="360"/>
      <c r="J143" s="268"/>
      <c r="K143" s="35"/>
      <c r="L143" s="498">
        <f>L141+K145</f>
        <v>88.288137044481488</v>
      </c>
      <c r="M143" s="35"/>
      <c r="N143" s="35"/>
      <c r="O143" s="35"/>
      <c r="P143" s="35"/>
      <c r="Q143" s="410"/>
      <c r="R143" s="410" t="s">
        <v>792</v>
      </c>
      <c r="S143" s="421">
        <v>0.16666666666666666</v>
      </c>
      <c r="T143" s="407">
        <f>Q142*S143</f>
        <v>3.021323842583862</v>
      </c>
      <c r="U143" s="35"/>
      <c r="V143" s="35"/>
      <c r="W143" s="35"/>
      <c r="X143" s="405" t="s">
        <v>789</v>
      </c>
      <c r="Y143" s="405" t="s">
        <v>789</v>
      </c>
      <c r="Z143" s="405">
        <v>0.1</v>
      </c>
      <c r="AA143" s="399">
        <f>X144*Z143</f>
        <v>0.12542453225806449</v>
      </c>
      <c r="AB143" s="35"/>
      <c r="AC143" s="498">
        <f>SUM(AC129:AC135)</f>
        <v>49.046376455840054</v>
      </c>
      <c r="AD143" s="35"/>
      <c r="AE143" s="35"/>
      <c r="AF143" s="35"/>
      <c r="AG143" s="35"/>
      <c r="AH143" s="35"/>
      <c r="AI143" s="35"/>
      <c r="AJ143" s="35"/>
      <c r="AK143" s="35"/>
      <c r="AL143" s="35"/>
      <c r="AM143" s="35"/>
      <c r="AN143" s="252"/>
      <c r="AR143" t="s">
        <v>1563</v>
      </c>
      <c r="AU143" t="s">
        <v>1565</v>
      </c>
      <c r="AV143" t="s">
        <v>1566</v>
      </c>
      <c r="BA143" t="s">
        <v>954</v>
      </c>
      <c r="BB143" t="s">
        <v>1567</v>
      </c>
      <c r="BC143">
        <v>1576.2</v>
      </c>
      <c r="BD143" t="s">
        <v>1569</v>
      </c>
      <c r="BE143">
        <v>726.29</v>
      </c>
      <c r="BF143" t="s">
        <v>1572</v>
      </c>
      <c r="BJ143" s="706"/>
      <c r="BK143" s="706"/>
      <c r="BL143" s="706"/>
      <c r="BM143" s="706"/>
      <c r="BN143" s="1155"/>
      <c r="BO143" s="1155"/>
      <c r="BP143" s="706"/>
    </row>
    <row r="144" spans="1:68" ht="15.75" thickBot="1" x14ac:dyDescent="0.3">
      <c r="A144" s="360"/>
      <c r="B144" s="410" t="s">
        <v>800</v>
      </c>
      <c r="C144" s="1152"/>
      <c r="D144" s="411">
        <f>A135*C143*5/17</f>
        <v>1.2530531347523195</v>
      </c>
      <c r="E144" s="419" t="s">
        <v>278</v>
      </c>
      <c r="F144" s="420">
        <f>SUM(F128:F142)</f>
        <v>84.137764508085482</v>
      </c>
      <c r="G144" s="420">
        <f>SUM(G128:G142)</f>
        <v>0.99999999999999967</v>
      </c>
      <c r="H144" s="420">
        <f>SUM(H128:H142)</f>
        <v>84.868343012226532</v>
      </c>
      <c r="J144" s="268"/>
      <c r="K144" s="35"/>
      <c r="L144" s="35"/>
      <c r="M144" s="35"/>
      <c r="N144" s="35"/>
      <c r="O144" s="35"/>
      <c r="P144" s="35"/>
      <c r="Q144" s="410"/>
      <c r="R144" s="410" t="s">
        <v>791</v>
      </c>
      <c r="S144" s="421">
        <v>0.16666666666666666</v>
      </c>
      <c r="T144" s="407">
        <f>Q142*S144</f>
        <v>3.021323842583862</v>
      </c>
      <c r="U144" s="35"/>
      <c r="V144" s="35"/>
      <c r="W144" s="35"/>
      <c r="X144" s="407">
        <f>O149</f>
        <v>1.2542453225806449</v>
      </c>
      <c r="Y144" s="410" t="s">
        <v>799</v>
      </c>
      <c r="Z144" s="1151">
        <v>0.9</v>
      </c>
      <c r="AA144" s="407">
        <f>X144*Z144*9/16</f>
        <v>0.63496169455645146</v>
      </c>
      <c r="AB144" s="35"/>
      <c r="AC144" s="35"/>
      <c r="AD144" s="35"/>
      <c r="AE144" s="35"/>
      <c r="AF144" s="35"/>
      <c r="AG144" s="35"/>
      <c r="AH144" s="35"/>
      <c r="AI144" s="35"/>
      <c r="AJ144" s="35"/>
      <c r="AK144" s="35"/>
      <c r="AL144" s="35"/>
      <c r="AM144" s="35"/>
      <c r="AN144" s="252"/>
      <c r="AP144" s="144">
        <f>AE135</f>
        <v>7.0348191797905208</v>
      </c>
      <c r="AQ144" t="s">
        <v>799</v>
      </c>
      <c r="AR144">
        <v>0.82899999999999996</v>
      </c>
      <c r="AT144" s="818" t="s">
        <v>954</v>
      </c>
      <c r="AU144" s="144">
        <f t="shared" ref="AU144:AU150" si="16">AP144-AV144</f>
        <v>1.2029540797441793</v>
      </c>
      <c r="AV144" s="144">
        <f t="shared" ref="AV144:AV150" si="17">AR144*AP144</f>
        <v>5.8318651000463415</v>
      </c>
      <c r="AW144" t="s">
        <v>62</v>
      </c>
      <c r="BJ144" s="706"/>
      <c r="BK144" s="846" t="s">
        <v>1623</v>
      </c>
      <c r="BL144" s="846" t="s">
        <v>947</v>
      </c>
      <c r="BM144" s="846" t="s">
        <v>1644</v>
      </c>
      <c r="BN144" s="846" t="s">
        <v>1645</v>
      </c>
      <c r="BO144" s="846" t="s">
        <v>1646</v>
      </c>
      <c r="BP144" s="706"/>
    </row>
    <row r="145" spans="1:68" ht="15.75" thickBot="1" x14ac:dyDescent="0.3">
      <c r="A145" s="405" t="s">
        <v>789</v>
      </c>
      <c r="B145" s="405" t="s">
        <v>789</v>
      </c>
      <c r="C145" s="405">
        <v>0</v>
      </c>
      <c r="D145" s="399">
        <f>A146*C145</f>
        <v>0</v>
      </c>
      <c r="E145" s="35"/>
      <c r="F145" s="498">
        <f>SUM(F131:F137)</f>
        <v>66.429736621568566</v>
      </c>
      <c r="G145" s="35"/>
      <c r="H145" s="35"/>
      <c r="J145" s="241" t="s">
        <v>376</v>
      </c>
      <c r="K145" s="331">
        <v>4.7239468205838842</v>
      </c>
      <c r="L145" s="155" t="s">
        <v>471</v>
      </c>
      <c r="M145" s="282">
        <f>FuelProd2!AA78</f>
        <v>12.949814194954984</v>
      </c>
      <c r="N145" s="35"/>
      <c r="O145" s="35"/>
      <c r="P145" s="35"/>
      <c r="Q145" s="410"/>
      <c r="R145" s="410" t="s">
        <v>789</v>
      </c>
      <c r="S145" s="421">
        <v>0.16666666666666666</v>
      </c>
      <c r="T145" s="407">
        <f>Q142*S145</f>
        <v>3.021323842583862</v>
      </c>
      <c r="U145" s="35"/>
      <c r="V145" s="35"/>
      <c r="W145" s="35"/>
      <c r="X145" s="360"/>
      <c r="Y145" s="360" t="s">
        <v>798</v>
      </c>
      <c r="Z145" s="1151"/>
      <c r="AA145" s="411">
        <f>X144*Z144*7/16</f>
        <v>0.49385909576612896</v>
      </c>
      <c r="AB145" s="35"/>
      <c r="AC145" s="35"/>
      <c r="AD145" s="35"/>
      <c r="AE145" s="35"/>
      <c r="AF145" s="35"/>
      <c r="AG145" s="35"/>
      <c r="AH145" s="35"/>
      <c r="AI145" s="35"/>
      <c r="AJ145" s="35"/>
      <c r="AK145" s="35"/>
      <c r="AL145" s="35"/>
      <c r="AM145" s="35"/>
      <c r="AN145" s="252"/>
      <c r="AP145" s="144">
        <f>AE134</f>
        <v>8.2567360211432703</v>
      </c>
      <c r="AQ145" t="s">
        <v>788</v>
      </c>
      <c r="AR145">
        <v>0.82899999999999996</v>
      </c>
      <c r="AT145" s="818" t="s">
        <v>955</v>
      </c>
      <c r="AU145" s="144">
        <f t="shared" si="16"/>
        <v>1.4119018596155</v>
      </c>
      <c r="AV145" s="144">
        <f t="shared" si="17"/>
        <v>6.8448341615277704</v>
      </c>
      <c r="AW145" t="s">
        <v>62</v>
      </c>
      <c r="BJ145" s="706"/>
      <c r="BK145" s="706" t="s">
        <v>1627</v>
      </c>
      <c r="BL145" s="706" t="s">
        <v>1647</v>
      </c>
      <c r="BM145" s="706" t="s">
        <v>1648</v>
      </c>
      <c r="BN145" s="706">
        <v>-54.2</v>
      </c>
      <c r="BO145" s="849">
        <f>CG173</f>
        <v>-19.035163633026169</v>
      </c>
      <c r="BP145" s="706"/>
    </row>
    <row r="146" spans="1:68" ht="15.75" thickBot="1" x14ac:dyDescent="0.3">
      <c r="A146" s="407">
        <f>X144</f>
        <v>1.2542453225806449</v>
      </c>
      <c r="B146" s="410" t="s">
        <v>799</v>
      </c>
      <c r="C146" s="1151">
        <v>1</v>
      </c>
      <c r="D146" s="407">
        <f>A146*C146*9/16</f>
        <v>0.70551299395161271</v>
      </c>
      <c r="E146" s="35"/>
      <c r="F146" s="35"/>
      <c r="G146" s="35"/>
      <c r="H146" s="35"/>
      <c r="J146" s="382" t="s">
        <v>441</v>
      </c>
      <c r="K146" s="331">
        <f>-FuelProd2!S88*CB113</f>
        <v>-0.27850184744370754</v>
      </c>
      <c r="L146" s="155" t="s">
        <v>478</v>
      </c>
      <c r="M146" s="282">
        <f>FuelProd2!AA81</f>
        <v>5.4693634153846151</v>
      </c>
      <c r="N146" s="35"/>
      <c r="O146" s="35"/>
      <c r="P146" s="35"/>
      <c r="Q146" s="865" t="s">
        <v>804</v>
      </c>
      <c r="R146" s="865"/>
      <c r="S146" s="865"/>
      <c r="T146" s="420">
        <f>SUM(T127:T145)</f>
        <v>83.285688376453905</v>
      </c>
      <c r="U146" s="35"/>
      <c r="V146" s="35"/>
      <c r="W146" s="35"/>
      <c r="X146" s="405" t="s">
        <v>791</v>
      </c>
      <c r="Y146" s="405" t="s">
        <v>791</v>
      </c>
      <c r="Z146" s="405">
        <v>0.33333333333333331</v>
      </c>
      <c r="AA146" s="399">
        <f>X147*Z146</f>
        <v>0.96017193548387114</v>
      </c>
      <c r="AB146" s="35"/>
      <c r="AC146" s="35"/>
      <c r="AD146" s="35"/>
      <c r="AE146" s="35"/>
      <c r="AF146" s="892" t="s">
        <v>1037</v>
      </c>
      <c r="AG146" s="892"/>
      <c r="AH146" s="892"/>
      <c r="AI146" s="892"/>
      <c r="AJ146" s="892"/>
      <c r="AK146" s="892"/>
      <c r="AL146" s="892"/>
      <c r="AM146" s="892"/>
      <c r="AN146" s="252"/>
      <c r="AP146" s="144">
        <f>AE133</f>
        <v>9.8916549959087501</v>
      </c>
      <c r="AQ146" t="s">
        <v>793</v>
      </c>
      <c r="AR146">
        <v>0.82899999999999996</v>
      </c>
      <c r="AT146" s="818" t="s">
        <v>956</v>
      </c>
      <c r="AU146" s="144">
        <f t="shared" si="16"/>
        <v>1.6914730043003967</v>
      </c>
      <c r="AV146" s="144">
        <f t="shared" si="17"/>
        <v>8.2001819916083534</v>
      </c>
      <c r="AW146" t="s">
        <v>62</v>
      </c>
      <c r="BJ146" s="706"/>
      <c r="BK146" s="706" t="s">
        <v>1628</v>
      </c>
      <c r="BL146" s="706" t="s">
        <v>1649</v>
      </c>
      <c r="BM146" s="706" t="s">
        <v>1650</v>
      </c>
      <c r="BN146" s="706">
        <v>783.7</v>
      </c>
      <c r="BO146" s="849">
        <f>CG174</f>
        <v>742.63025388357789</v>
      </c>
      <c r="BP146" s="706"/>
    </row>
    <row r="147" spans="1:68" ht="15.75" thickBot="1" x14ac:dyDescent="0.3">
      <c r="A147" s="360"/>
      <c r="B147" s="360" t="s">
        <v>798</v>
      </c>
      <c r="C147" s="1151"/>
      <c r="D147" s="411">
        <f>A146*C146*7/16</f>
        <v>0.54873232862903221</v>
      </c>
      <c r="E147" s="35"/>
      <c r="F147" s="35"/>
      <c r="G147" s="35"/>
      <c r="H147" s="35"/>
      <c r="J147" s="268"/>
      <c r="K147" s="35"/>
      <c r="L147" s="155" t="s">
        <v>467</v>
      </c>
      <c r="M147" s="282">
        <f>FuelProd2!AA76</f>
        <v>29.957213396963475</v>
      </c>
      <c r="N147" s="155" t="s">
        <v>471</v>
      </c>
      <c r="O147" s="282">
        <f>M145+M146</f>
        <v>18.419177610339599</v>
      </c>
      <c r="P147" s="35"/>
      <c r="Q147" s="35"/>
      <c r="R147" s="35"/>
      <c r="S147" s="35"/>
      <c r="T147" s="35"/>
      <c r="U147" s="35"/>
      <c r="V147" s="35"/>
      <c r="W147" s="35"/>
      <c r="X147" s="407">
        <f>O150</f>
        <v>2.8805158064516134</v>
      </c>
      <c r="Y147" s="410" t="s">
        <v>799</v>
      </c>
      <c r="Z147" s="1151">
        <v>0.66666666666666663</v>
      </c>
      <c r="AA147" s="407">
        <f>X147*Z147*9/15</f>
        <v>1.1522063225806454</v>
      </c>
      <c r="AB147" s="35"/>
      <c r="AC147" s="35" t="s">
        <v>1561</v>
      </c>
      <c r="AD147" s="35"/>
      <c r="AE147" s="35"/>
      <c r="AF147" s="36" t="s">
        <v>790</v>
      </c>
      <c r="AG147" s="555">
        <v>1.42241379310344</v>
      </c>
      <c r="AH147" s="37"/>
      <c r="AI147" s="37"/>
      <c r="AJ147" s="37"/>
      <c r="AK147" s="1164" t="s">
        <v>803</v>
      </c>
      <c r="AL147" s="1164" t="s">
        <v>778</v>
      </c>
      <c r="AM147" s="1165" t="s">
        <v>323</v>
      </c>
      <c r="AN147" s="252"/>
      <c r="AP147" s="144">
        <f>AE132</f>
        <v>8.9543000339013723</v>
      </c>
      <c r="AQ147" t="s">
        <v>797</v>
      </c>
      <c r="AR147">
        <v>0.82899999999999996</v>
      </c>
      <c r="AT147" s="818" t="s">
        <v>957</v>
      </c>
      <c r="AU147" s="144">
        <f t="shared" si="16"/>
        <v>1.531185305797135</v>
      </c>
      <c r="AV147" s="144">
        <f t="shared" si="17"/>
        <v>7.4231147281042373</v>
      </c>
      <c r="AW147" t="s">
        <v>62</v>
      </c>
      <c r="BA147" t="s">
        <v>955</v>
      </c>
      <c r="BB147" t="s">
        <v>1573</v>
      </c>
      <c r="BC147">
        <v>2195.5</v>
      </c>
      <c r="BD147" t="s">
        <v>1569</v>
      </c>
      <c r="BE147">
        <v>738.31</v>
      </c>
      <c r="BF147" t="s">
        <v>1575</v>
      </c>
      <c r="BJ147" s="706"/>
      <c r="BK147" s="706" t="s">
        <v>1631</v>
      </c>
      <c r="BL147" s="706" t="s">
        <v>1651</v>
      </c>
      <c r="BM147" s="706" t="s">
        <v>1652</v>
      </c>
      <c r="BN147" s="706">
        <v>42.8</v>
      </c>
      <c r="BO147" s="849">
        <f>CG175</f>
        <v>71.453132518514749</v>
      </c>
      <c r="BP147" s="706"/>
    </row>
    <row r="148" spans="1:68" ht="15.75" thickBot="1" x14ac:dyDescent="0.3">
      <c r="A148" s="405" t="s">
        <v>791</v>
      </c>
      <c r="B148" s="405" t="s">
        <v>791</v>
      </c>
      <c r="C148" s="405">
        <v>1</v>
      </c>
      <c r="D148" s="399">
        <f>A149*C148</f>
        <v>2.8805158064516134</v>
      </c>
      <c r="E148" s="35"/>
      <c r="F148" s="35"/>
      <c r="G148" s="35"/>
      <c r="H148" s="35"/>
      <c r="J148" s="268"/>
      <c r="K148" s="35"/>
      <c r="L148" s="155" t="s">
        <v>468</v>
      </c>
      <c r="M148" s="282">
        <f>FuelProd2!AA77</f>
        <v>12.646593184615387</v>
      </c>
      <c r="N148" s="155" t="s">
        <v>467</v>
      </c>
      <c r="O148" s="282">
        <f>M147+M148</f>
        <v>42.603806581578866</v>
      </c>
      <c r="P148" s="35"/>
      <c r="Q148" s="35"/>
      <c r="R148" s="35"/>
      <c r="S148" s="35"/>
      <c r="T148" s="35"/>
      <c r="U148" s="35"/>
      <c r="V148" s="35"/>
      <c r="W148" s="35"/>
      <c r="X148" s="360"/>
      <c r="Y148" s="360" t="s">
        <v>796</v>
      </c>
      <c r="Z148" s="1151"/>
      <c r="AA148" s="411">
        <f>X147*Z147*6/15</f>
        <v>0.76813754838709691</v>
      </c>
      <c r="AB148" s="35"/>
      <c r="AC148" s="498">
        <f>'Fuel Production'!G65</f>
        <v>4.1756461460914691</v>
      </c>
      <c r="AD148" s="35" t="s">
        <v>270</v>
      </c>
      <c r="AE148" s="498">
        <f>AC148</f>
        <v>4.1756461460914691</v>
      </c>
      <c r="AF148" s="15" t="s">
        <v>799</v>
      </c>
      <c r="AG148" s="498">
        <v>3.1681034482758599</v>
      </c>
      <c r="AH148" s="551">
        <f>AG148/AG157</f>
        <v>0.14107485604606532</v>
      </c>
      <c r="AI148" s="35"/>
      <c r="AJ148" s="35"/>
      <c r="AK148" s="1148"/>
      <c r="AL148" s="1148"/>
      <c r="AM148" s="1166"/>
      <c r="AN148" s="252"/>
      <c r="AP148" s="144">
        <f>AE131</f>
        <v>7.0488612722106643</v>
      </c>
      <c r="AQ148" t="s">
        <v>794</v>
      </c>
      <c r="AR148">
        <v>0.82899999999999996</v>
      </c>
      <c r="AT148" s="818" t="s">
        <v>958</v>
      </c>
      <c r="AU148" s="144">
        <f t="shared" si="16"/>
        <v>1.2053552775480236</v>
      </c>
      <c r="AV148" s="144">
        <f t="shared" si="17"/>
        <v>5.8435059946626406</v>
      </c>
      <c r="AW148" t="s">
        <v>62</v>
      </c>
      <c r="BJ148" s="706"/>
      <c r="BK148" s="706" t="s">
        <v>1629</v>
      </c>
      <c r="BL148" s="706" t="s">
        <v>1655</v>
      </c>
      <c r="BM148" s="706" t="s">
        <v>1656</v>
      </c>
      <c r="BN148" s="706">
        <v>43.5</v>
      </c>
      <c r="BO148" s="849">
        <f>CG177</f>
        <v>47.976801187775848</v>
      </c>
      <c r="BP148" s="706"/>
    </row>
    <row r="149" spans="1:68" x14ac:dyDescent="0.25">
      <c r="A149" s="407">
        <f>X147</f>
        <v>2.8805158064516134</v>
      </c>
      <c r="B149" s="410" t="s">
        <v>799</v>
      </c>
      <c r="C149" s="1151">
        <v>0</v>
      </c>
      <c r="D149" s="407">
        <f>A149*C149*9/15</f>
        <v>0</v>
      </c>
      <c r="E149" s="35"/>
      <c r="F149" s="35" t="s">
        <v>1561</v>
      </c>
      <c r="G149" s="35"/>
      <c r="H149" s="35"/>
      <c r="J149" s="268"/>
      <c r="K149" s="35"/>
      <c r="L149" s="155" t="s">
        <v>476</v>
      </c>
      <c r="M149" s="282">
        <f>FuelProd2!AA80</f>
        <v>1.2542453225806449</v>
      </c>
      <c r="N149" s="155" t="s">
        <v>476</v>
      </c>
      <c r="O149" s="282">
        <f>M149</f>
        <v>1.2542453225806449</v>
      </c>
      <c r="P149" s="35"/>
      <c r="Q149" s="35"/>
      <c r="R149" s="35"/>
      <c r="S149" s="35"/>
      <c r="T149" s="35"/>
      <c r="U149" s="35"/>
      <c r="V149" s="35"/>
      <c r="W149" s="35"/>
      <c r="X149" s="410" t="s">
        <v>802</v>
      </c>
      <c r="Y149" s="845" t="s">
        <v>796</v>
      </c>
      <c r="Z149">
        <f>0.0125+0.05</f>
        <v>6.25E-2</v>
      </c>
      <c r="AA149">
        <f>X150*Z149</f>
        <v>1.1329964409689484</v>
      </c>
      <c r="AB149" s="35"/>
      <c r="AC149" s="498">
        <f>'Fuel Production'!G60</f>
        <v>29.680804781841001</v>
      </c>
      <c r="AD149" s="35" t="s">
        <v>257</v>
      </c>
      <c r="AE149" s="498">
        <f>SUM(AE136:AE140)</f>
        <v>28.113649595930223</v>
      </c>
      <c r="AF149" s="15" t="s">
        <v>788</v>
      </c>
      <c r="AG149" s="498">
        <v>4.07327586206896</v>
      </c>
      <c r="AH149" s="551">
        <f>AG149/AG157</f>
        <v>0.18138195777351243</v>
      </c>
      <c r="AI149" s="35"/>
      <c r="AJ149" s="35" t="s">
        <v>786</v>
      </c>
      <c r="AK149" s="35">
        <v>0</v>
      </c>
      <c r="AL149" s="551">
        <f>AK149/AK162</f>
        <v>0</v>
      </c>
      <c r="AM149" s="556">
        <f>AL149*L141</f>
        <v>0</v>
      </c>
      <c r="AN149" s="252"/>
      <c r="AP149" s="144">
        <f>AE130</f>
        <v>5.4851747139796432</v>
      </c>
      <c r="AQ149" t="s">
        <v>792</v>
      </c>
      <c r="AR149">
        <v>0.82899999999999996</v>
      </c>
      <c r="AT149" s="818" t="s">
        <v>960</v>
      </c>
      <c r="AU149" s="144">
        <f t="shared" si="16"/>
        <v>0.93796487609051926</v>
      </c>
      <c r="AV149" s="144">
        <f t="shared" si="17"/>
        <v>4.5472098378891239</v>
      </c>
      <c r="AW149" t="s">
        <v>62</v>
      </c>
      <c r="BJ149" s="706"/>
      <c r="BK149" s="706" t="s">
        <v>1632</v>
      </c>
      <c r="BL149" s="706" t="s">
        <v>1657</v>
      </c>
      <c r="BM149" s="706" t="s">
        <v>1658</v>
      </c>
      <c r="BN149" s="706">
        <v>3.73</v>
      </c>
      <c r="BO149" s="849">
        <f>CG178</f>
        <v>0</v>
      </c>
      <c r="BP149" s="706"/>
    </row>
    <row r="150" spans="1:68" ht="15.75" thickBot="1" x14ac:dyDescent="0.3">
      <c r="A150" s="360"/>
      <c r="B150" s="360" t="s">
        <v>796</v>
      </c>
      <c r="C150" s="1151"/>
      <c r="D150" s="411">
        <f>A149*C149*6/15</f>
        <v>0</v>
      </c>
      <c r="E150" s="35"/>
      <c r="F150" s="498">
        <f>'Fuel Production'!Z74</f>
        <v>0</v>
      </c>
      <c r="G150" s="35" t="s">
        <v>270</v>
      </c>
      <c r="H150" s="498">
        <f>F150</f>
        <v>0</v>
      </c>
      <c r="J150" s="268"/>
      <c r="K150" s="35"/>
      <c r="L150" s="155" t="s">
        <v>474</v>
      </c>
      <c r="M150" s="282">
        <f>FuelProd2!AA79</f>
        <v>2.8805158064516134</v>
      </c>
      <c r="N150" s="155" t="s">
        <v>474</v>
      </c>
      <c r="O150" s="282">
        <f>M150</f>
        <v>2.8805158064516134</v>
      </c>
      <c r="P150" s="35"/>
      <c r="Q150" s="35"/>
      <c r="R150" s="35"/>
      <c r="S150" s="35"/>
      <c r="T150" s="35"/>
      <c r="U150" s="35"/>
      <c r="V150" s="35"/>
      <c r="W150" s="35"/>
      <c r="X150" s="407">
        <f>O151</f>
        <v>18.127943055503174</v>
      </c>
      <c r="Y150" t="s">
        <v>798</v>
      </c>
      <c r="Z150">
        <v>0.15</v>
      </c>
      <c r="AA150">
        <f>X150*Z150</f>
        <v>2.7191914583254762</v>
      </c>
      <c r="AB150" s="35"/>
      <c r="AC150" s="498">
        <f>'Fuel Production'!G61</f>
        <v>47.741294483998971</v>
      </c>
      <c r="AD150" s="35" t="s">
        <v>160</v>
      </c>
      <c r="AE150" s="498">
        <f>SUM(AE129:AE135)</f>
        <v>49.468371034375835</v>
      </c>
      <c r="AF150" s="15" t="s">
        <v>793</v>
      </c>
      <c r="AG150" s="498">
        <v>4.2456896551724101</v>
      </c>
      <c r="AH150" s="551">
        <f>AG150/AG157</f>
        <v>0.18905950095969293</v>
      </c>
      <c r="AI150" s="35"/>
      <c r="AJ150" s="35" t="s">
        <v>787</v>
      </c>
      <c r="AK150" s="35">
        <v>0</v>
      </c>
      <c r="AL150" s="551">
        <f>AK150/AK162</f>
        <v>0</v>
      </c>
      <c r="AM150" s="556">
        <f>L142*AL150</f>
        <v>0</v>
      </c>
      <c r="AN150" s="252"/>
      <c r="AP150" s="144">
        <f>AE129</f>
        <v>2.7968248174416175</v>
      </c>
      <c r="AQ150" t="s">
        <v>791</v>
      </c>
      <c r="AR150">
        <v>0.82899999999999996</v>
      </c>
      <c r="AT150" s="818" t="s">
        <v>964</v>
      </c>
      <c r="AU150" s="144">
        <f t="shared" si="16"/>
        <v>0.47825704378251688</v>
      </c>
      <c r="AV150" s="144">
        <f t="shared" si="17"/>
        <v>2.3185677736591006</v>
      </c>
      <c r="AW150" t="s">
        <v>62</v>
      </c>
      <c r="BJ150" s="706"/>
      <c r="BK150" s="706" t="s">
        <v>1637</v>
      </c>
      <c r="BL150" s="706" t="s">
        <v>1659</v>
      </c>
      <c r="BM150" s="706" t="s">
        <v>1661</v>
      </c>
      <c r="BN150" s="706">
        <v>258</v>
      </c>
      <c r="BO150" s="849">
        <f>CG183</f>
        <v>205.73986110286396</v>
      </c>
      <c r="BP150" s="706"/>
    </row>
    <row r="151" spans="1:68" x14ac:dyDescent="0.25">
      <c r="A151" s="410" t="s">
        <v>802</v>
      </c>
      <c r="B151" s="845" t="s">
        <v>796</v>
      </c>
      <c r="C151">
        <v>0</v>
      </c>
      <c r="D151">
        <f>A152*C151</f>
        <v>0</v>
      </c>
      <c r="E151" s="35"/>
      <c r="F151" s="498">
        <f>'Fuel Production'!X74</f>
        <v>0</v>
      </c>
      <c r="G151" s="35" t="s">
        <v>257</v>
      </c>
      <c r="H151" s="498">
        <f>SUM(H138:H142)</f>
        <v>15.341519555354937</v>
      </c>
      <c r="J151" s="268"/>
      <c r="K151" s="35"/>
      <c r="L151" s="155" t="s">
        <v>483</v>
      </c>
      <c r="M151" s="282">
        <f>FuelProd2!AA85</f>
        <v>18.127943055503174</v>
      </c>
      <c r="N151" s="155" t="s">
        <v>483</v>
      </c>
      <c r="O151" s="282">
        <f>M151</f>
        <v>18.127943055503174</v>
      </c>
      <c r="P151" s="35"/>
      <c r="Q151" s="35"/>
      <c r="R151" s="35"/>
      <c r="S151" s="35"/>
      <c r="T151" s="35"/>
      <c r="U151" s="35"/>
      <c r="V151" s="35"/>
      <c r="W151" s="35"/>
      <c r="X151" s="410"/>
      <c r="Y151" t="s">
        <v>790</v>
      </c>
      <c r="Z151">
        <f>0.1125+0.0125+0.0075</f>
        <v>0.13250000000000001</v>
      </c>
      <c r="AA151">
        <f>X150*Z151</f>
        <v>2.4019524548541709</v>
      </c>
      <c r="AB151" s="35"/>
      <c r="AC151" s="498">
        <f>'Fuel Production'!G62</f>
        <v>6.5801784186156915</v>
      </c>
      <c r="AD151" s="29" t="s">
        <v>112</v>
      </c>
      <c r="AE151" s="498">
        <f>SUM(AE126:AE128)</f>
        <v>6.4202570541496025</v>
      </c>
      <c r="AF151" s="15" t="s">
        <v>797</v>
      </c>
      <c r="AG151" s="498">
        <v>3.81465517241379</v>
      </c>
      <c r="AH151" s="551">
        <f>AG151/AG157</f>
        <v>0.16986564299424189</v>
      </c>
      <c r="AI151" s="35"/>
      <c r="AJ151" s="35" t="s">
        <v>789</v>
      </c>
      <c r="AK151" s="35">
        <v>0.05</v>
      </c>
      <c r="AL151" s="551">
        <f>AK151/AK162</f>
        <v>2.1598272138228943E-3</v>
      </c>
      <c r="AM151" s="556">
        <f>L142*AL151</f>
        <v>0.15563695858841012</v>
      </c>
      <c r="AN151" s="252"/>
      <c r="AP151" s="144">
        <f>SUM(AP144:AP150)</f>
        <v>49.468371034375842</v>
      </c>
      <c r="BA151" t="s">
        <v>956</v>
      </c>
      <c r="BB151" t="s">
        <v>1576</v>
      </c>
      <c r="BJ151" s="706"/>
      <c r="BK151" s="706" t="s">
        <v>1641</v>
      </c>
      <c r="BL151" s="706" t="s">
        <v>1665</v>
      </c>
      <c r="BM151" s="706" t="s">
        <v>1666</v>
      </c>
      <c r="BN151" s="706">
        <v>3.57</v>
      </c>
      <c r="BO151" s="849">
        <f>CG187</f>
        <v>3.5923301285118292</v>
      </c>
      <c r="BP151" s="706"/>
    </row>
    <row r="152" spans="1:68" x14ac:dyDescent="0.25">
      <c r="A152" s="407">
        <f>X150</f>
        <v>18.127943055503174</v>
      </c>
      <c r="B152" t="s">
        <v>798</v>
      </c>
      <c r="C152">
        <v>0</v>
      </c>
      <c r="D152">
        <f>A152*C152</f>
        <v>0</v>
      </c>
      <c r="E152" s="35"/>
      <c r="F152" s="498">
        <f>'Fuel Production'!W74</f>
        <v>0</v>
      </c>
      <c r="G152" s="35" t="s">
        <v>160</v>
      </c>
      <c r="H152" s="498">
        <f>SUM(H131:H137)</f>
        <v>67.006554152854491</v>
      </c>
      <c r="J152" s="268"/>
      <c r="K152" s="35"/>
      <c r="L152" s="35"/>
      <c r="M152" s="35"/>
      <c r="N152" s="35"/>
      <c r="O152" s="498">
        <f>SUM(O147:O151)</f>
        <v>83.285688376453891</v>
      </c>
      <c r="P152" s="35"/>
      <c r="Q152" s="35"/>
      <c r="R152" s="35"/>
      <c r="S152" s="35"/>
      <c r="T152" s="35"/>
      <c r="U152" s="35"/>
      <c r="V152" s="35"/>
      <c r="W152" s="35"/>
      <c r="X152" s="410"/>
      <c r="Y152" t="s">
        <v>799</v>
      </c>
      <c r="AA152">
        <f>X150*Z152</f>
        <v>0</v>
      </c>
      <c r="AB152" s="35"/>
      <c r="AC152" s="498">
        <f>SUM(AC148:AC151)</f>
        <v>88.17792383054713</v>
      </c>
      <c r="AD152" s="35"/>
      <c r="AE152" s="498">
        <f>SUM(AE148:AE151)</f>
        <v>88.17792383054713</v>
      </c>
      <c r="AF152" s="15" t="s">
        <v>794</v>
      </c>
      <c r="AG152" s="498">
        <v>3.0172413793103399</v>
      </c>
      <c r="AH152" s="551">
        <f>AG152/AG157</f>
        <v>0.13435700575815732</v>
      </c>
      <c r="AI152" s="35"/>
      <c r="AJ152" s="35" t="s">
        <v>791</v>
      </c>
      <c r="AK152" s="35">
        <v>2</v>
      </c>
      <c r="AL152" s="551">
        <f>AK152/AK162</f>
        <v>8.6393088552915775E-2</v>
      </c>
      <c r="AM152" s="556">
        <f>AL152*L142</f>
        <v>6.2254783435364045</v>
      </c>
      <c r="AN152" s="252"/>
      <c r="AU152" t="s">
        <v>1565</v>
      </c>
      <c r="AV152" t="s">
        <v>1566</v>
      </c>
      <c r="BJ152" s="706"/>
      <c r="BK152" s="706" t="s">
        <v>1599</v>
      </c>
      <c r="BL152" t="s">
        <v>1674</v>
      </c>
      <c r="BM152" s="706" t="s">
        <v>1675</v>
      </c>
      <c r="BN152" s="851" t="s">
        <v>131</v>
      </c>
      <c r="BO152" s="849">
        <f>CG190</f>
        <v>73.260262561303861</v>
      </c>
      <c r="BP152" s="706"/>
    </row>
    <row r="153" spans="1:68" ht="15.75" thickBot="1" x14ac:dyDescent="0.3">
      <c r="A153" s="410"/>
      <c r="B153" t="s">
        <v>790</v>
      </c>
      <c r="C153">
        <v>0</v>
      </c>
      <c r="D153">
        <f>A152*C153</f>
        <v>0</v>
      </c>
      <c r="E153" s="35"/>
      <c r="F153" s="498">
        <f>'Fuel Production'!Y74</f>
        <v>0</v>
      </c>
      <c r="G153" s="29" t="s">
        <v>112</v>
      </c>
      <c r="H153" s="498">
        <f>SUM(H128:H130)</f>
        <v>2.5202693040171091</v>
      </c>
      <c r="J153" s="268"/>
      <c r="K153" s="35"/>
      <c r="L153" s="35"/>
      <c r="M153" s="35"/>
      <c r="N153" s="35"/>
      <c r="O153" s="35"/>
      <c r="P153" s="35"/>
      <c r="Q153" s="35"/>
      <c r="R153" s="35"/>
      <c r="S153" s="35"/>
      <c r="T153" s="35"/>
      <c r="U153" s="35"/>
      <c r="V153" s="35"/>
      <c r="W153" s="35"/>
      <c r="X153" s="410"/>
      <c r="Y153" t="s">
        <v>788</v>
      </c>
      <c r="AA153">
        <f>X150*Z153</f>
        <v>0</v>
      </c>
      <c r="AB153" s="35"/>
      <c r="AC153" s="35"/>
      <c r="AD153" s="35"/>
      <c r="AE153" s="35"/>
      <c r="AF153" s="15" t="s">
        <v>792</v>
      </c>
      <c r="AG153" s="498">
        <v>2.5215517241379302</v>
      </c>
      <c r="AH153" s="551">
        <f>AG153/AG157</f>
        <v>0.11228406909788875</v>
      </c>
      <c r="AI153" s="35"/>
      <c r="AJ153" s="35" t="s">
        <v>792</v>
      </c>
      <c r="AK153" s="35">
        <v>2.5</v>
      </c>
      <c r="AL153" s="551">
        <f>AK153/AK162</f>
        <v>0.10799136069114472</v>
      </c>
      <c r="AM153" s="556">
        <f>L142*AL153</f>
        <v>7.7818479294205058</v>
      </c>
      <c r="AN153" s="252"/>
      <c r="AT153" s="818" t="s">
        <v>954</v>
      </c>
      <c r="AU153" s="319">
        <f>AU144/AP151</f>
        <v>2.4317640839805296E-2</v>
      </c>
      <c r="AV153" s="319">
        <f>AV144/AP151</f>
        <v>0.11789078512396833</v>
      </c>
      <c r="BJ153" s="706"/>
      <c r="BK153" s="206" t="s">
        <v>1607</v>
      </c>
      <c r="BL153" s="206"/>
      <c r="BM153" s="206"/>
      <c r="BN153" s="852" t="s">
        <v>131</v>
      </c>
      <c r="BO153" s="850">
        <f>CG191</f>
        <v>24.92541239168628</v>
      </c>
      <c r="BP153" s="706"/>
    </row>
    <row r="154" spans="1:68" ht="15.75" thickBot="1" x14ac:dyDescent="0.3">
      <c r="A154" s="410"/>
      <c r="B154" t="s">
        <v>799</v>
      </c>
      <c r="D154">
        <f>A152*C154</f>
        <v>0</v>
      </c>
      <c r="E154" s="35"/>
      <c r="F154" s="498">
        <f>AC152</f>
        <v>88.17792383054713</v>
      </c>
      <c r="G154" s="35"/>
      <c r="H154" s="498">
        <f>SUM(H150:H153)</f>
        <v>84.868343012226532</v>
      </c>
      <c r="J154" s="268"/>
      <c r="K154" s="35"/>
      <c r="L154" s="35"/>
      <c r="M154" s="35"/>
      <c r="N154" s="35"/>
      <c r="O154" s="35"/>
      <c r="P154" s="35"/>
      <c r="Q154" s="35"/>
      <c r="R154" s="35"/>
      <c r="S154" s="35"/>
      <c r="T154" s="35"/>
      <c r="U154" s="35"/>
      <c r="V154" s="35"/>
      <c r="W154" s="35"/>
      <c r="X154" s="410"/>
      <c r="Y154" s="410" t="s">
        <v>793</v>
      </c>
      <c r="Z154" s="410">
        <v>0.1</v>
      </c>
      <c r="AA154" s="399">
        <f>X150*Z154</f>
        <v>1.8127943055503175</v>
      </c>
      <c r="AB154" s="35"/>
      <c r="AC154" s="35"/>
      <c r="AD154" s="35"/>
      <c r="AE154" s="35"/>
      <c r="AF154" s="15" t="s">
        <v>791</v>
      </c>
      <c r="AG154" s="498">
        <v>1.48706896551724</v>
      </c>
      <c r="AH154" s="551">
        <f>AG154/AG157</f>
        <v>6.6218809980806148E-2</v>
      </c>
      <c r="AI154" s="35"/>
      <c r="AJ154" s="35" t="s">
        <v>794</v>
      </c>
      <c r="AK154" s="35">
        <v>2.6</v>
      </c>
      <c r="AL154" s="551">
        <f>AK154/AK162</f>
        <v>0.11231101511879051</v>
      </c>
      <c r="AM154" s="556">
        <f>L142*AL154</f>
        <v>8.0931218465973256</v>
      </c>
      <c r="AN154" s="252"/>
      <c r="AT154" s="818" t="s">
        <v>955</v>
      </c>
      <c r="AU154" s="319">
        <f>AU145/AP151</f>
        <v>2.8541507029498942E-2</v>
      </c>
      <c r="AV154" s="319">
        <f>AV145/AP151</f>
        <v>0.13836789080382811</v>
      </c>
      <c r="BJ154" s="706"/>
      <c r="BK154" s="706"/>
      <c r="BL154" s="706"/>
      <c r="BM154" s="706"/>
      <c r="BN154" s="706"/>
      <c r="BO154" s="849"/>
      <c r="BP154" s="706"/>
    </row>
    <row r="155" spans="1:68" ht="15.75" customHeight="1" thickBot="1" x14ac:dyDescent="0.3">
      <c r="A155" s="410"/>
      <c r="B155" t="s">
        <v>788</v>
      </c>
      <c r="D155">
        <f>A152*C155</f>
        <v>0</v>
      </c>
      <c r="E155" s="35"/>
      <c r="F155" s="35"/>
      <c r="G155" s="35"/>
      <c r="H155" s="35"/>
      <c r="J155" s="268"/>
      <c r="K155" s="35"/>
      <c r="L155" s="35"/>
      <c r="M155" s="35"/>
      <c r="N155" s="35"/>
      <c r="O155" s="35"/>
      <c r="P155" s="35"/>
      <c r="Q155" s="35"/>
      <c r="R155" s="35"/>
      <c r="S155" s="35"/>
      <c r="T155" s="35"/>
      <c r="U155" s="35"/>
      <c r="V155" s="35"/>
      <c r="W155" s="35"/>
      <c r="Y155" s="410" t="s">
        <v>797</v>
      </c>
      <c r="Z155" s="410">
        <v>7.4999999999999997E-2</v>
      </c>
      <c r="AA155" s="399">
        <f>X150*Z155</f>
        <v>1.3595957291627381</v>
      </c>
      <c r="AB155" s="35"/>
      <c r="AC155" s="35"/>
      <c r="AD155" s="35"/>
      <c r="AE155" s="35"/>
      <c r="AF155" s="15" t="s">
        <v>789</v>
      </c>
      <c r="AG155" s="498">
        <v>0.12931034482758599</v>
      </c>
      <c r="AH155" s="551">
        <f>AG155/AG157</f>
        <v>5.7581573896353135E-3</v>
      </c>
      <c r="AI155" s="35"/>
      <c r="AJ155" s="35" t="s">
        <v>797</v>
      </c>
      <c r="AK155" s="35">
        <v>3.75</v>
      </c>
      <c r="AL155" s="551">
        <f>AK155/AK162</f>
        <v>0.16198704103671707</v>
      </c>
      <c r="AM155" s="556">
        <f>AL155*L142</f>
        <v>11.672771894130758</v>
      </c>
      <c r="AN155" s="252"/>
      <c r="AT155" s="818" t="s">
        <v>956</v>
      </c>
      <c r="AU155" s="319">
        <f>AU146/AP151</f>
        <v>3.4193020083984227E-2</v>
      </c>
      <c r="AV155" s="319">
        <f>AV146/AP151</f>
        <v>0.16576616169370126</v>
      </c>
      <c r="BA155" t="s">
        <v>957</v>
      </c>
      <c r="BB155" t="s">
        <v>1574</v>
      </c>
      <c r="BC155">
        <v>2849.4</v>
      </c>
      <c r="BE155">
        <v>756.58</v>
      </c>
      <c r="BJ155" s="706"/>
      <c r="BK155" s="706"/>
      <c r="BL155" s="706"/>
      <c r="BM155" s="706"/>
      <c r="BN155" s="706"/>
      <c r="BO155" s="706"/>
      <c r="BP155" s="706"/>
    </row>
    <row r="156" spans="1:68" ht="15.75" thickBot="1" x14ac:dyDescent="0.3">
      <c r="A156" s="410"/>
      <c r="B156" s="410" t="s">
        <v>793</v>
      </c>
      <c r="C156" s="410">
        <v>0.2</v>
      </c>
      <c r="D156" s="399">
        <f>A152*C156</f>
        <v>3.625588611100635</v>
      </c>
      <c r="E156" s="35"/>
      <c r="F156" s="35"/>
      <c r="G156" s="35"/>
      <c r="H156" s="35"/>
      <c r="J156" s="268"/>
      <c r="K156" s="35"/>
      <c r="L156" s="35"/>
      <c r="M156" s="35"/>
      <c r="N156" s="35"/>
      <c r="O156" s="35"/>
      <c r="P156" s="35"/>
      <c r="Q156" s="35"/>
      <c r="W156" s="35"/>
      <c r="Y156" s="410" t="s">
        <v>794</v>
      </c>
      <c r="Z156" s="410">
        <f>0.08</f>
        <v>0.08</v>
      </c>
      <c r="AA156" s="407">
        <f>X150*Z156</f>
        <v>1.4502354444402539</v>
      </c>
      <c r="AB156" s="35"/>
      <c r="AC156" s="35">
        <v>83.733468113496301</v>
      </c>
      <c r="AD156" s="35"/>
      <c r="AE156" s="35"/>
      <c r="AF156" s="15" t="s">
        <v>787</v>
      </c>
      <c r="AG156" s="498">
        <v>0.51724137931034397</v>
      </c>
      <c r="AH156" s="35"/>
      <c r="AI156" s="35"/>
      <c r="AJ156" s="35" t="s">
        <v>793</v>
      </c>
      <c r="AK156" s="35">
        <v>4</v>
      </c>
      <c r="AL156" s="551">
        <f>AK156/AK162</f>
        <v>0.17278617710583155</v>
      </c>
      <c r="AM156" s="556">
        <f>L142*AL156</f>
        <v>12.450956687072809</v>
      </c>
      <c r="AN156" s="252"/>
      <c r="AT156" s="818" t="s">
        <v>957</v>
      </c>
      <c r="AU156" s="319">
        <f>AU147/AP151</f>
        <v>3.0952814369672815E-2</v>
      </c>
      <c r="AV156" s="319">
        <f>AV147/AP151</f>
        <v>0.15005779597929098</v>
      </c>
      <c r="BD156" t="s">
        <v>1577</v>
      </c>
      <c r="BJ156" s="706"/>
      <c r="BK156" s="706"/>
      <c r="BL156" s="706"/>
      <c r="BM156" s="706"/>
      <c r="BN156" s="706"/>
      <c r="BO156" s="849"/>
      <c r="BP156" s="706"/>
    </row>
    <row r="157" spans="1:68" x14ac:dyDescent="0.25">
      <c r="B157" s="410" t="s">
        <v>797</v>
      </c>
      <c r="C157" s="410">
        <v>0.2</v>
      </c>
      <c r="D157" s="399">
        <f>A152*C157</f>
        <v>3.625588611100635</v>
      </c>
      <c r="E157" s="35"/>
      <c r="F157" s="35"/>
      <c r="G157" s="35"/>
      <c r="H157" s="35"/>
      <c r="J157" s="268"/>
      <c r="K157" s="35"/>
      <c r="L157" s="35"/>
      <c r="M157" s="35"/>
      <c r="Q157" s="35"/>
      <c r="R157" s="892" t="s">
        <v>1034</v>
      </c>
      <c r="S157" s="892"/>
      <c r="T157" s="892"/>
      <c r="U157" s="892"/>
      <c r="V157" s="35"/>
      <c r="W157" s="35"/>
      <c r="X157" s="35"/>
      <c r="Y157" s="410" t="s">
        <v>792</v>
      </c>
      <c r="Z157" s="410">
        <v>0.3</v>
      </c>
      <c r="AA157" s="407">
        <f>X150*Z157</f>
        <v>5.4383829166509523</v>
      </c>
      <c r="AB157" s="35"/>
      <c r="AC157" s="35"/>
      <c r="AD157" s="35"/>
      <c r="AE157" s="35"/>
      <c r="AF157" s="15"/>
      <c r="AG157" s="498">
        <f>SUM(AG148:AG155)</f>
        <v>22.456896551724114</v>
      </c>
      <c r="AH157" s="35"/>
      <c r="AI157" s="35"/>
      <c r="AJ157" s="35" t="s">
        <v>788</v>
      </c>
      <c r="AK157" s="35">
        <v>3.8</v>
      </c>
      <c r="AL157" s="551">
        <f>AK157/AK162</f>
        <v>0.16414686825053995</v>
      </c>
      <c r="AM157" s="556">
        <f>L142*AL157</f>
        <v>11.828408852719168</v>
      </c>
      <c r="AN157" s="252"/>
      <c r="AT157" s="818" t="s">
        <v>958</v>
      </c>
      <c r="AU157" s="319">
        <f>AU148/AP151</f>
        <v>2.4366180901942692E-2</v>
      </c>
      <c r="AV157" s="319">
        <f>AV148/AP151</f>
        <v>0.11812610507433036</v>
      </c>
      <c r="BD157" t="s">
        <v>1578</v>
      </c>
      <c r="BJ157" s="706"/>
      <c r="BK157" s="706"/>
      <c r="BL157" s="706"/>
      <c r="BM157" s="706"/>
      <c r="BN157" s="706"/>
      <c r="BO157" s="849"/>
      <c r="BP157" s="706"/>
    </row>
    <row r="158" spans="1:68" x14ac:dyDescent="0.25">
      <c r="B158" s="410" t="s">
        <v>794</v>
      </c>
      <c r="C158" s="410">
        <v>0.2</v>
      </c>
      <c r="D158" s="407">
        <f>A152*C158</f>
        <v>3.625588611100635</v>
      </c>
      <c r="E158" s="35"/>
      <c r="F158" s="35">
        <v>83.733468113496343</v>
      </c>
      <c r="G158" s="35"/>
      <c r="H158" s="1148" t="s">
        <v>1726</v>
      </c>
      <c r="J158" s="268"/>
      <c r="K158" s="35"/>
      <c r="L158" s="1148" t="s">
        <v>1726</v>
      </c>
      <c r="M158" s="35"/>
      <c r="Q158" s="35"/>
      <c r="R158" s="139"/>
      <c r="S158" s="1031" t="s">
        <v>1444</v>
      </c>
      <c r="T158" s="1031" t="s">
        <v>1445</v>
      </c>
      <c r="U158" s="1031" t="s">
        <v>1446</v>
      </c>
      <c r="V158" s="35"/>
      <c r="Y158" s="410" t="s">
        <v>791</v>
      </c>
      <c r="Z158" s="410">
        <v>0.1</v>
      </c>
      <c r="AA158" s="407">
        <f>X150*Z158</f>
        <v>1.8127943055503175</v>
      </c>
      <c r="AC158" s="35"/>
      <c r="AD158" s="35"/>
      <c r="AE158" s="35"/>
      <c r="AF158" s="15"/>
      <c r="AG158" s="35"/>
      <c r="AH158" s="35"/>
      <c r="AI158" s="35"/>
      <c r="AJ158" s="35" t="s">
        <v>799</v>
      </c>
      <c r="AK158" s="35">
        <v>2.65</v>
      </c>
      <c r="AL158" s="551">
        <f>AK158/AK162</f>
        <v>0.1144708423326134</v>
      </c>
      <c r="AM158" s="556">
        <f>AL158*L142</f>
        <v>8.2487588051857355</v>
      </c>
      <c r="AN158" s="252"/>
      <c r="AT158" s="818" t="s">
        <v>960</v>
      </c>
      <c r="AU158" s="319">
        <f>AU149/AP151</f>
        <v>1.8960900803439078E-2</v>
      </c>
      <c r="AV158" s="319">
        <f>AV149/AP151</f>
        <v>9.1921560035385902E-2</v>
      </c>
      <c r="BJ158" s="706"/>
      <c r="BK158" s="706"/>
      <c r="BL158" s="706"/>
      <c r="BM158" s="706"/>
      <c r="BN158" s="706"/>
      <c r="BO158" s="706"/>
      <c r="BP158" s="706"/>
    </row>
    <row r="159" spans="1:68" ht="15.75" thickBot="1" x14ac:dyDescent="0.3">
      <c r="A159" s="35"/>
      <c r="B159" s="410" t="s">
        <v>792</v>
      </c>
      <c r="C159" s="410">
        <v>0.2</v>
      </c>
      <c r="D159" s="407">
        <f>A152*C159</f>
        <v>3.625588611100635</v>
      </c>
      <c r="E159" s="35"/>
      <c r="F159" s="35"/>
      <c r="G159" s="35"/>
      <c r="H159" s="1148"/>
      <c r="J159" s="268"/>
      <c r="K159" s="35"/>
      <c r="L159" s="1148"/>
      <c r="M159" s="35"/>
      <c r="Q159" s="35"/>
      <c r="R159" s="139"/>
      <c r="S159" s="1031"/>
      <c r="T159" s="1031"/>
      <c r="U159" s="1031"/>
      <c r="V159" s="35"/>
      <c r="Y159" s="410" t="s">
        <v>789</v>
      </c>
      <c r="Z159" s="410">
        <v>0</v>
      </c>
      <c r="AA159" s="407">
        <f>X150*Z159</f>
        <v>0</v>
      </c>
      <c r="AC159" s="35"/>
      <c r="AD159" s="35"/>
      <c r="AE159" s="35"/>
      <c r="AF159" s="15"/>
      <c r="AG159" s="35"/>
      <c r="AH159" s="35"/>
      <c r="AI159" s="35"/>
      <c r="AJ159" s="35" t="s">
        <v>790</v>
      </c>
      <c r="AK159" s="35">
        <v>1.8</v>
      </c>
      <c r="AL159" s="551">
        <f>AK159/AK162</f>
        <v>7.7753779697624203E-2</v>
      </c>
      <c r="AM159" s="556">
        <f>L142*AL159</f>
        <v>5.6029305091827641</v>
      </c>
      <c r="AN159" s="252"/>
      <c r="AT159" s="818" t="s">
        <v>964</v>
      </c>
      <c r="AU159" s="319">
        <f>AU150/AP151</f>
        <v>9.66793597165699E-3</v>
      </c>
      <c r="AV159" s="319">
        <f>AV150/AP151</f>
        <v>4.6869701289494962E-2</v>
      </c>
      <c r="BA159" t="s">
        <v>958</v>
      </c>
      <c r="BB159" t="s">
        <v>1579</v>
      </c>
      <c r="BJ159" s="706"/>
      <c r="BK159" s="706"/>
      <c r="BL159" s="706"/>
      <c r="BM159" s="706"/>
      <c r="BN159" s="706"/>
      <c r="BO159" s="706"/>
      <c r="BP159" s="706"/>
    </row>
    <row r="160" spans="1:68" ht="15.75" thickBot="1" x14ac:dyDescent="0.3">
      <c r="B160" s="410" t="s">
        <v>791</v>
      </c>
      <c r="C160" s="410">
        <v>0.2</v>
      </c>
      <c r="D160" s="407">
        <f>A152*C160</f>
        <v>3.625588611100635</v>
      </c>
      <c r="F160" s="35"/>
      <c r="G160" s="139" t="s">
        <v>786</v>
      </c>
      <c r="H160" s="498">
        <f>(X128-AA127)/BJ100</f>
        <v>58.013157827841255</v>
      </c>
      <c r="J160" s="268"/>
      <c r="K160" s="139" t="s">
        <v>786</v>
      </c>
      <c r="L160" s="498">
        <f>(X128-AA127)/BJ100</f>
        <v>58.013157827841255</v>
      </c>
      <c r="O160" t="s">
        <v>786</v>
      </c>
      <c r="P160" s="144">
        <f>X128</f>
        <v>18.419177610339599</v>
      </c>
      <c r="Q160" s="35"/>
      <c r="R160" s="139" t="s">
        <v>786</v>
      </c>
      <c r="S160" s="139">
        <f>((P160+P161-P169)*P160/(P160+P161)/BJ100)</f>
        <v>64.69691555037474</v>
      </c>
      <c r="T160" s="139">
        <v>0.9</v>
      </c>
      <c r="U160" s="139">
        <f>S160*T160</f>
        <v>58.227223995337269</v>
      </c>
      <c r="V160" s="35"/>
      <c r="X160" s="865" t="s">
        <v>804</v>
      </c>
      <c r="Y160" s="865"/>
      <c r="Z160" s="865"/>
      <c r="AA160" s="420">
        <f>SUM(AA132:AA159)+SUM(AA127:AA129)</f>
        <v>83.285688376453891</v>
      </c>
      <c r="AC160" s="35"/>
      <c r="AD160" s="35"/>
      <c r="AE160" s="35"/>
      <c r="AF160" s="15"/>
      <c r="AG160" s="35"/>
      <c r="AH160" s="35"/>
      <c r="AI160" s="35"/>
      <c r="AJ160" s="35" t="s">
        <v>798</v>
      </c>
      <c r="AK160" s="35">
        <v>0</v>
      </c>
      <c r="AL160" s="551">
        <f>AK160/AK162</f>
        <v>0</v>
      </c>
      <c r="AM160" s="556">
        <f>L142*AL160</f>
        <v>0</v>
      </c>
      <c r="AN160" s="252"/>
      <c r="BJ160" s="706"/>
      <c r="BK160" s="706"/>
      <c r="BL160" s="706"/>
      <c r="BM160" s="706"/>
      <c r="BN160" s="706"/>
      <c r="BO160" s="706"/>
      <c r="BP160" s="706"/>
    </row>
    <row r="161" spans="1:99" ht="15.75" thickBot="1" x14ac:dyDescent="0.3">
      <c r="B161" s="410" t="s">
        <v>789</v>
      </c>
      <c r="C161" s="410">
        <v>0</v>
      </c>
      <c r="D161" s="407">
        <f>A152*C161</f>
        <v>0</v>
      </c>
      <c r="F161" s="35"/>
      <c r="G161" s="139" t="s">
        <v>787</v>
      </c>
      <c r="H161" s="35">
        <f>(X133-AA132)/BL100</f>
        <v>166.86490911118389</v>
      </c>
      <c r="J161" s="268"/>
      <c r="K161" s="139" t="s">
        <v>787</v>
      </c>
      <c r="L161" s="35">
        <f>(X133-AA132)/BL100</f>
        <v>166.86490911118389</v>
      </c>
      <c r="M161" s="35"/>
      <c r="O161" t="s">
        <v>787</v>
      </c>
      <c r="P161" s="144">
        <f>X133</f>
        <v>42.603806581578866</v>
      </c>
      <c r="Q161" s="35"/>
      <c r="R161" s="139" t="s">
        <v>787</v>
      </c>
      <c r="S161" s="139">
        <f>((P160+P161-P169)*P161/(P160+P161)/BL100)</f>
        <v>158.37412176461496</v>
      </c>
      <c r="T161" s="139">
        <v>1</v>
      </c>
      <c r="U161" s="139">
        <f t="shared" ref="U161:U165" si="18">S161*T161</f>
        <v>158.37412176461496</v>
      </c>
      <c r="V161" s="35"/>
      <c r="X161" s="35"/>
      <c r="Y161" s="35"/>
      <c r="Z161" s="35"/>
      <c r="AA161" s="35">
        <f>AA160/AC156</f>
        <v>0.99465232066543008</v>
      </c>
      <c r="AC161" s="35"/>
      <c r="AD161" s="35"/>
      <c r="AE161" s="35"/>
      <c r="AF161" s="15"/>
      <c r="AG161" s="35"/>
      <c r="AH161" s="35"/>
      <c r="AI161" s="35"/>
      <c r="AJ161" s="35" t="s">
        <v>796</v>
      </c>
      <c r="AK161" s="35">
        <v>0</v>
      </c>
      <c r="AL161" s="551">
        <f>AK161/AK162</f>
        <v>0</v>
      </c>
      <c r="AM161" s="556">
        <f>AL161*L142</f>
        <v>0</v>
      </c>
      <c r="AN161" s="252"/>
    </row>
    <row r="162" spans="1:99" ht="15.75" thickBot="1" x14ac:dyDescent="0.3">
      <c r="A162" s="865" t="s">
        <v>804</v>
      </c>
      <c r="B162" s="865"/>
      <c r="C162" s="865"/>
      <c r="D162" s="420">
        <f>SUM(D134:D161)+SUM(D129:D131)</f>
        <v>84.137764508085468</v>
      </c>
      <c r="F162" s="35"/>
      <c r="G162" s="139" t="s">
        <v>789</v>
      </c>
      <c r="H162" s="35">
        <f>(T144-W143)/BI100</f>
        <v>11.989380327713738</v>
      </c>
      <c r="J162" s="268"/>
      <c r="K162" s="139" t="s">
        <v>789</v>
      </c>
      <c r="L162" s="35">
        <f>(X144-AA143)/BM100</f>
        <v>4.9947822580645154</v>
      </c>
      <c r="M162" s="35"/>
      <c r="O162" t="s">
        <v>789</v>
      </c>
      <c r="P162" s="144">
        <f>X144</f>
        <v>1.2542453225806449</v>
      </c>
      <c r="Q162" s="35"/>
      <c r="R162" s="139" t="s">
        <v>789</v>
      </c>
      <c r="S162" s="139">
        <f>(P162)/BM100</f>
        <v>5.5497580645161282</v>
      </c>
      <c r="T162" s="139">
        <v>0.9</v>
      </c>
      <c r="U162" s="139">
        <f t="shared" si="18"/>
        <v>4.9947822580645154</v>
      </c>
      <c r="V162" s="35"/>
      <c r="AC162" s="35"/>
      <c r="AD162" s="35"/>
      <c r="AE162" s="35"/>
      <c r="AF162" s="15"/>
      <c r="AG162" s="35"/>
      <c r="AH162" s="35"/>
      <c r="AI162" s="35"/>
      <c r="AJ162" s="35"/>
      <c r="AK162" s="35">
        <f>SUM(AK149:AK161)</f>
        <v>23.15</v>
      </c>
      <c r="AL162" s="35"/>
      <c r="AM162" s="556">
        <f>SUM(AM149:AM161)</f>
        <v>72.05991182643389</v>
      </c>
      <c r="AN162" s="252"/>
    </row>
    <row r="163" spans="1:99" x14ac:dyDescent="0.25">
      <c r="A163" s="35"/>
      <c r="B163" s="35"/>
      <c r="C163" s="35"/>
      <c r="D163" s="35">
        <f>D162/F158</f>
        <v>1.0048283727367069</v>
      </c>
      <c r="F163" s="35"/>
      <c r="G163" s="139" t="s">
        <v>791</v>
      </c>
      <c r="H163" s="35">
        <f>(X147-AA146)/BN100</f>
        <v>9.058225806451615</v>
      </c>
      <c r="J163" s="268"/>
      <c r="K163" s="139" t="s">
        <v>791</v>
      </c>
      <c r="L163" s="35">
        <f>(X147-AA146)/BN100</f>
        <v>9.058225806451615</v>
      </c>
      <c r="M163" s="35"/>
      <c r="O163" t="s">
        <v>791</v>
      </c>
      <c r="P163" s="144">
        <f>X147</f>
        <v>2.8805158064516134</v>
      </c>
      <c r="Q163" s="35"/>
      <c r="R163" s="139" t="s">
        <v>791</v>
      </c>
      <c r="S163" s="139">
        <f>(P163)/BN100</f>
        <v>13.587338709677422</v>
      </c>
      <c r="T163" s="225">
        <v>0.66666666666666663</v>
      </c>
      <c r="U163" s="139">
        <f t="shared" si="18"/>
        <v>9.0582258064516132</v>
      </c>
      <c r="V163" s="35"/>
      <c r="AC163" s="35"/>
      <c r="AD163" s="35"/>
      <c r="AE163" s="35"/>
      <c r="AF163" s="15"/>
      <c r="AG163" s="35"/>
      <c r="AH163" s="35"/>
      <c r="AI163" s="35"/>
      <c r="AJ163" s="35"/>
      <c r="AK163" s="35"/>
      <c r="AL163" s="35"/>
      <c r="AM163" s="16"/>
      <c r="AN163" s="252"/>
      <c r="BA163" t="s">
        <v>960</v>
      </c>
      <c r="BB163" t="s">
        <v>1580</v>
      </c>
    </row>
    <row r="164" spans="1:99" ht="15" customHeight="1" x14ac:dyDescent="0.25">
      <c r="B164" s="35"/>
      <c r="C164" s="35">
        <f>SUM(C129:C161)</f>
        <v>6.0200000000000005</v>
      </c>
      <c r="D164" s="35"/>
      <c r="E164" s="35">
        <f>E163/AC156</f>
        <v>0</v>
      </c>
      <c r="G164" s="139" t="s">
        <v>802</v>
      </c>
      <c r="H164" s="35">
        <f>(X150-AA156)/BP100</f>
        <v>90.639715277515876</v>
      </c>
      <c r="J164" s="268"/>
      <c r="K164" s="139" t="s">
        <v>802</v>
      </c>
      <c r="L164" s="35">
        <f>(X150-AA156)/BP100</f>
        <v>90.639715277515876</v>
      </c>
      <c r="M164" s="35"/>
      <c r="O164" t="s">
        <v>1526</v>
      </c>
      <c r="P164" s="144">
        <f>X150</f>
        <v>18.127943055503174</v>
      </c>
      <c r="Q164" s="35"/>
      <c r="R164" s="139" t="s">
        <v>802</v>
      </c>
      <c r="S164" s="139">
        <f>P164/BP100</f>
        <v>98.521429649473774</v>
      </c>
      <c r="T164" s="139">
        <v>1.1375</v>
      </c>
      <c r="U164" s="139">
        <f t="shared" si="18"/>
        <v>112.06812622627642</v>
      </c>
      <c r="V164" s="35"/>
      <c r="Z164">
        <f>SUM(Z127:Z159)</f>
        <v>6</v>
      </c>
      <c r="AC164" s="35"/>
      <c r="AD164" s="35"/>
      <c r="AE164" s="35"/>
      <c r="AF164" s="15"/>
      <c r="AG164" s="35"/>
      <c r="AH164" s="35"/>
      <c r="AI164" s="35"/>
      <c r="AJ164" s="35"/>
      <c r="AK164" s="35"/>
      <c r="AL164" s="35"/>
      <c r="AM164" s="16"/>
      <c r="AN164" s="252"/>
    </row>
    <row r="165" spans="1:99" ht="15" customHeight="1" x14ac:dyDescent="0.25">
      <c r="G165" s="139" t="s">
        <v>790</v>
      </c>
      <c r="H165" s="35">
        <f>(AA129-AA130)/BU100</f>
        <v>28.723863719827833</v>
      </c>
      <c r="J165" s="268"/>
      <c r="K165" s="139" t="s">
        <v>790</v>
      </c>
      <c r="L165" s="35">
        <f>(AA129-AA130)/BU100</f>
        <v>28.723863719827833</v>
      </c>
      <c r="M165" s="35"/>
      <c r="P165" s="144">
        <f>SUM(P160:P164)</f>
        <v>83.285688376453891</v>
      </c>
      <c r="Q165" s="35"/>
      <c r="R165" s="139" t="s">
        <v>790</v>
      </c>
      <c r="S165" s="139">
        <f>AA129/BU100</f>
        <v>57.447727439655665</v>
      </c>
      <c r="T165" s="139">
        <v>0.5</v>
      </c>
      <c r="U165" s="139">
        <f t="shared" si="18"/>
        <v>28.723863719827833</v>
      </c>
      <c r="V165" s="35"/>
      <c r="AC165" s="35"/>
      <c r="AD165" s="35"/>
      <c r="AE165" s="35"/>
      <c r="AF165" s="13">
        <v>3.1</v>
      </c>
      <c r="AG165" s="11" t="s">
        <v>773</v>
      </c>
      <c r="AH165" s="11"/>
      <c r="AI165" s="11"/>
      <c r="AJ165" s="11"/>
      <c r="AK165" s="11"/>
      <c r="AL165" s="11"/>
      <c r="AM165" s="14"/>
      <c r="AN165" s="252" t="s">
        <v>173</v>
      </c>
      <c r="BA165" t="s">
        <v>964</v>
      </c>
      <c r="BB165" t="s">
        <v>1581</v>
      </c>
    </row>
    <row r="166" spans="1:99" x14ac:dyDescent="0.25">
      <c r="G166" s="769" t="s">
        <v>278</v>
      </c>
      <c r="H166" s="498">
        <f>SUM(H160:H165)</f>
        <v>365.28925207053419</v>
      </c>
      <c r="J166" s="268"/>
      <c r="K166" s="769" t="s">
        <v>278</v>
      </c>
      <c r="L166" s="498">
        <f>SUM(L160:L165)</f>
        <v>358.29465400088498</v>
      </c>
      <c r="M166" s="35"/>
      <c r="Q166" s="35"/>
      <c r="R166" s="139"/>
      <c r="S166" s="139"/>
      <c r="T166" s="139"/>
      <c r="U166" s="139"/>
      <c r="V166" s="35"/>
      <c r="AC166" s="35"/>
      <c r="AD166" s="35"/>
      <c r="AE166" s="35"/>
      <c r="AF166" s="35"/>
      <c r="AG166" s="35"/>
      <c r="AH166" s="35"/>
      <c r="AI166" s="35"/>
      <c r="AJ166" s="35"/>
      <c r="AK166" s="35"/>
      <c r="AL166" s="35"/>
      <c r="AM166" s="35"/>
      <c r="AN166" s="252"/>
    </row>
    <row r="167" spans="1:99" ht="15" customHeight="1" x14ac:dyDescent="0.25">
      <c r="G167" s="35"/>
      <c r="H167" s="35"/>
      <c r="J167" s="268"/>
      <c r="K167" s="35"/>
      <c r="L167" s="35"/>
      <c r="M167" s="35"/>
      <c r="N167" s="813">
        <f>0.341+N171</f>
        <v>0.35333333333333333</v>
      </c>
      <c r="O167" t="s">
        <v>1527</v>
      </c>
      <c r="P167">
        <f>(P165+M173)*N167</f>
        <v>29.680804781841001</v>
      </c>
      <c r="Q167" s="35"/>
      <c r="R167" s="909" t="s">
        <v>1447</v>
      </c>
      <c r="S167" s="910"/>
      <c r="T167" s="911"/>
      <c r="U167" s="139">
        <f>SUM(U160:U165)</f>
        <v>371.44634377057258</v>
      </c>
      <c r="V167" s="35" t="s">
        <v>565</v>
      </c>
      <c r="AC167" s="35"/>
      <c r="AD167" s="35"/>
      <c r="AE167" s="35"/>
      <c r="AF167" s="35"/>
      <c r="AG167" s="35" t="s">
        <v>971</v>
      </c>
      <c r="AH167" s="35" t="s">
        <v>1703</v>
      </c>
      <c r="AI167" s="35" t="s">
        <v>1492</v>
      </c>
      <c r="AJ167" s="35"/>
      <c r="AK167" s="35"/>
      <c r="AL167" s="35"/>
      <c r="AM167" s="35"/>
      <c r="AN167" s="252"/>
      <c r="BJ167" t="s">
        <v>1603</v>
      </c>
    </row>
    <row r="168" spans="1:99" x14ac:dyDescent="0.25">
      <c r="G168" s="1149" t="s">
        <v>1446</v>
      </c>
      <c r="H168" s="1150">
        <f>H166</f>
        <v>365.28925207053419</v>
      </c>
      <c r="J168" s="268" t="s">
        <v>1728</v>
      </c>
      <c r="K168" s="1149" t="s">
        <v>1446</v>
      </c>
      <c r="L168" s="1150">
        <f>L166</f>
        <v>358.29465400088498</v>
      </c>
      <c r="M168" s="35"/>
      <c r="N168" s="813">
        <f>0.556+N171</f>
        <v>0.56833333333333336</v>
      </c>
      <c r="O168" t="s">
        <v>260</v>
      </c>
      <c r="P168">
        <f>(P165+M173)*N168</f>
        <v>47.741294483998971</v>
      </c>
      <c r="Q168" s="35"/>
      <c r="R168" s="909" t="s">
        <v>1448</v>
      </c>
      <c r="S168" s="910"/>
      <c r="T168" s="911"/>
      <c r="U168" s="139">
        <f>0.002</f>
        <v>2E-3</v>
      </c>
      <c r="V168" s="35" t="s">
        <v>62</v>
      </c>
      <c r="AC168" s="35"/>
      <c r="AD168" s="35"/>
      <c r="AE168" s="35">
        <v>16</v>
      </c>
      <c r="AF168" s="268" t="s">
        <v>789</v>
      </c>
      <c r="AG168" s="408">
        <f>AC128/AC143</f>
        <v>2.5572639881152716E-3</v>
      </c>
      <c r="AH168" s="551">
        <f>AH155</f>
        <v>5.7581573896353135E-3</v>
      </c>
      <c r="AI168" s="551">
        <f>AM198/AM199</f>
        <v>3.3613445378151266E-2</v>
      </c>
      <c r="AJ168" s="35"/>
      <c r="AK168" s="35" t="s">
        <v>790</v>
      </c>
      <c r="AL168" s="35">
        <f>AG168*AE168</f>
        <v>4.0916223809844346E-2</v>
      </c>
      <c r="AM168" s="35"/>
      <c r="AN168" s="252"/>
      <c r="BJ168" t="s">
        <v>1609</v>
      </c>
      <c r="BK168" t="s">
        <v>1610</v>
      </c>
    </row>
    <row r="169" spans="1:99" x14ac:dyDescent="0.25">
      <c r="G169" s="1149"/>
      <c r="H169" s="1150"/>
      <c r="J169" s="268"/>
      <c r="K169" s="1149"/>
      <c r="L169" s="1150"/>
      <c r="M169" s="35"/>
      <c r="N169" s="813">
        <f>0.066+N171</f>
        <v>7.833333333333331E-2</v>
      </c>
      <c r="O169" t="s">
        <v>112</v>
      </c>
      <c r="P169" s="144">
        <f>(P165+M173)*N169</f>
        <v>6.5801784186156915</v>
      </c>
      <c r="Q169" s="35"/>
      <c r="R169" s="909" t="s">
        <v>1450</v>
      </c>
      <c r="S169" s="910"/>
      <c r="T169" s="911"/>
      <c r="U169" s="139">
        <f>U167*U168</f>
        <v>0.74289268754114512</v>
      </c>
      <c r="V169" s="35" t="s">
        <v>62</v>
      </c>
      <c r="AC169" s="35"/>
      <c r="AD169" s="35"/>
      <c r="AE169" s="35">
        <v>15</v>
      </c>
      <c r="AF169" s="268" t="s">
        <v>791</v>
      </c>
      <c r="AG169" s="408">
        <f>AC129/AC143</f>
        <v>5.6537637261151949E-2</v>
      </c>
      <c r="AH169" s="551">
        <f>AH154</f>
        <v>6.6218809980806148E-2</v>
      </c>
      <c r="AI169" s="551">
        <f>AL198/AM199</f>
        <v>3.8415366146458581E-2</v>
      </c>
      <c r="AJ169" s="35"/>
      <c r="AK169" s="35" t="s">
        <v>799</v>
      </c>
      <c r="AL169" s="35">
        <f t="shared" ref="AL169:AL175" si="19">AG169*AE169</f>
        <v>0.84806455891727928</v>
      </c>
      <c r="AM169" s="35"/>
      <c r="AN169" s="252"/>
      <c r="BA169" s="999" t="s">
        <v>660</v>
      </c>
      <c r="BB169" s="1000"/>
      <c r="BC169" s="909" t="s">
        <v>1582</v>
      </c>
      <c r="BD169" s="896" t="s">
        <v>1570</v>
      </c>
      <c r="BE169" s="896" t="s">
        <v>1584</v>
      </c>
      <c r="BF169" s="896" t="s">
        <v>1585</v>
      </c>
      <c r="BG169" s="896" t="s">
        <v>1586</v>
      </c>
      <c r="BH169" s="896" t="s">
        <v>1587</v>
      </c>
      <c r="BI169" s="896" t="s">
        <v>1595</v>
      </c>
      <c r="BJ169" s="1156" t="s">
        <v>1596</v>
      </c>
      <c r="BK169" s="896"/>
      <c r="BL169" s="896" t="s">
        <v>1597</v>
      </c>
      <c r="BM169" s="1156" t="s">
        <v>1598</v>
      </c>
      <c r="BN169" s="898" t="s">
        <v>1599</v>
      </c>
      <c r="BO169" s="898" t="s">
        <v>1592</v>
      </c>
      <c r="BP169" s="898" t="s">
        <v>1607</v>
      </c>
      <c r="BQ169" s="898" t="s">
        <v>1588</v>
      </c>
      <c r="BR169" s="898" t="s">
        <v>1589</v>
      </c>
      <c r="BS169" s="898" t="s">
        <v>1590</v>
      </c>
      <c r="BT169" s="898" t="s">
        <v>1591</v>
      </c>
      <c r="BU169" s="898" t="s">
        <v>1593</v>
      </c>
      <c r="BV169" s="898" t="s">
        <v>1594</v>
      </c>
    </row>
    <row r="170" spans="1:99" x14ac:dyDescent="0.25">
      <c r="G170" s="29" t="s">
        <v>1727</v>
      </c>
      <c r="H170" s="35">
        <f>H168*0.002</f>
        <v>0.7305785041410684</v>
      </c>
      <c r="J170" s="268"/>
      <c r="K170" s="29" t="s">
        <v>1727</v>
      </c>
      <c r="L170" s="35">
        <f>L168*0.002</f>
        <v>0.71658930800177001</v>
      </c>
      <c r="M170" s="35" t="s">
        <v>62</v>
      </c>
      <c r="N170" s="814">
        <f>(1-SUM(N167:N169))/3</f>
        <v>0</v>
      </c>
      <c r="O170" s="35"/>
      <c r="P170" s="35"/>
      <c r="Q170" s="35"/>
      <c r="R170" s="139"/>
      <c r="S170" s="139"/>
      <c r="T170" s="139"/>
      <c r="U170" s="139"/>
      <c r="V170" s="35"/>
      <c r="AC170" s="35"/>
      <c r="AD170" s="35"/>
      <c r="AE170" s="35">
        <v>14</v>
      </c>
      <c r="AF170" s="268" t="s">
        <v>792</v>
      </c>
      <c r="AG170" s="408">
        <f>AC130/AC143</f>
        <v>0.11088246083882498</v>
      </c>
      <c r="AH170" s="551">
        <f>AH153</f>
        <v>0.11228406909788875</v>
      </c>
      <c r="AI170" s="551">
        <f>AK198/AM199</f>
        <v>0.10804321728691477</v>
      </c>
      <c r="AJ170" s="35"/>
      <c r="AK170" s="35" t="s">
        <v>788</v>
      </c>
      <c r="AL170" s="35">
        <f t="shared" si="19"/>
        <v>1.5523544517435497</v>
      </c>
      <c r="AM170" s="35"/>
      <c r="AN170" s="252"/>
      <c r="BA170" s="1001"/>
      <c r="BB170" s="1002"/>
      <c r="BC170" s="909"/>
      <c r="BD170" s="896"/>
      <c r="BE170" s="896"/>
      <c r="BF170" s="896"/>
      <c r="BG170" s="896"/>
      <c r="BH170" s="896"/>
      <c r="BI170" s="896"/>
      <c r="BJ170" s="1156"/>
      <c r="BK170" s="896"/>
      <c r="BL170" s="896"/>
      <c r="BM170" s="1156"/>
      <c r="BN170" s="898"/>
      <c r="BO170" s="898"/>
      <c r="BP170" s="898"/>
      <c r="BQ170" s="898"/>
      <c r="BR170" s="898"/>
      <c r="BS170" s="898"/>
      <c r="BT170" s="898"/>
      <c r="BU170" s="898"/>
      <c r="BV170" s="898"/>
    </row>
    <row r="171" spans="1:99" x14ac:dyDescent="0.25">
      <c r="J171" s="268"/>
      <c r="K171" s="35"/>
      <c r="L171" s="35"/>
      <c r="M171" s="35"/>
      <c r="N171" s="814">
        <v>1.2333333333333307E-2</v>
      </c>
      <c r="O171" s="35"/>
      <c r="P171" s="35">
        <f>SUM(P167:P169)</f>
        <v>84.002277684455663</v>
      </c>
      <c r="Q171" s="35"/>
      <c r="V171" s="29" t="s">
        <v>62</v>
      </c>
      <c r="AC171" s="35"/>
      <c r="AD171" s="35"/>
      <c r="AE171" s="29">
        <v>13</v>
      </c>
      <c r="AF171" s="268" t="s">
        <v>794</v>
      </c>
      <c r="AG171" s="408">
        <f>AC131/AC143</f>
        <v>0.14249228597627303</v>
      </c>
      <c r="AH171" s="551">
        <f>AH152</f>
        <v>0.13435700575815732</v>
      </c>
      <c r="AI171" s="551">
        <f>AJ198/AM199</f>
        <v>0.11284513805522209</v>
      </c>
      <c r="AJ171" s="35"/>
      <c r="AK171" s="35" t="s">
        <v>793</v>
      </c>
      <c r="AL171" s="35">
        <f t="shared" si="19"/>
        <v>1.8523997176915494</v>
      </c>
      <c r="AM171" s="35"/>
      <c r="AN171" s="252"/>
      <c r="BA171" s="139" t="s">
        <v>1614</v>
      </c>
      <c r="BB171" s="139" t="s">
        <v>1613</v>
      </c>
      <c r="BC171" s="128" t="s">
        <v>333</v>
      </c>
      <c r="BD171" s="128" t="s">
        <v>1583</v>
      </c>
      <c r="BE171" s="128" t="s">
        <v>333</v>
      </c>
      <c r="BF171" s="128" t="s">
        <v>1600</v>
      </c>
      <c r="BG171" s="128" t="s">
        <v>1677</v>
      </c>
      <c r="BH171" s="128" t="s">
        <v>1601</v>
      </c>
      <c r="BI171" s="128" t="s">
        <v>1602</v>
      </c>
      <c r="BJ171" s="226" t="s">
        <v>1608</v>
      </c>
      <c r="BK171" s="36" t="s">
        <v>1626</v>
      </c>
      <c r="BL171" s="128" t="s">
        <v>1604</v>
      </c>
      <c r="BM171" s="139" t="s">
        <v>1605</v>
      </c>
      <c r="BN171" s="155"/>
      <c r="BO171" s="155" t="s">
        <v>333</v>
      </c>
      <c r="BP171" s="155" t="s">
        <v>1611</v>
      </c>
      <c r="BQ171" s="155" t="s">
        <v>333</v>
      </c>
      <c r="BR171" s="155" t="s">
        <v>333</v>
      </c>
      <c r="BS171" s="155" t="s">
        <v>333</v>
      </c>
      <c r="BT171" s="155" t="s">
        <v>333</v>
      </c>
      <c r="BU171" s="155" t="s">
        <v>105</v>
      </c>
      <c r="BV171" s="155" t="s">
        <v>105</v>
      </c>
    </row>
    <row r="172" spans="1:99" ht="15" customHeight="1" thickBot="1" x14ac:dyDescent="0.3">
      <c r="J172" s="268"/>
      <c r="K172" s="35"/>
      <c r="L172" s="35"/>
      <c r="M172" s="35"/>
      <c r="N172" s="35"/>
      <c r="O172" s="35"/>
      <c r="P172" s="35"/>
      <c r="Q172" s="35"/>
      <c r="R172" s="35"/>
      <c r="S172" s="35"/>
      <c r="AC172" s="35"/>
      <c r="AD172" s="35"/>
      <c r="AE172" s="29">
        <v>12</v>
      </c>
      <c r="AF172" s="268" t="s">
        <v>797</v>
      </c>
      <c r="AG172" s="408">
        <f>AC132/AC143</f>
        <v>0.18101061034896379</v>
      </c>
      <c r="AH172" s="551">
        <f>AH151</f>
        <v>0.16986564299424189</v>
      </c>
      <c r="AI172" s="551">
        <f>AI198/AM199</f>
        <v>0.148859543817527</v>
      </c>
      <c r="AJ172" s="35"/>
      <c r="AK172" s="35" t="s">
        <v>797</v>
      </c>
      <c r="AL172" s="35">
        <f t="shared" si="19"/>
        <v>2.1721273241875654</v>
      </c>
      <c r="AM172" s="35"/>
      <c r="AN172" s="252"/>
      <c r="BA172" s="36" t="s">
        <v>954</v>
      </c>
      <c r="BB172" s="37" t="s">
        <v>1567</v>
      </c>
      <c r="BC172" s="36">
        <v>-53</v>
      </c>
      <c r="BD172" s="36">
        <v>717.6</v>
      </c>
      <c r="BE172" s="36">
        <v>31</v>
      </c>
      <c r="BF172" s="36"/>
      <c r="BG172" s="226">
        <v>-6170.98</v>
      </c>
      <c r="BH172" s="36"/>
      <c r="BI172" s="36"/>
      <c r="BJ172" s="36">
        <v>1378.9</v>
      </c>
      <c r="BK172" s="38">
        <v>1.782</v>
      </c>
      <c r="BL172" s="37"/>
      <c r="BM172" s="226"/>
      <c r="BN172" s="38">
        <v>60.9</v>
      </c>
      <c r="BO172" s="38">
        <v>150.47</v>
      </c>
      <c r="BP172" s="38">
        <v>22.85</v>
      </c>
      <c r="BQ172" s="38"/>
      <c r="BR172" s="38"/>
      <c r="BS172" s="38"/>
      <c r="BT172" s="38"/>
      <c r="BU172" s="38"/>
      <c r="BV172" s="38"/>
      <c r="CC172" s="846" t="s">
        <v>1623</v>
      </c>
      <c r="CD172" s="846" t="s">
        <v>947</v>
      </c>
      <c r="CE172" s="846" t="s">
        <v>1644</v>
      </c>
      <c r="CF172" s="846" t="s">
        <v>1645</v>
      </c>
      <c r="CG172" s="846" t="s">
        <v>1646</v>
      </c>
      <c r="CH172" s="846" t="s">
        <v>1706</v>
      </c>
      <c r="CJ172" s="708" t="s">
        <v>1712</v>
      </c>
      <c r="CP172" s="846" t="s">
        <v>1623</v>
      </c>
      <c r="CQ172" s="846" t="s">
        <v>54</v>
      </c>
      <c r="CR172" s="846" t="s">
        <v>947</v>
      </c>
      <c r="CS172" s="846" t="s">
        <v>1644</v>
      </c>
      <c r="CT172" s="846" t="s">
        <v>1645</v>
      </c>
      <c r="CU172" s="846" t="s">
        <v>1706</v>
      </c>
    </row>
    <row r="173" spans="1:99" x14ac:dyDescent="0.25">
      <c r="J173" s="909" t="s">
        <v>1450</v>
      </c>
      <c r="K173" s="910"/>
      <c r="L173" s="911"/>
      <c r="M173" s="139">
        <f>L170</f>
        <v>0.71658930800177001</v>
      </c>
      <c r="N173" s="35"/>
      <c r="O173" s="35"/>
      <c r="P173" s="35"/>
      <c r="Q173" s="35"/>
      <c r="R173" s="35"/>
      <c r="S173" s="35"/>
      <c r="T173" s="35"/>
      <c r="U173" s="35"/>
      <c r="V173" s="35"/>
      <c r="W173" s="35"/>
      <c r="AB173" s="35"/>
      <c r="AC173" s="35"/>
      <c r="AD173" s="35"/>
      <c r="AE173" s="29">
        <v>11</v>
      </c>
      <c r="AF173" s="268" t="s">
        <v>793</v>
      </c>
      <c r="AG173" s="408">
        <f>AC133/AC143</f>
        <v>0.19995918177768549</v>
      </c>
      <c r="AH173" s="551">
        <f>AH150</f>
        <v>0.18905950095969293</v>
      </c>
      <c r="AI173" s="551">
        <f>AH198/AM199</f>
        <v>0.16326530612244899</v>
      </c>
      <c r="AJ173" s="35"/>
      <c r="AK173" s="35" t="s">
        <v>794</v>
      </c>
      <c r="AL173" s="35">
        <f t="shared" si="19"/>
        <v>2.1995509995545404</v>
      </c>
      <c r="AM173" s="35"/>
      <c r="AN173" s="252"/>
      <c r="BA173" s="15"/>
      <c r="BB173" s="35"/>
      <c r="BC173" s="15"/>
      <c r="BD173" s="15"/>
      <c r="BE173" s="15"/>
      <c r="BF173" s="15"/>
      <c r="BG173" s="848">
        <f>BG172/1000/BT100</f>
        <v>-48.210781249999997</v>
      </c>
      <c r="BH173" s="15"/>
      <c r="BI173" s="15"/>
      <c r="BJ173" s="15">
        <v>1590.3</v>
      </c>
      <c r="BK173" s="35" t="s">
        <v>1625</v>
      </c>
      <c r="BL173" s="35"/>
      <c r="BM173" s="146"/>
      <c r="BN173" s="16"/>
      <c r="BO173" s="16"/>
      <c r="BP173" s="16"/>
      <c r="BQ173" s="16"/>
      <c r="BR173" s="16"/>
      <c r="BS173" s="16"/>
      <c r="BT173" s="16"/>
      <c r="BU173" s="16"/>
      <c r="BV173" s="16"/>
      <c r="BX173" t="s">
        <v>1622</v>
      </c>
      <c r="CC173" s="706" t="s">
        <v>1627</v>
      </c>
      <c r="CD173" s="706" t="s">
        <v>1647</v>
      </c>
      <c r="CE173" s="706" t="s">
        <v>1648</v>
      </c>
      <c r="CF173" s="706">
        <v>-54.2</v>
      </c>
      <c r="CG173" s="849">
        <f>BY191</f>
        <v>-19.035163633026169</v>
      </c>
      <c r="CH173" s="849">
        <f>CC221</f>
        <v>-44.45203252105707</v>
      </c>
      <c r="CP173" s="706" t="s">
        <v>1720</v>
      </c>
      <c r="CQ173" s="706" t="s">
        <v>333</v>
      </c>
      <c r="CR173" s="706" t="s">
        <v>1647</v>
      </c>
      <c r="CS173" s="706" t="s">
        <v>1648</v>
      </c>
      <c r="CT173" s="706">
        <v>-54.2</v>
      </c>
      <c r="CU173" s="849">
        <v>-44.327485342834741</v>
      </c>
    </row>
    <row r="174" spans="1:99" x14ac:dyDescent="0.25">
      <c r="J174" s="268"/>
      <c r="K174" s="35"/>
      <c r="L174" s="35"/>
      <c r="M174" s="35"/>
      <c r="N174" s="35"/>
      <c r="O174" s="35"/>
      <c r="P174" s="35"/>
      <c r="Q174" s="35"/>
      <c r="R174" s="35" t="s">
        <v>1533</v>
      </c>
      <c r="S174" s="35"/>
      <c r="T174" s="35"/>
      <c r="U174" s="35"/>
      <c r="V174" s="35"/>
      <c r="W174" s="35"/>
      <c r="AB174" s="35"/>
      <c r="AC174" s="35"/>
      <c r="AD174" s="35"/>
      <c r="AE174" s="29">
        <v>10</v>
      </c>
      <c r="AF174" s="268" t="s">
        <v>788</v>
      </c>
      <c r="AG174" s="408">
        <f>AC134/AC143</f>
        <v>0.16690939783332706</v>
      </c>
      <c r="AH174" s="551">
        <f>AH149</f>
        <v>0.18138195777351243</v>
      </c>
      <c r="AI174" s="551">
        <f>AG198/AM199</f>
        <v>0.18487394957983194</v>
      </c>
      <c r="AJ174" s="35"/>
      <c r="AK174" s="35" t="s">
        <v>792</v>
      </c>
      <c r="AL174" s="35">
        <f t="shared" si="19"/>
        <v>1.6690939783332706</v>
      </c>
      <c r="AM174" s="35"/>
      <c r="AN174" s="252"/>
      <c r="BA174" s="13"/>
      <c r="BB174" s="11"/>
      <c r="BC174" s="13" t="s">
        <v>1615</v>
      </c>
      <c r="BD174" s="13" t="s">
        <v>1606</v>
      </c>
      <c r="BE174" s="13" t="s">
        <v>1606</v>
      </c>
      <c r="BF174" s="13"/>
      <c r="BG174" s="148" t="s">
        <v>1676</v>
      </c>
      <c r="BH174" s="13" t="s">
        <v>173</v>
      </c>
      <c r="BI174" s="13"/>
      <c r="BJ174" s="13" t="s">
        <v>640</v>
      </c>
      <c r="BK174" s="14" t="s">
        <v>1620</v>
      </c>
      <c r="BL174" s="11"/>
      <c r="BM174" s="148"/>
      <c r="BN174" s="14" t="s">
        <v>1671</v>
      </c>
      <c r="BO174" s="14" t="s">
        <v>1606</v>
      </c>
      <c r="BP174" s="14" t="s">
        <v>1621</v>
      </c>
      <c r="BQ174" s="14"/>
      <c r="BR174" s="14"/>
      <c r="BS174" s="14"/>
      <c r="BT174" s="14"/>
      <c r="BU174" s="14"/>
      <c r="BV174" s="14"/>
      <c r="BX174" t="s">
        <v>1035</v>
      </c>
      <c r="BY174" t="s">
        <v>1253</v>
      </c>
      <c r="CC174" s="706" t="s">
        <v>1628</v>
      </c>
      <c r="CD174" s="706" t="s">
        <v>1649</v>
      </c>
      <c r="CE174" s="706" t="s">
        <v>1709</v>
      </c>
      <c r="CF174" s="706">
        <v>783.7</v>
      </c>
      <c r="CG174" s="849">
        <f>BY184</f>
        <v>742.63025388357789</v>
      </c>
      <c r="CH174" s="849">
        <f>CC214</f>
        <v>740.52435367651287</v>
      </c>
      <c r="CP174" s="706" t="s">
        <v>1716</v>
      </c>
      <c r="CQ174" s="706" t="s">
        <v>1721</v>
      </c>
      <c r="CR174" s="706" t="s">
        <v>1649</v>
      </c>
      <c r="CS174" s="706" t="s">
        <v>1709</v>
      </c>
      <c r="CT174" s="706">
        <v>783.7</v>
      </c>
      <c r="CU174" s="849">
        <v>740.52435367651287</v>
      </c>
    </row>
    <row r="175" spans="1:99" x14ac:dyDescent="0.25">
      <c r="J175" s="268"/>
      <c r="K175" s="35"/>
      <c r="L175" s="35"/>
      <c r="M175" s="35"/>
      <c r="N175" s="35"/>
      <c r="O175" s="35"/>
      <c r="P175" s="35"/>
      <c r="Q175" s="35"/>
      <c r="R175" s="35"/>
      <c r="S175" s="35"/>
      <c r="T175" s="35"/>
      <c r="U175" s="35"/>
      <c r="V175" s="35"/>
      <c r="W175" s="35"/>
      <c r="AB175" s="35"/>
      <c r="AC175" s="35"/>
      <c r="AD175" s="35"/>
      <c r="AE175" s="29">
        <v>9</v>
      </c>
      <c r="AF175" s="268" t="s">
        <v>799</v>
      </c>
      <c r="AG175" s="408">
        <f>AC135/AC143</f>
        <v>0.14220842596377362</v>
      </c>
      <c r="AH175" s="551">
        <f>AH148</f>
        <v>0.14107485604606532</v>
      </c>
      <c r="AI175" s="551">
        <f>AF198/AM199</f>
        <v>0.21008403361344538</v>
      </c>
      <c r="AJ175" s="35"/>
      <c r="AK175" s="35" t="s">
        <v>791</v>
      </c>
      <c r="AL175" s="35">
        <f t="shared" si="19"/>
        <v>1.2798758336739626</v>
      </c>
      <c r="AM175" s="35"/>
      <c r="AN175" s="252"/>
      <c r="BA175" s="36" t="s">
        <v>955</v>
      </c>
      <c r="BB175" s="37" t="s">
        <v>1573</v>
      </c>
      <c r="BC175" s="36">
        <v>-30</v>
      </c>
      <c r="BD175" s="36">
        <v>725.5</v>
      </c>
      <c r="BE175" s="36">
        <v>46</v>
      </c>
      <c r="BF175" s="36"/>
      <c r="BG175" s="847">
        <v>-6829.71</v>
      </c>
      <c r="BH175" s="36"/>
      <c r="BI175" s="36"/>
      <c r="BJ175" s="36">
        <v>1918.9</v>
      </c>
      <c r="BK175" s="38">
        <v>2.6120000000000001</v>
      </c>
      <c r="BL175" s="37"/>
      <c r="BM175" s="226"/>
      <c r="BN175" s="38">
        <f>(65.5+67.2)/2</f>
        <v>66.349999999999994</v>
      </c>
      <c r="BO175" s="38">
        <v>174.1</v>
      </c>
      <c r="BP175" s="38">
        <v>23.83</v>
      </c>
      <c r="BQ175" s="38"/>
      <c r="BR175" s="38"/>
      <c r="BS175" s="38"/>
      <c r="BT175" s="38"/>
      <c r="BU175" s="38"/>
      <c r="BV175" s="38"/>
      <c r="BX175" t="s">
        <v>1567</v>
      </c>
      <c r="BY175" s="319">
        <f>AP144/AP151</f>
        <v>0.14220842596377362</v>
      </c>
      <c r="CC175" s="706" t="s">
        <v>1631</v>
      </c>
      <c r="CD175" s="706" t="s">
        <v>1651</v>
      </c>
      <c r="CE175" s="706" t="s">
        <v>1652</v>
      </c>
      <c r="CF175" s="706">
        <v>42.8</v>
      </c>
      <c r="CG175" s="849">
        <f>BY185</f>
        <v>71.453132518514749</v>
      </c>
      <c r="CH175" s="849">
        <f>CC215</f>
        <v>55.939423965234255</v>
      </c>
      <c r="CP175" s="706" t="s">
        <v>1584</v>
      </c>
      <c r="CQ175" s="706" t="s">
        <v>333</v>
      </c>
      <c r="CR175" s="706" t="s">
        <v>1651</v>
      </c>
      <c r="CS175" s="706" t="s">
        <v>1652</v>
      </c>
      <c r="CT175" s="706">
        <v>42.8</v>
      </c>
      <c r="CU175" s="849">
        <v>55.939423965234255</v>
      </c>
    </row>
    <row r="176" spans="1:99" x14ac:dyDescent="0.25">
      <c r="J176" s="268"/>
      <c r="K176" s="35"/>
      <c r="L176" s="35"/>
      <c r="M176" s="35"/>
      <c r="N176" s="35"/>
      <c r="O176" s="35"/>
      <c r="P176" s="35"/>
      <c r="Q176" s="35"/>
      <c r="R176" s="35"/>
      <c r="S176" s="35"/>
      <c r="T176" s="35"/>
      <c r="U176" s="35"/>
      <c r="V176" s="35"/>
      <c r="W176" s="35"/>
      <c r="X176" s="780"/>
      <c r="Y176" s="780"/>
      <c r="Z176" s="780"/>
      <c r="AA176" s="780"/>
      <c r="AB176" s="35"/>
      <c r="AC176" s="35"/>
      <c r="AD176" s="35"/>
      <c r="AE176" s="35"/>
      <c r="AF176" s="35"/>
      <c r="AG176" s="35"/>
      <c r="AH176" s="35"/>
      <c r="AI176" s="35"/>
      <c r="AJ176" s="35"/>
      <c r="AK176" s="35"/>
      <c r="AL176" s="29">
        <f>SUM(AL168:AL175)</f>
        <v>11.614383087911563</v>
      </c>
      <c r="AM176" s="35"/>
      <c r="AN176" s="252"/>
      <c r="BA176" s="15"/>
      <c r="BB176" s="35"/>
      <c r="BC176" s="15"/>
      <c r="BD176" s="15"/>
      <c r="BE176" s="15"/>
      <c r="BF176" s="15"/>
      <c r="BG176" s="848">
        <f>BG175/1000/BS100</f>
        <v>-48.096549295774658</v>
      </c>
      <c r="BH176" s="15"/>
      <c r="BI176" s="15"/>
      <c r="BJ176" s="15">
        <v>2195.5</v>
      </c>
      <c r="BK176" s="35" t="s">
        <v>1625</v>
      </c>
      <c r="BL176" s="35"/>
      <c r="BM176" s="146"/>
      <c r="BN176" s="16"/>
      <c r="BO176" s="16"/>
      <c r="BP176" s="16"/>
      <c r="BQ176" s="16"/>
      <c r="BR176" s="16"/>
      <c r="BS176" s="16"/>
      <c r="BT176" s="16"/>
      <c r="BU176" s="16"/>
      <c r="BV176" s="16"/>
      <c r="BX176" t="s">
        <v>1573</v>
      </c>
      <c r="BY176" s="319">
        <f>AP145/AP151</f>
        <v>0.16690939783332706</v>
      </c>
      <c r="CC176" s="706" t="s">
        <v>1630</v>
      </c>
      <c r="CD176" s="706" t="s">
        <v>1653</v>
      </c>
      <c r="CE176" s="706" t="s">
        <v>1654</v>
      </c>
      <c r="CF176" s="706">
        <v>25</v>
      </c>
      <c r="CG176" s="849" t="s">
        <v>131</v>
      </c>
      <c r="CH176" s="849" t="s">
        <v>131</v>
      </c>
      <c r="CP176" s="706" t="s">
        <v>1719</v>
      </c>
      <c r="CQ176" s="706" t="s">
        <v>1722</v>
      </c>
      <c r="CR176" s="706" t="s">
        <v>1655</v>
      </c>
      <c r="CS176" s="706" t="s">
        <v>1656</v>
      </c>
      <c r="CT176" s="706">
        <v>43.5</v>
      </c>
      <c r="CU176" s="849">
        <v>47.845797189517072</v>
      </c>
    </row>
    <row r="177" spans="10:99" ht="15" customHeight="1" x14ac:dyDescent="0.25">
      <c r="J177" s="268"/>
      <c r="K177" s="35"/>
      <c r="L177" s="35"/>
      <c r="M177" s="35"/>
      <c r="N177" s="35"/>
      <c r="O177" s="35"/>
      <c r="P177" s="35"/>
      <c r="Q177" s="35"/>
      <c r="R177" s="35"/>
      <c r="S177" s="35"/>
      <c r="T177" s="35"/>
      <c r="U177" s="35"/>
      <c r="V177" s="35"/>
      <c r="W177" s="35"/>
      <c r="X177" s="1157" t="s">
        <v>1449</v>
      </c>
      <c r="Y177" s="1158"/>
      <c r="Z177" s="1158"/>
      <c r="AA177" s="1159"/>
      <c r="AB177" s="35"/>
      <c r="AC177" s="35"/>
      <c r="AD177" s="35"/>
      <c r="AE177" s="35"/>
      <c r="AF177" s="35"/>
      <c r="AG177" s="35"/>
      <c r="AH177" s="35"/>
      <c r="AI177" s="35"/>
      <c r="AJ177" s="35"/>
      <c r="AK177" s="35"/>
      <c r="AL177" s="35"/>
      <c r="AM177" s="35"/>
      <c r="AN177" s="252"/>
      <c r="BA177" s="13"/>
      <c r="BB177" s="11"/>
      <c r="BC177" s="13" t="s">
        <v>1615</v>
      </c>
      <c r="BD177" s="13" t="s">
        <v>1606</v>
      </c>
      <c r="BE177" s="13" t="s">
        <v>1606</v>
      </c>
      <c r="BF177" s="13"/>
      <c r="BG177" s="148" t="s">
        <v>1676</v>
      </c>
      <c r="BH177" s="13" t="s">
        <v>173</v>
      </c>
      <c r="BI177" s="13"/>
      <c r="BJ177" s="13" t="s">
        <v>640</v>
      </c>
      <c r="BK177" s="14" t="s">
        <v>1620</v>
      </c>
      <c r="BL177" s="11"/>
      <c r="BM177" s="148"/>
      <c r="BN177" s="14" t="s">
        <v>1671</v>
      </c>
      <c r="BO177" s="14" t="s">
        <v>1606</v>
      </c>
      <c r="BP177" s="14" t="s">
        <v>1621</v>
      </c>
      <c r="BQ177" s="14"/>
      <c r="BR177" s="14"/>
      <c r="BS177" s="14"/>
      <c r="BT177" s="14"/>
      <c r="BU177" s="14"/>
      <c r="BV177" s="14"/>
      <c r="BX177" t="s">
        <v>1576</v>
      </c>
      <c r="BY177" s="319">
        <f>AP146/AP151</f>
        <v>0.19995918177768549</v>
      </c>
      <c r="CC177" s="706" t="s">
        <v>1629</v>
      </c>
      <c r="CD177" s="706" t="s">
        <v>1655</v>
      </c>
      <c r="CE177" s="706" t="s">
        <v>1656</v>
      </c>
      <c r="CF177" s="706">
        <v>43.5</v>
      </c>
      <c r="CG177" s="849">
        <f>BY190</f>
        <v>47.976801187775848</v>
      </c>
      <c r="CH177" s="849">
        <f>CC220</f>
        <v>47.845797189517072</v>
      </c>
      <c r="CP177" s="706" t="s">
        <v>1587</v>
      </c>
      <c r="CQ177" s="706" t="s">
        <v>1723</v>
      </c>
      <c r="CR177" s="706" t="s">
        <v>1657</v>
      </c>
      <c r="CS177" s="706" t="s">
        <v>1658</v>
      </c>
      <c r="CT177" s="706">
        <v>3.73</v>
      </c>
      <c r="CU177" s="849">
        <v>0</v>
      </c>
    </row>
    <row r="178" spans="10:99" x14ac:dyDescent="0.25">
      <c r="J178" s="268"/>
      <c r="K178" s="35"/>
      <c r="U178" s="35"/>
      <c r="V178" s="35"/>
      <c r="W178" s="35"/>
      <c r="X178" s="672"/>
      <c r="Y178" s="672"/>
      <c r="Z178" s="672" t="s">
        <v>805</v>
      </c>
      <c r="AA178" s="672">
        <v>13</v>
      </c>
      <c r="AB178" s="35"/>
      <c r="AC178" s="35"/>
      <c r="AD178" s="35"/>
      <c r="AE178" s="35"/>
      <c r="AF178" s="35"/>
      <c r="AG178" s="35"/>
      <c r="AH178" s="35"/>
      <c r="AI178" s="35"/>
      <c r="AJ178" s="35"/>
      <c r="AK178" s="35"/>
      <c r="AL178" s="35"/>
      <c r="AM178" s="35"/>
      <c r="AN178" s="252"/>
      <c r="BA178" s="36" t="s">
        <v>956</v>
      </c>
      <c r="BB178" s="37" t="s">
        <v>1576</v>
      </c>
      <c r="BC178" s="36">
        <v>-26</v>
      </c>
      <c r="BD178" s="36">
        <v>740.2</v>
      </c>
      <c r="BE178" s="36">
        <v>62</v>
      </c>
      <c r="BF178" s="36"/>
      <c r="BG178" s="226">
        <v>-7488.44</v>
      </c>
      <c r="BH178" s="36"/>
      <c r="BI178" s="36"/>
      <c r="BJ178" s="15">
        <v>1098</v>
      </c>
      <c r="BK178" s="35">
        <v>3.6080000000000001</v>
      </c>
      <c r="BL178" s="36"/>
      <c r="BM178" s="226"/>
      <c r="BN178" s="38">
        <f>BN175+BN196</f>
        <v>71.987499999999983</v>
      </c>
      <c r="BO178" s="38">
        <v>195.9</v>
      </c>
      <c r="BP178" s="38">
        <v>24.66</v>
      </c>
      <c r="BQ178" s="38"/>
      <c r="BR178" s="38"/>
      <c r="BS178" s="38"/>
      <c r="BT178" s="38"/>
      <c r="BU178" s="38"/>
      <c r="BV178" s="38"/>
      <c r="BX178" t="s">
        <v>1574</v>
      </c>
      <c r="BY178" s="319">
        <f>AP147/AP151</f>
        <v>0.18101061034896379</v>
      </c>
      <c r="CC178" s="706" t="s">
        <v>1632</v>
      </c>
      <c r="CD178" s="706" t="s">
        <v>1657</v>
      </c>
      <c r="CE178" s="706" t="s">
        <v>1658</v>
      </c>
      <c r="CF178" s="706">
        <v>3.73</v>
      </c>
      <c r="CG178" s="849">
        <v>0</v>
      </c>
      <c r="CH178" s="849">
        <v>0</v>
      </c>
      <c r="CP178" s="706" t="s">
        <v>1592</v>
      </c>
      <c r="CQ178" s="706" t="s">
        <v>333</v>
      </c>
      <c r="CR178" s="706" t="s">
        <v>1659</v>
      </c>
      <c r="CS178" s="706" t="s">
        <v>1661</v>
      </c>
      <c r="CT178" s="706">
        <v>258</v>
      </c>
      <c r="CU178" s="849">
        <v>196.79891814974488</v>
      </c>
    </row>
    <row r="179" spans="10:99" x14ac:dyDescent="0.25">
      <c r="J179" s="268"/>
      <c r="K179" s="35"/>
      <c r="U179" s="35"/>
      <c r="V179" s="35"/>
      <c r="W179" s="35"/>
      <c r="X179" s="672"/>
      <c r="Y179" s="672"/>
      <c r="Z179" s="672" t="s">
        <v>806</v>
      </c>
      <c r="AA179" s="672">
        <v>2</v>
      </c>
      <c r="AB179" s="35"/>
      <c r="AC179" s="35"/>
      <c r="AD179" s="35"/>
      <c r="AE179" s="35"/>
      <c r="AF179" s="35"/>
      <c r="AG179" s="35"/>
      <c r="AH179" s="35"/>
      <c r="AI179" s="35"/>
      <c r="AJ179" s="35"/>
      <c r="AK179" s="35"/>
      <c r="AL179" s="35"/>
      <c r="AM179" s="35"/>
      <c r="AN179" s="252"/>
      <c r="BA179" s="15"/>
      <c r="BB179" s="35"/>
      <c r="BC179" s="15"/>
      <c r="BD179" s="15"/>
      <c r="BE179" s="15"/>
      <c r="BF179" s="15"/>
      <c r="BG179" s="848">
        <f>BG178/1000/BR100</f>
        <v>-48.002820512820513</v>
      </c>
      <c r="BH179" s="15"/>
      <c r="BI179" s="15"/>
      <c r="BJ179" s="15" t="s">
        <v>1612</v>
      </c>
      <c r="BK179" s="35" t="s">
        <v>1625</v>
      </c>
      <c r="BL179" s="15"/>
      <c r="BM179" s="146"/>
      <c r="BN179" s="16"/>
      <c r="BO179" s="16"/>
      <c r="BP179" s="16"/>
      <c r="BQ179" s="16"/>
      <c r="BR179" s="16"/>
      <c r="BS179" s="16"/>
      <c r="BT179" s="16"/>
      <c r="BU179" s="16"/>
      <c r="BV179" s="16"/>
      <c r="BX179" t="s">
        <v>1579</v>
      </c>
      <c r="BY179" s="319">
        <f>AP148/AP151</f>
        <v>0.14249228597627303</v>
      </c>
      <c r="CC179" s="706" t="s">
        <v>1633</v>
      </c>
      <c r="CD179" s="706" t="s">
        <v>1659</v>
      </c>
      <c r="CE179" s="706"/>
      <c r="CF179" s="706">
        <v>137.4</v>
      </c>
      <c r="CG179" s="849" t="s">
        <v>131</v>
      </c>
      <c r="CH179" s="849" t="s">
        <v>131</v>
      </c>
      <c r="CP179" s="706" t="s">
        <v>1718</v>
      </c>
      <c r="CQ179" s="706" t="s">
        <v>1602</v>
      </c>
      <c r="CR179" s="706" t="s">
        <v>1663</v>
      </c>
      <c r="CS179" s="706" t="s">
        <v>1664</v>
      </c>
      <c r="CT179" s="706">
        <v>3.2000000000000002E-3</v>
      </c>
      <c r="CU179" s="849">
        <v>0</v>
      </c>
    </row>
    <row r="180" spans="10:99" x14ac:dyDescent="0.25">
      <c r="J180" s="268"/>
      <c r="K180" s="35"/>
      <c r="U180" s="35"/>
      <c r="V180" s="35"/>
      <c r="W180" s="35"/>
      <c r="X180" s="672"/>
      <c r="Y180" s="672"/>
      <c r="Z180" s="672"/>
      <c r="AA180" s="672"/>
      <c r="AB180" s="35"/>
      <c r="AC180" s="35"/>
      <c r="AD180" s="35"/>
      <c r="AE180" s="35"/>
      <c r="AF180" s="35"/>
      <c r="AG180" s="35"/>
      <c r="AH180" s="35"/>
      <c r="AI180" s="35"/>
      <c r="AJ180" s="35"/>
      <c r="AK180" s="35"/>
      <c r="AL180" s="35"/>
      <c r="AM180" s="35"/>
      <c r="AN180" s="252"/>
      <c r="BA180" s="13"/>
      <c r="BB180" s="11"/>
      <c r="BC180" s="13" t="s">
        <v>1615</v>
      </c>
      <c r="BD180" s="13" t="s">
        <v>1606</v>
      </c>
      <c r="BE180" s="13" t="s">
        <v>1606</v>
      </c>
      <c r="BF180" s="13"/>
      <c r="BG180" s="148" t="s">
        <v>1676</v>
      </c>
      <c r="BH180" s="13" t="s">
        <v>173</v>
      </c>
      <c r="BI180" s="13"/>
      <c r="BJ180" s="13" t="s">
        <v>1606</v>
      </c>
      <c r="BK180" s="11" t="s">
        <v>1620</v>
      </c>
      <c r="BL180" s="13"/>
      <c r="BM180" s="148"/>
      <c r="BN180" s="14" t="s">
        <v>1673</v>
      </c>
      <c r="BO180" s="14" t="s">
        <v>1606</v>
      </c>
      <c r="BP180" s="14" t="s">
        <v>1621</v>
      </c>
      <c r="BQ180" s="14"/>
      <c r="BR180" s="14"/>
      <c r="BS180" s="14"/>
      <c r="BT180" s="14"/>
      <c r="BU180" s="14"/>
      <c r="BV180" s="14"/>
      <c r="BX180" t="s">
        <v>1580</v>
      </c>
      <c r="BY180" s="319">
        <f>AP149/AP151</f>
        <v>0.11088246083882498</v>
      </c>
      <c r="CC180" s="706" t="s">
        <v>1634</v>
      </c>
      <c r="CD180" s="706" t="s">
        <v>1659</v>
      </c>
      <c r="CE180" s="706" t="s">
        <v>1660</v>
      </c>
      <c r="CF180" s="706">
        <v>166.1</v>
      </c>
      <c r="CG180" s="849" t="s">
        <v>131</v>
      </c>
      <c r="CH180" s="849" t="s">
        <v>131</v>
      </c>
      <c r="CP180" s="706" t="s">
        <v>1717</v>
      </c>
      <c r="CQ180" s="706" t="s">
        <v>1724</v>
      </c>
      <c r="CR180" s="706" t="s">
        <v>1665</v>
      </c>
      <c r="CS180" s="706" t="s">
        <v>1666</v>
      </c>
      <c r="CT180" s="706">
        <v>3.57</v>
      </c>
      <c r="CU180" s="849">
        <v>3.5679648098830947</v>
      </c>
    </row>
    <row r="181" spans="10:99" x14ac:dyDescent="0.25">
      <c r="J181" s="268"/>
      <c r="K181" s="35"/>
      <c r="U181" s="35"/>
      <c r="V181" s="35"/>
      <c r="W181" s="35"/>
      <c r="X181" s="672"/>
      <c r="Y181" s="672" t="s">
        <v>1035</v>
      </c>
      <c r="Z181" s="672" t="s">
        <v>807</v>
      </c>
      <c r="AA181" s="672"/>
      <c r="AB181" s="35"/>
      <c r="AC181" s="35"/>
      <c r="AD181" s="35"/>
      <c r="AE181" s="35"/>
      <c r="AF181" s="35"/>
      <c r="AG181" s="35"/>
      <c r="AH181" s="35"/>
      <c r="AI181" s="35"/>
      <c r="AJ181" s="35"/>
      <c r="AK181" s="35"/>
      <c r="AL181" s="35"/>
      <c r="AM181" s="35"/>
      <c r="AN181" s="252"/>
      <c r="BA181" s="36" t="s">
        <v>957</v>
      </c>
      <c r="BB181" s="37" t="s">
        <v>1574</v>
      </c>
      <c r="BC181" s="36">
        <v>-10</v>
      </c>
      <c r="BD181" s="36">
        <v>749.5</v>
      </c>
      <c r="BE181" s="36">
        <v>83</v>
      </c>
      <c r="BF181" s="36"/>
      <c r="BG181" s="226">
        <v>-8147.21</v>
      </c>
      <c r="BH181" s="36"/>
      <c r="BI181" s="36"/>
      <c r="BJ181" s="36"/>
      <c r="BK181" s="37">
        <v>3.774</v>
      </c>
      <c r="BL181" s="36"/>
      <c r="BM181" s="226"/>
      <c r="BN181" s="38">
        <f>(72.9+74)/2</f>
        <v>73.45</v>
      </c>
      <c r="BO181" s="38">
        <v>216.3</v>
      </c>
      <c r="BP181" s="38">
        <v>25.35</v>
      </c>
      <c r="BQ181" s="38"/>
      <c r="BR181" s="38"/>
      <c r="BS181" s="38"/>
      <c r="BT181" s="38"/>
      <c r="BU181" s="38"/>
      <c r="BV181" s="38"/>
      <c r="BX181" t="s">
        <v>1581</v>
      </c>
      <c r="BY181" s="319">
        <f>AP150/AP151</f>
        <v>5.6537637261151949E-2</v>
      </c>
      <c r="CC181" s="706" t="s">
        <v>1636</v>
      </c>
      <c r="CD181" s="706" t="s">
        <v>1659</v>
      </c>
      <c r="CE181" s="706"/>
      <c r="CF181" s="706">
        <v>196.4</v>
      </c>
      <c r="CG181" s="849" t="s">
        <v>131</v>
      </c>
      <c r="CH181" s="849" t="s">
        <v>131</v>
      </c>
      <c r="CP181" s="706" t="s">
        <v>1598</v>
      </c>
      <c r="CQ181" s="706" t="s">
        <v>1725</v>
      </c>
      <c r="CR181" s="706" t="s">
        <v>1669</v>
      </c>
      <c r="CS181" s="706" t="s">
        <v>1670</v>
      </c>
      <c r="CT181" s="706">
        <v>2.8999999999999998E-3</v>
      </c>
      <c r="CU181" s="849">
        <v>0</v>
      </c>
    </row>
    <row r="182" spans="10:99" x14ac:dyDescent="0.25">
      <c r="J182" s="268"/>
      <c r="K182" s="35"/>
      <c r="U182" s="35"/>
      <c r="V182" s="35"/>
      <c r="W182" s="35"/>
      <c r="X182" s="672"/>
      <c r="Y182" s="672" t="s">
        <v>786</v>
      </c>
      <c r="Z182" s="672">
        <f>X128/BJ100</f>
        <v>72.516447284801572</v>
      </c>
      <c r="AA182" s="672"/>
      <c r="AB182" s="35"/>
      <c r="AC182" s="35"/>
      <c r="AD182" s="35"/>
      <c r="AE182" s="35"/>
      <c r="AF182" s="35"/>
      <c r="AG182" s="35"/>
      <c r="AH182" s="35"/>
      <c r="AI182" s="35"/>
      <c r="AJ182" s="35"/>
      <c r="AK182" s="35"/>
      <c r="AL182" s="35"/>
      <c r="AM182" s="35"/>
      <c r="AN182" s="252"/>
      <c r="BA182" s="15"/>
      <c r="BB182" s="35"/>
      <c r="BC182" s="15"/>
      <c r="BD182" s="15"/>
      <c r="BE182" s="15"/>
      <c r="BF182" s="15"/>
      <c r="BG182" s="848">
        <f>BG181/1000/BQ100</f>
        <v>-47.924764705882346</v>
      </c>
      <c r="BH182" s="15"/>
      <c r="BI182" s="15"/>
      <c r="BJ182" s="15"/>
      <c r="BK182" s="35" t="s">
        <v>1619</v>
      </c>
      <c r="BL182" s="15"/>
      <c r="BM182" s="146"/>
      <c r="BN182" s="16"/>
      <c r="BO182" s="16"/>
      <c r="BP182" s="16"/>
      <c r="BQ182" s="16"/>
      <c r="BR182" s="16"/>
      <c r="BS182" s="16"/>
      <c r="BT182" s="16"/>
      <c r="BU182" s="16"/>
      <c r="BV182" s="16"/>
      <c r="CC182" s="706" t="s">
        <v>1635</v>
      </c>
      <c r="CD182" s="706" t="s">
        <v>1659</v>
      </c>
      <c r="CE182" s="706"/>
      <c r="CF182" s="706">
        <v>246.7</v>
      </c>
      <c r="CG182" s="849" t="s">
        <v>131</v>
      </c>
      <c r="CH182" s="849" t="s">
        <v>131</v>
      </c>
      <c r="CP182" s="706" t="s">
        <v>1599</v>
      </c>
      <c r="CR182" t="s">
        <v>1674</v>
      </c>
      <c r="CS182" s="706" t="s">
        <v>1675</v>
      </c>
      <c r="CT182" s="851" t="s">
        <v>131</v>
      </c>
      <c r="CU182" s="849">
        <v>73.143569244611712</v>
      </c>
    </row>
    <row r="183" spans="10:99" ht="15.75" thickBot="1" x14ac:dyDescent="0.3">
      <c r="J183" s="268"/>
      <c r="K183" s="35"/>
      <c r="U183" s="35"/>
      <c r="V183" s="35"/>
      <c r="W183" s="35"/>
      <c r="X183" s="672"/>
      <c r="Y183" s="672" t="s">
        <v>787</v>
      </c>
      <c r="Z183" s="686">
        <f>X133/BL100</f>
        <v>177.5158607565786</v>
      </c>
      <c r="AA183" s="672"/>
      <c r="AB183" s="35"/>
      <c r="AC183" s="35"/>
      <c r="AD183" s="35"/>
      <c r="AE183" s="35"/>
      <c r="AF183" s="35"/>
      <c r="AG183" s="35"/>
      <c r="AH183" s="35"/>
      <c r="AI183" s="35"/>
      <c r="AJ183" s="35"/>
      <c r="AK183" s="35"/>
      <c r="AL183" s="35"/>
      <c r="AM183" s="35"/>
      <c r="AN183" s="252"/>
      <c r="BA183" s="13"/>
      <c r="BB183" s="11"/>
      <c r="BC183" s="13" t="s">
        <v>1615</v>
      </c>
      <c r="BD183" s="13" t="s">
        <v>1606</v>
      </c>
      <c r="BE183" s="13" t="s">
        <v>1606</v>
      </c>
      <c r="BF183" s="13"/>
      <c r="BG183" s="148" t="s">
        <v>1676</v>
      </c>
      <c r="BH183" s="13" t="s">
        <v>173</v>
      </c>
      <c r="BI183" s="13"/>
      <c r="BJ183" s="13"/>
      <c r="BK183" s="11" t="s">
        <v>1620</v>
      </c>
      <c r="BL183" s="13"/>
      <c r="BM183" s="148"/>
      <c r="BN183" s="14" t="s">
        <v>1671</v>
      </c>
      <c r="BO183" s="14" t="s">
        <v>1606</v>
      </c>
      <c r="BP183" s="14" t="s">
        <v>1621</v>
      </c>
      <c r="BQ183" s="14"/>
      <c r="BR183" s="14"/>
      <c r="BS183" s="14"/>
      <c r="BT183" s="14"/>
      <c r="BU183" s="14"/>
      <c r="BV183" s="14"/>
      <c r="BX183" t="s">
        <v>1623</v>
      </c>
      <c r="CC183" s="706" t="s">
        <v>1637</v>
      </c>
      <c r="CD183" s="706" t="s">
        <v>1659</v>
      </c>
      <c r="CE183" s="706" t="s">
        <v>1661</v>
      </c>
      <c r="CF183" s="706">
        <v>258</v>
      </c>
      <c r="CG183" s="849">
        <f>BY187</f>
        <v>205.73986110286396</v>
      </c>
      <c r="CH183" s="849">
        <f>CC217</f>
        <v>196.72388240057714</v>
      </c>
      <c r="CJ183" t="s">
        <v>1710</v>
      </c>
      <c r="CP183" s="206" t="s">
        <v>1607</v>
      </c>
      <c r="CQ183" s="206"/>
      <c r="CR183" s="206" t="s">
        <v>1713</v>
      </c>
      <c r="CS183" s="206" t="s">
        <v>1714</v>
      </c>
      <c r="CT183" s="852" t="s">
        <v>131</v>
      </c>
      <c r="CU183" s="850">
        <v>24.793653103980546</v>
      </c>
    </row>
    <row r="184" spans="10:99" x14ac:dyDescent="0.25">
      <c r="J184" s="268"/>
      <c r="K184" s="35"/>
      <c r="U184" s="35"/>
      <c r="V184" s="35"/>
      <c r="W184" s="35"/>
      <c r="X184" s="672"/>
      <c r="Y184" s="672" t="s">
        <v>789</v>
      </c>
      <c r="Z184" s="672">
        <f>X144/BM100</f>
        <v>5.5497580645161282</v>
      </c>
      <c r="AA184" s="672"/>
      <c r="AB184" s="35"/>
      <c r="AC184" s="35"/>
      <c r="AD184" s="35"/>
      <c r="AE184" s="35"/>
      <c r="AF184" s="35"/>
      <c r="AG184" s="35"/>
      <c r="AH184" s="35"/>
      <c r="AI184" s="35"/>
      <c r="AJ184" s="35"/>
      <c r="AK184" s="35"/>
      <c r="AL184" s="35"/>
      <c r="AM184" s="35"/>
      <c r="AN184" s="252"/>
      <c r="BA184" s="36" t="s">
        <v>958</v>
      </c>
      <c r="BB184" s="37" t="s">
        <v>1579</v>
      </c>
      <c r="BC184" s="36">
        <v>-5</v>
      </c>
      <c r="BD184" s="36">
        <v>756.4</v>
      </c>
      <c r="BE184" s="36">
        <v>94</v>
      </c>
      <c r="BF184" s="36"/>
      <c r="BG184" s="226">
        <v>-8805.94</v>
      </c>
      <c r="BH184" s="36"/>
      <c r="BI184" s="36"/>
      <c r="BJ184" s="36">
        <v>1724</v>
      </c>
      <c r="BK184" s="37">
        <v>4.97</v>
      </c>
      <c r="BL184" s="36"/>
      <c r="BM184" s="226"/>
      <c r="BN184" s="38">
        <f>BN181+BN196</f>
        <v>79.087500000000006</v>
      </c>
      <c r="BO184" s="38">
        <v>235.4</v>
      </c>
      <c r="BP184" s="38">
        <v>25.99</v>
      </c>
      <c r="BQ184" s="38"/>
      <c r="BR184" s="38"/>
      <c r="BS184" s="38"/>
      <c r="BT184" s="38"/>
      <c r="BU184" s="38"/>
      <c r="BV184" s="38"/>
      <c r="BX184" t="s">
        <v>1570</v>
      </c>
      <c r="BY184" s="144">
        <f>BY175*BD172+BY176*BD175+BY177*BD178+BY178*BD181+BY179*BD184+BY180*BD187+BY181*BD190</f>
        <v>742.63025388357789</v>
      </c>
      <c r="CC184" s="706" t="s">
        <v>1638</v>
      </c>
      <c r="CD184" s="706" t="s">
        <v>1659</v>
      </c>
      <c r="CE184" s="706" t="s">
        <v>1662</v>
      </c>
      <c r="CF184" s="706">
        <v>0.9</v>
      </c>
      <c r="CG184" s="849" t="s">
        <v>131</v>
      </c>
      <c r="CH184" s="849" t="s">
        <v>131</v>
      </c>
    </row>
    <row r="185" spans="10:99" x14ac:dyDescent="0.25">
      <c r="J185" s="268"/>
      <c r="K185" s="35"/>
      <c r="U185" s="35"/>
      <c r="V185" s="35"/>
      <c r="W185" s="35"/>
      <c r="X185" s="672"/>
      <c r="Y185" s="672" t="s">
        <v>791</v>
      </c>
      <c r="Z185" s="672">
        <f>X147/BN100</f>
        <v>13.587338709677422</v>
      </c>
      <c r="AA185" s="672"/>
      <c r="AB185" s="35"/>
      <c r="AC185" s="35"/>
      <c r="AD185" s="35"/>
      <c r="AE185" s="35"/>
      <c r="AF185" s="35"/>
      <c r="AG185" s="35"/>
      <c r="AH185" s="35"/>
      <c r="AI185" s="35"/>
      <c r="AJ185" s="35"/>
      <c r="AK185" s="35"/>
      <c r="AL185" s="35"/>
      <c r="AM185" s="35"/>
      <c r="AN185" s="252"/>
      <c r="BA185" s="15"/>
      <c r="BB185" s="35"/>
      <c r="BC185" s="15"/>
      <c r="BD185" s="15"/>
      <c r="BE185" s="15"/>
      <c r="BF185" s="15"/>
      <c r="BG185" s="848">
        <f>BG184/1000/BP100</f>
        <v>-47.858369565217387</v>
      </c>
      <c r="BH185" s="15"/>
      <c r="BI185" s="15"/>
      <c r="BJ185" s="15" t="s">
        <v>1612</v>
      </c>
      <c r="BK185" s="35" t="s">
        <v>1618</v>
      </c>
      <c r="BL185" s="15"/>
      <c r="BM185" s="146"/>
      <c r="BN185" s="16"/>
      <c r="BO185" s="16"/>
      <c r="BP185" s="16"/>
      <c r="BQ185" s="16"/>
      <c r="BR185" s="16"/>
      <c r="BS185" s="16"/>
      <c r="BT185" s="16"/>
      <c r="BU185" s="16"/>
      <c r="BV185" s="16"/>
      <c r="BX185" t="s">
        <v>1584</v>
      </c>
      <c r="BY185" s="144">
        <f>BY175*BE172+BY176*BE175+BY177*BE178+BY178*BE181+BY179*BE184+BY180*BE187+BY181*BE190</f>
        <v>71.453132518514749</v>
      </c>
      <c r="CC185" s="706" t="s">
        <v>1639</v>
      </c>
      <c r="CD185" s="706" t="s">
        <v>1659</v>
      </c>
      <c r="CE185" s="706" t="s">
        <v>1662</v>
      </c>
      <c r="CF185" s="706">
        <v>0.3</v>
      </c>
      <c r="CG185" s="849" t="s">
        <v>131</v>
      </c>
      <c r="CH185" s="849" t="s">
        <v>131</v>
      </c>
    </row>
    <row r="186" spans="10:99" x14ac:dyDescent="0.25">
      <c r="J186" s="268"/>
      <c r="K186" s="35"/>
      <c r="U186" s="35"/>
      <c r="V186" s="35"/>
      <c r="W186" s="35"/>
      <c r="X186" s="672"/>
      <c r="Y186" s="672" t="s">
        <v>790</v>
      </c>
      <c r="Z186" s="672">
        <f>AA129/BU100</f>
        <v>57.447727439655665</v>
      </c>
      <c r="AA186" s="672"/>
      <c r="AB186" s="35"/>
      <c r="AC186" s="35"/>
      <c r="AD186" s="35"/>
      <c r="AE186" s="35"/>
      <c r="AF186" s="35"/>
      <c r="AG186" s="35"/>
      <c r="AH186" s="35"/>
      <c r="AI186" s="35"/>
      <c r="AJ186" s="35"/>
      <c r="AK186" s="35"/>
      <c r="AL186" s="35"/>
      <c r="AM186" s="35"/>
      <c r="AN186" s="252"/>
      <c r="BA186" s="13"/>
      <c r="BB186" s="11"/>
      <c r="BC186" s="13" t="s">
        <v>1615</v>
      </c>
      <c r="BD186" s="13" t="s">
        <v>1606</v>
      </c>
      <c r="BE186" s="13" t="s">
        <v>1606</v>
      </c>
      <c r="BF186" s="13"/>
      <c r="BG186" s="148" t="s">
        <v>1676</v>
      </c>
      <c r="BH186" s="13" t="s">
        <v>173</v>
      </c>
      <c r="BI186" s="13"/>
      <c r="BJ186" s="13" t="s">
        <v>1606</v>
      </c>
      <c r="BK186" s="11" t="s">
        <v>1620</v>
      </c>
      <c r="BL186" s="13"/>
      <c r="BM186" s="148"/>
      <c r="BN186" s="14" t="s">
        <v>1673</v>
      </c>
      <c r="BO186" s="14" t="s">
        <v>1606</v>
      </c>
      <c r="BP186" s="14" t="s">
        <v>1621</v>
      </c>
      <c r="BQ186" s="14"/>
      <c r="BR186" s="14"/>
      <c r="BS186" s="14"/>
      <c r="BT186" s="14"/>
      <c r="BU186" s="14"/>
      <c r="BV186" s="14"/>
      <c r="BX186" t="s">
        <v>1596</v>
      </c>
      <c r="BY186" s="144">
        <f>BY175*BK172+BY176*BK175+BY177*BK178+BY178*BK181+BY179*BK184+BY180*BK187+BY181*BK190</f>
        <v>3.5923301285118292</v>
      </c>
      <c r="CC186" s="706" t="s">
        <v>1642</v>
      </c>
      <c r="CD186" s="706" t="s">
        <v>1663</v>
      </c>
      <c r="CE186" s="706" t="s">
        <v>1664</v>
      </c>
      <c r="CF186" s="706">
        <v>3.2000000000000002E-3</v>
      </c>
      <c r="CG186" s="849">
        <v>0</v>
      </c>
      <c r="CH186" s="849">
        <v>0</v>
      </c>
    </row>
    <row r="187" spans="10:99" ht="15.75" thickBot="1" x14ac:dyDescent="0.3">
      <c r="J187" s="268"/>
      <c r="K187" s="35"/>
      <c r="U187" s="35"/>
      <c r="V187" s="35"/>
      <c r="W187" s="35"/>
      <c r="X187" s="672"/>
      <c r="Y187" s="672" t="s">
        <v>1036</v>
      </c>
      <c r="Z187" s="672">
        <f>X150/((SUM(BL100:BN100)+BJ100)/4)</f>
        <v>77.802330710314052</v>
      </c>
      <c r="AA187" s="672"/>
      <c r="AB187" s="35"/>
      <c r="AC187" s="35"/>
      <c r="AD187" s="35"/>
      <c r="AE187" s="35"/>
      <c r="AF187" s="35"/>
      <c r="AG187" s="35"/>
      <c r="AH187" s="35"/>
      <c r="AI187" s="35"/>
      <c r="AJ187" s="35"/>
      <c r="AK187" s="35"/>
      <c r="AL187" s="35"/>
      <c r="AM187" s="35"/>
      <c r="AN187" s="252"/>
      <c r="BA187" s="36" t="s">
        <v>960</v>
      </c>
      <c r="BB187" s="37" t="s">
        <v>1580</v>
      </c>
      <c r="BC187" s="36">
        <v>6</v>
      </c>
      <c r="BD187" s="36">
        <v>762.8</v>
      </c>
      <c r="BE187" s="36">
        <v>100</v>
      </c>
      <c r="BF187" s="36"/>
      <c r="BG187" s="226">
        <v>-9464.67</v>
      </c>
      <c r="BH187" s="36"/>
      <c r="BI187" s="36"/>
      <c r="BJ187" s="36">
        <v>2130</v>
      </c>
      <c r="BK187" s="37">
        <v>4.3040000000000003</v>
      </c>
      <c r="BL187" s="36"/>
      <c r="BM187" s="226"/>
      <c r="BN187" s="38">
        <v>85.1</v>
      </c>
      <c r="BO187" s="38">
        <v>253.57</v>
      </c>
      <c r="BP187">
        <v>26.56</v>
      </c>
      <c r="BQ187" s="38"/>
      <c r="BR187" s="38"/>
      <c r="BS187" s="38"/>
      <c r="BT187" s="38"/>
      <c r="BU187" s="38"/>
      <c r="BV187" s="38"/>
      <c r="BX187" t="s">
        <v>1624</v>
      </c>
      <c r="BY187" s="144">
        <f>BY175*BO172+BY176*BO175+BY177*BO178+BY178*BO181+BY179*BO184+BY180*BO187+BY181*BO190</f>
        <v>205.73986110286396</v>
      </c>
      <c r="CC187" s="706" t="s">
        <v>1641</v>
      </c>
      <c r="CD187" s="706" t="s">
        <v>1665</v>
      </c>
      <c r="CE187" s="706" t="s">
        <v>1666</v>
      </c>
      <c r="CF187" s="706">
        <v>3.57</v>
      </c>
      <c r="CG187" s="849">
        <f>BY186</f>
        <v>3.5923301285118292</v>
      </c>
      <c r="CH187" s="849">
        <f>CC216</f>
        <v>3.5679648098830947</v>
      </c>
      <c r="CJ187" t="s">
        <v>1711</v>
      </c>
      <c r="CU187" s="846" t="s">
        <v>1646</v>
      </c>
    </row>
    <row r="188" spans="10:99" x14ac:dyDescent="0.25">
      <c r="J188" s="268"/>
      <c r="K188" s="35"/>
      <c r="U188" s="35"/>
      <c r="V188" s="35"/>
      <c r="W188" s="35"/>
      <c r="X188" s="672"/>
      <c r="Y188" s="819" t="s">
        <v>808</v>
      </c>
      <c r="Z188" s="672">
        <f>SUM(Z182:Z187)</f>
        <v>404.41946296554346</v>
      </c>
      <c r="AA188" s="672"/>
      <c r="AB188" s="35"/>
      <c r="AC188" s="35"/>
      <c r="AD188" s="35"/>
      <c r="AE188" s="35"/>
      <c r="AF188" s="35"/>
      <c r="AG188" s="35"/>
      <c r="AH188" s="35"/>
      <c r="AI188" s="35"/>
      <c r="AJ188" s="35"/>
      <c r="AK188" s="35"/>
      <c r="AL188" s="35"/>
      <c r="AM188" s="35"/>
      <c r="AN188" s="252"/>
      <c r="BA188" s="15"/>
      <c r="BB188" s="35"/>
      <c r="BC188" s="15"/>
      <c r="BD188" s="15"/>
      <c r="BE188" s="15"/>
      <c r="BF188" s="15"/>
      <c r="BG188" s="848">
        <f>BG187/1000/BO100</f>
        <v>-47.801363636363632</v>
      </c>
      <c r="BH188" s="15"/>
      <c r="BI188" s="15"/>
      <c r="BJ188" s="15" t="s">
        <v>1612</v>
      </c>
      <c r="BK188" s="35" t="s">
        <v>1617</v>
      </c>
      <c r="BL188" s="15"/>
      <c r="BM188" s="146"/>
      <c r="BN188" s="16"/>
      <c r="BO188" s="16"/>
      <c r="BP188" s="16"/>
      <c r="BQ188" s="16"/>
      <c r="BR188" s="16"/>
      <c r="BS188" s="16"/>
      <c r="BT188" s="16"/>
      <c r="BU188" s="16"/>
      <c r="BV188" s="16"/>
      <c r="BX188" t="s">
        <v>1607</v>
      </c>
      <c r="BY188" s="144">
        <f>BY175*BP172+BY176*BP175+BY177*BP178+BY178*BP181+BY179*BP184+BY180*BP187+BY181*BP190</f>
        <v>24.92541239168628</v>
      </c>
      <c r="CC188" s="706" t="s">
        <v>1640</v>
      </c>
      <c r="CD188" s="706" t="s">
        <v>1667</v>
      </c>
      <c r="CE188" s="706" t="s">
        <v>1668</v>
      </c>
      <c r="CF188" s="706">
        <v>4.8</v>
      </c>
      <c r="CG188" s="849" t="s">
        <v>131</v>
      </c>
      <c r="CH188" s="849" t="s">
        <v>131</v>
      </c>
      <c r="CU188" s="849">
        <v>-19.21511523399877</v>
      </c>
    </row>
    <row r="189" spans="10:99" x14ac:dyDescent="0.25">
      <c r="J189" s="268"/>
      <c r="K189" s="35"/>
      <c r="U189" s="35"/>
      <c r="V189" s="35"/>
      <c r="W189" s="35"/>
      <c r="X189" s="672"/>
      <c r="Y189" s="819" t="s">
        <v>809</v>
      </c>
      <c r="Z189" s="672">
        <f>Z188*(6.02*1E+24)</f>
        <v>2.4346051670525713E+27</v>
      </c>
      <c r="AA189" s="672"/>
      <c r="AB189" s="35"/>
      <c r="AC189" s="35"/>
      <c r="AD189" s="35"/>
      <c r="AE189" s="35"/>
      <c r="AF189" s="35"/>
      <c r="AG189" s="35"/>
      <c r="AH189" s="35"/>
      <c r="AI189" s="35"/>
      <c r="AJ189" s="35"/>
      <c r="AK189" s="35"/>
      <c r="AL189" s="35"/>
      <c r="AM189" s="35"/>
      <c r="AN189" s="252"/>
      <c r="BA189" s="13"/>
      <c r="BB189" s="11"/>
      <c r="BC189" s="13" t="s">
        <v>1615</v>
      </c>
      <c r="BD189" s="13" t="s">
        <v>1606</v>
      </c>
      <c r="BE189" s="13" t="s">
        <v>1606</v>
      </c>
      <c r="BF189" s="13"/>
      <c r="BG189" s="148" t="s">
        <v>1676</v>
      </c>
      <c r="BH189" s="13" t="s">
        <v>173</v>
      </c>
      <c r="BI189" s="13"/>
      <c r="BJ189" s="13" t="s">
        <v>1606</v>
      </c>
      <c r="BK189" s="11" t="s">
        <v>1620</v>
      </c>
      <c r="BL189" s="13"/>
      <c r="BM189" s="148"/>
      <c r="BN189" s="14" t="s">
        <v>1671</v>
      </c>
      <c r="BO189" s="14" t="s">
        <v>1606</v>
      </c>
      <c r="BP189" s="14" t="s">
        <v>1621</v>
      </c>
      <c r="BQ189" s="14"/>
      <c r="BR189" s="14"/>
      <c r="BS189" s="14"/>
      <c r="BT189" s="14"/>
      <c r="BU189" s="14"/>
      <c r="BV189" s="14"/>
      <c r="BX189" t="s">
        <v>1599</v>
      </c>
      <c r="BY189" s="144">
        <f>BY175*BN172+BY176*BN175+BY177*BN178+BY178*BN181+BY179*BN184+BY180*BN187+BY181*BN190</f>
        <v>73.260262561303861</v>
      </c>
      <c r="CC189" s="706" t="s">
        <v>1643</v>
      </c>
      <c r="CD189" s="706" t="s">
        <v>1669</v>
      </c>
      <c r="CE189" s="706" t="s">
        <v>1670</v>
      </c>
      <c r="CF189" s="706">
        <v>2.8999999999999998E-3</v>
      </c>
      <c r="CG189" s="849">
        <v>0</v>
      </c>
      <c r="CH189" s="849">
        <v>0</v>
      </c>
      <c r="CU189" s="849">
        <v>742.24236613811877</v>
      </c>
    </row>
    <row r="190" spans="10:99" x14ac:dyDescent="0.25">
      <c r="J190" s="268"/>
      <c r="K190" s="35"/>
      <c r="U190" s="35"/>
      <c r="V190" s="35"/>
      <c r="W190" s="35"/>
      <c r="X190" s="672"/>
      <c r="Y190" s="672"/>
      <c r="Z190" s="672"/>
      <c r="AA190" s="672"/>
      <c r="AB190" s="35"/>
      <c r="AC190" s="35"/>
      <c r="AD190" s="35"/>
      <c r="AE190" s="35"/>
      <c r="AF190" s="35"/>
      <c r="AG190" s="35"/>
      <c r="AH190" s="35"/>
      <c r="AI190" s="35"/>
      <c r="AJ190" s="35"/>
      <c r="AK190" s="35"/>
      <c r="AL190" s="35"/>
      <c r="AM190" s="35"/>
      <c r="AN190" s="252"/>
      <c r="BA190" s="36" t="s">
        <v>964</v>
      </c>
      <c r="BB190" s="37" t="s">
        <v>1581</v>
      </c>
      <c r="BC190" s="36">
        <v>10</v>
      </c>
      <c r="BD190" s="36">
        <v>768.5</v>
      </c>
      <c r="BE190" s="36">
        <v>132</v>
      </c>
      <c r="BF190" s="36"/>
      <c r="BG190" s="226">
        <v>-10123.4</v>
      </c>
      <c r="BH190" s="36"/>
      <c r="BI190" s="36"/>
      <c r="BJ190" s="36"/>
      <c r="BK190" s="37">
        <v>5.5350000000000001</v>
      </c>
      <c r="BL190" s="36"/>
      <c r="BM190" s="226"/>
      <c r="BN190" s="38">
        <f>BN187+BN196</f>
        <v>90.737499999999983</v>
      </c>
      <c r="BO190" s="38">
        <v>270.60000000000002</v>
      </c>
      <c r="BP190" s="38">
        <v>27.07</v>
      </c>
      <c r="BQ190" s="38"/>
      <c r="BR190" s="38"/>
      <c r="BS190" s="38"/>
      <c r="BT190" s="38"/>
      <c r="BU190" s="38"/>
      <c r="BV190" s="38"/>
      <c r="BX190" t="s">
        <v>1678</v>
      </c>
      <c r="BY190" s="144">
        <f>-(BY175*BG173+BY176*BG176+BY177*BG179+BY178*BG182+BY179*BG185+BY180*BG188+BY181*BG191)</f>
        <v>47.976801187775848</v>
      </c>
      <c r="CC190" s="706" t="s">
        <v>1599</v>
      </c>
      <c r="CD190" t="s">
        <v>1674</v>
      </c>
      <c r="CE190" s="706" t="s">
        <v>1675</v>
      </c>
      <c r="CF190" s="706" t="s">
        <v>131</v>
      </c>
      <c r="CG190" s="849">
        <f>BY189</f>
        <v>73.260262561303861</v>
      </c>
      <c r="CH190" s="849">
        <f>CC219</f>
        <v>55.908034180559966</v>
      </c>
      <c r="CJ190" t="s">
        <v>857</v>
      </c>
      <c r="CU190" s="849">
        <v>70.909648842503302</v>
      </c>
    </row>
    <row r="191" spans="10:99" ht="15.75" thickBot="1" x14ac:dyDescent="0.3">
      <c r="J191" s="268"/>
      <c r="K191" s="35"/>
      <c r="U191" s="35"/>
      <c r="V191" s="35"/>
      <c r="W191" s="35"/>
      <c r="X191" s="1161" t="s">
        <v>810</v>
      </c>
      <c r="Y191" s="1162"/>
      <c r="Z191" s="672">
        <f>Z189*2</f>
        <v>4.8692103341051427E+27</v>
      </c>
      <c r="AA191" s="672"/>
      <c r="AB191" s="35"/>
      <c r="AC191" s="35"/>
      <c r="AD191" s="35"/>
      <c r="AE191" s="35"/>
      <c r="AF191" s="35"/>
      <c r="AG191" s="35"/>
      <c r="AH191" s="35"/>
      <c r="AI191" s="35"/>
      <c r="AJ191" s="35"/>
      <c r="AK191" s="35"/>
      <c r="AL191" s="35"/>
      <c r="AM191" s="35"/>
      <c r="AN191" s="252"/>
      <c r="BA191" s="15"/>
      <c r="BB191" s="35"/>
      <c r="BC191" s="15"/>
      <c r="BD191" s="15"/>
      <c r="BE191" s="15"/>
      <c r="BF191" s="15"/>
      <c r="BG191" s="848">
        <f>BG190/1000/BN100</f>
        <v>-47.751886792452829</v>
      </c>
      <c r="BH191" s="15"/>
      <c r="BI191" s="15"/>
      <c r="BJ191" s="15"/>
      <c r="BK191" s="35" t="s">
        <v>1617</v>
      </c>
      <c r="BL191" s="15"/>
      <c r="BM191" s="146"/>
      <c r="BN191" s="16"/>
      <c r="BO191" s="16"/>
      <c r="BP191" s="16"/>
      <c r="BQ191" s="16"/>
      <c r="BR191" s="16"/>
      <c r="BS191" s="16"/>
      <c r="BT191" s="16"/>
      <c r="BU191" s="16"/>
      <c r="BV191" s="16"/>
      <c r="BX191" t="s">
        <v>1687</v>
      </c>
      <c r="BY191" s="144">
        <f>BY175*BC172+BY176*BC175+BY177*BC178+BY178*BC181+BY179*BC184+BY180*BC187+BY181*BC190</f>
        <v>-19.035163633026169</v>
      </c>
      <c r="CC191" s="206" t="s">
        <v>1607</v>
      </c>
      <c r="CD191" s="155" t="s">
        <v>1611</v>
      </c>
      <c r="CE191" s="206" t="s">
        <v>1714</v>
      </c>
      <c r="CF191" s="206" t="s">
        <v>131</v>
      </c>
      <c r="CG191" s="850">
        <f>BY188</f>
        <v>24.92541239168628</v>
      </c>
      <c r="CH191" s="850">
        <f>CC218</f>
        <v>24.793653103980546</v>
      </c>
      <c r="CJ191" s="708" t="s">
        <v>1715</v>
      </c>
      <c r="CU191" s="849">
        <v>47.979221006205613</v>
      </c>
    </row>
    <row r="192" spans="10:99" x14ac:dyDescent="0.25">
      <c r="J192" s="268"/>
      <c r="K192" s="35"/>
      <c r="U192" s="35"/>
      <c r="V192" s="35"/>
      <c r="W192" s="35"/>
      <c r="X192" s="1161" t="s">
        <v>811</v>
      </c>
      <c r="Y192" s="1162"/>
      <c r="Z192" s="672">
        <f>Z191/(6.02*1E+24)</f>
        <v>808.83892593108692</v>
      </c>
      <c r="AA192" s="672"/>
      <c r="AB192" s="35"/>
      <c r="AC192" s="35"/>
      <c r="AD192" s="35"/>
      <c r="AE192" s="35"/>
      <c r="AF192" s="35"/>
      <c r="AG192" s="35"/>
      <c r="AH192" s="35"/>
      <c r="AI192" s="35"/>
      <c r="AJ192" s="35"/>
      <c r="AK192" s="35"/>
      <c r="AL192" s="35"/>
      <c r="AM192" s="35"/>
      <c r="AN192" s="252"/>
      <c r="BA192" s="13"/>
      <c r="BB192" s="11"/>
      <c r="BC192" s="13" t="s">
        <v>1615</v>
      </c>
      <c r="BD192" s="13" t="s">
        <v>1606</v>
      </c>
      <c r="BE192" s="13" t="s">
        <v>1615</v>
      </c>
      <c r="BF192" s="13"/>
      <c r="BG192" s="148" t="s">
        <v>1676</v>
      </c>
      <c r="BH192" s="13" t="s">
        <v>173</v>
      </c>
      <c r="BI192" s="13"/>
      <c r="BJ192" s="13" t="s">
        <v>1616</v>
      </c>
      <c r="BK192" s="11" t="s">
        <v>1620</v>
      </c>
      <c r="BL192" s="13"/>
      <c r="BM192" s="148"/>
      <c r="BN192" s="14" t="s">
        <v>1672</v>
      </c>
      <c r="BO192" s="14" t="s">
        <v>1606</v>
      </c>
      <c r="BP192" s="14" t="s">
        <v>1621</v>
      </c>
      <c r="BQ192" s="14"/>
      <c r="BR192" s="14"/>
      <c r="BS192" s="14"/>
      <c r="BT192" s="14"/>
      <c r="BU192" s="14"/>
      <c r="BV192" s="14"/>
      <c r="CU192" s="849">
        <v>0</v>
      </c>
    </row>
    <row r="193" spans="10:116" x14ac:dyDescent="0.25">
      <c r="J193" s="268"/>
      <c r="K193" s="35"/>
      <c r="L193" s="35"/>
      <c r="M193" s="35"/>
      <c r="N193" s="35"/>
      <c r="O193" s="35"/>
      <c r="P193" s="35"/>
      <c r="Q193" s="35"/>
      <c r="R193" s="35"/>
      <c r="S193" s="35"/>
      <c r="T193" s="35"/>
      <c r="U193" s="35"/>
      <c r="V193" s="35"/>
      <c r="W193" s="35"/>
      <c r="X193" s="1161" t="s">
        <v>812</v>
      </c>
      <c r="Y193" s="1162"/>
      <c r="Z193" s="672">
        <f>Z192*0.001</f>
        <v>0.80883892593108697</v>
      </c>
      <c r="AA193" s="672"/>
      <c r="AB193" s="35"/>
      <c r="AC193" s="35"/>
      <c r="AD193" s="35"/>
      <c r="AE193" s="35"/>
      <c r="AF193" s="35"/>
      <c r="AG193" s="35"/>
      <c r="AH193" s="35"/>
      <c r="AI193" s="35"/>
      <c r="AJ193" s="35"/>
      <c r="AK193" s="35"/>
      <c r="AL193" s="35"/>
      <c r="AM193" s="35"/>
      <c r="AN193" s="252"/>
      <c r="CU193" s="849">
        <v>205.12754329817744</v>
      </c>
    </row>
    <row r="194" spans="10:116" ht="15.75" thickBot="1" x14ac:dyDescent="0.3">
      <c r="J194" s="271"/>
      <c r="K194" s="272"/>
      <c r="L194" s="272"/>
      <c r="M194" s="272"/>
      <c r="N194" s="272"/>
      <c r="O194" s="272"/>
      <c r="P194" s="272"/>
      <c r="Q194" s="272"/>
      <c r="R194" s="272"/>
      <c r="S194" s="272"/>
      <c r="T194" s="272"/>
      <c r="U194" s="272"/>
      <c r="V194" s="272"/>
      <c r="W194" s="272"/>
      <c r="X194" s="272"/>
      <c r="Y194" s="272"/>
      <c r="Z194" s="272"/>
      <c r="AA194" s="272"/>
      <c r="AB194" s="272"/>
      <c r="AC194" s="272"/>
      <c r="AD194" s="272"/>
      <c r="AE194" s="272"/>
      <c r="AF194" s="272"/>
      <c r="AG194" s="272"/>
      <c r="AH194" s="272"/>
      <c r="AI194" s="272"/>
      <c r="AJ194" s="272"/>
      <c r="AK194" s="272"/>
      <c r="AL194" s="272"/>
      <c r="AM194" s="272"/>
      <c r="AN194" s="273"/>
      <c r="BN194">
        <f>BN175-BN172</f>
        <v>5.4499999999999957</v>
      </c>
      <c r="CU194" s="849">
        <v>0</v>
      </c>
    </row>
    <row r="195" spans="10:116" x14ac:dyDescent="0.25">
      <c r="BN195">
        <f>(BN187-BN181)/2</f>
        <v>5.8249999999999957</v>
      </c>
      <c r="CU195" s="849">
        <v>3.5679648098830947</v>
      </c>
    </row>
    <row r="196" spans="10:116" x14ac:dyDescent="0.25">
      <c r="BN196">
        <f>(BN194+BN195)/2</f>
        <v>5.6374999999999957</v>
      </c>
      <c r="CU196" s="849">
        <v>0</v>
      </c>
    </row>
    <row r="197" spans="10:116" ht="15.75" thickBot="1" x14ac:dyDescent="0.3">
      <c r="AE197" s="789"/>
      <c r="AF197" s="789" t="s">
        <v>1484</v>
      </c>
      <c r="AG197" s="789" t="s">
        <v>1485</v>
      </c>
      <c r="AH197" s="789" t="s">
        <v>1486</v>
      </c>
      <c r="AI197" s="789" t="s">
        <v>1487</v>
      </c>
      <c r="AJ197" s="789" t="s">
        <v>1488</v>
      </c>
      <c r="AK197" s="789" t="s">
        <v>1489</v>
      </c>
      <c r="AL197" s="789" t="s">
        <v>1490</v>
      </c>
      <c r="AM197" s="789" t="s">
        <v>1491</v>
      </c>
      <c r="CU197" s="849">
        <v>73.143569244611697</v>
      </c>
    </row>
    <row r="198" spans="10:116" ht="15.75" thickBot="1" x14ac:dyDescent="0.3">
      <c r="AE198" s="787"/>
      <c r="AF198" s="787">
        <v>1.75</v>
      </c>
      <c r="AG198" s="788">
        <v>1.54</v>
      </c>
      <c r="AH198" s="788">
        <v>1.36</v>
      </c>
      <c r="AI198" s="788">
        <v>1.24</v>
      </c>
      <c r="AJ198" s="788">
        <v>0.94</v>
      </c>
      <c r="AK198" s="788">
        <v>0.9</v>
      </c>
      <c r="AL198" s="788">
        <v>0.32</v>
      </c>
      <c r="AM198" s="788">
        <v>0.28000000000000003</v>
      </c>
      <c r="CU198" s="850">
        <v>24.903726299418558</v>
      </c>
    </row>
    <row r="199" spans="10:116" x14ac:dyDescent="0.25">
      <c r="AM199">
        <f>SUM(AF198:AM198)</f>
        <v>8.33</v>
      </c>
      <c r="BA199" s="999" t="s">
        <v>660</v>
      </c>
      <c r="BB199" s="1000"/>
      <c r="BC199" s="909" t="s">
        <v>1582</v>
      </c>
      <c r="BD199" s="896" t="s">
        <v>1570</v>
      </c>
      <c r="BE199" s="896" t="s">
        <v>1584</v>
      </c>
      <c r="BF199" s="896" t="s">
        <v>1585</v>
      </c>
      <c r="BG199" s="896" t="s">
        <v>1586</v>
      </c>
      <c r="BH199" s="896" t="s">
        <v>1587</v>
      </c>
      <c r="BI199" s="896" t="s">
        <v>1595</v>
      </c>
      <c r="BJ199" s="1156" t="s">
        <v>1596</v>
      </c>
      <c r="BK199" s="896"/>
      <c r="BL199" s="896" t="s">
        <v>1597</v>
      </c>
      <c r="BM199" s="1156" t="s">
        <v>1598</v>
      </c>
      <c r="BN199" s="898" t="s">
        <v>1599</v>
      </c>
      <c r="BO199" s="898" t="s">
        <v>1592</v>
      </c>
      <c r="BP199" s="898" t="s">
        <v>1607</v>
      </c>
      <c r="BQ199" s="898" t="s">
        <v>1588</v>
      </c>
      <c r="BR199" s="898" t="s">
        <v>1589</v>
      </c>
      <c r="BS199" s="898" t="s">
        <v>1590</v>
      </c>
      <c r="BT199" s="898" t="s">
        <v>1591</v>
      </c>
      <c r="BU199" s="898" t="s">
        <v>1593</v>
      </c>
      <c r="BV199" s="898" t="s">
        <v>1594</v>
      </c>
    </row>
    <row r="200" spans="10:116" x14ac:dyDescent="0.25">
      <c r="BA200" s="1001"/>
      <c r="BB200" s="1002"/>
      <c r="BC200" s="909"/>
      <c r="BD200" s="896"/>
      <c r="BE200" s="896"/>
      <c r="BF200" s="896"/>
      <c r="BG200" s="896"/>
      <c r="BH200" s="896"/>
      <c r="BI200" s="896"/>
      <c r="BJ200" s="1156"/>
      <c r="BK200" s="896"/>
      <c r="BL200" s="896"/>
      <c r="BM200" s="1156"/>
      <c r="BN200" s="898"/>
      <c r="BO200" s="898"/>
      <c r="BP200" s="898"/>
      <c r="BQ200" s="898"/>
      <c r="BR200" s="898"/>
      <c r="BS200" s="898"/>
      <c r="BT200" s="898"/>
      <c r="BU200" s="898"/>
      <c r="BV200" s="898"/>
    </row>
    <row r="201" spans="10:116" x14ac:dyDescent="0.25">
      <c r="BA201" s="139" t="s">
        <v>1614</v>
      </c>
      <c r="BB201" s="139" t="s">
        <v>1613</v>
      </c>
      <c r="BC201" s="128" t="s">
        <v>333</v>
      </c>
      <c r="BD201" s="128" t="s">
        <v>1583</v>
      </c>
      <c r="BE201" s="128" t="s">
        <v>333</v>
      </c>
      <c r="BF201" s="128" t="s">
        <v>1600</v>
      </c>
      <c r="BG201" s="128" t="s">
        <v>1677</v>
      </c>
      <c r="BH201" s="128" t="s">
        <v>1601</v>
      </c>
      <c r="BI201" s="128" t="s">
        <v>1602</v>
      </c>
      <c r="BJ201" s="226" t="s">
        <v>1608</v>
      </c>
      <c r="BK201" s="36" t="s">
        <v>1626</v>
      </c>
      <c r="BL201" s="128" t="s">
        <v>1604</v>
      </c>
      <c r="BM201" s="139" t="s">
        <v>1605</v>
      </c>
      <c r="BN201" s="155"/>
      <c r="BO201" s="155" t="s">
        <v>333</v>
      </c>
      <c r="BP201" s="155" t="s">
        <v>1611</v>
      </c>
      <c r="BQ201" s="155" t="s">
        <v>333</v>
      </c>
      <c r="BR201" s="155" t="s">
        <v>333</v>
      </c>
      <c r="BS201" s="155" t="s">
        <v>333</v>
      </c>
      <c r="BT201" s="155" t="s">
        <v>333</v>
      </c>
      <c r="BU201" s="155" t="s">
        <v>105</v>
      </c>
      <c r="BV201" s="155" t="s">
        <v>105</v>
      </c>
    </row>
    <row r="202" spans="10:116" x14ac:dyDescent="0.25">
      <c r="BA202" s="36" t="s">
        <v>954</v>
      </c>
      <c r="BB202" s="37" t="s">
        <v>1680</v>
      </c>
      <c r="BC202" s="36">
        <v>-80.099999999999994</v>
      </c>
      <c r="BD202" s="36">
        <v>713</v>
      </c>
      <c r="BE202" s="36">
        <v>26</v>
      </c>
      <c r="BF202" s="36"/>
      <c r="BG202">
        <v>-6125.75</v>
      </c>
      <c r="BH202" s="36"/>
      <c r="BI202" s="36"/>
      <c r="BJ202" s="36"/>
      <c r="BK202" s="38"/>
      <c r="BL202" s="37"/>
      <c r="BM202" s="226"/>
      <c r="BN202" s="861">
        <f>(BN205+BN211+BN214)/3</f>
        <v>52.566666666666663</v>
      </c>
      <c r="BO202" s="38">
        <v>143.19999999999999</v>
      </c>
      <c r="BP202" s="38">
        <v>21.88</v>
      </c>
      <c r="BQ202" s="38"/>
      <c r="BR202" s="38"/>
      <c r="BS202" s="38"/>
      <c r="BT202" s="38"/>
      <c r="BU202" s="38"/>
      <c r="BV202" s="38"/>
    </row>
    <row r="203" spans="10:116" x14ac:dyDescent="0.25">
      <c r="BA203" s="15"/>
      <c r="BB203" s="35"/>
      <c r="BC203" s="15"/>
      <c r="BD203" s="15"/>
      <c r="BE203" s="15"/>
      <c r="BF203" s="15"/>
      <c r="BG203" s="848">
        <f>BG202/1000/BC226</f>
        <v>-47.764132553606238</v>
      </c>
      <c r="BH203" s="15"/>
      <c r="BI203" s="15"/>
      <c r="BJ203" s="15"/>
      <c r="BK203" s="35"/>
      <c r="BL203" s="35"/>
      <c r="BM203" s="146"/>
      <c r="BN203" s="16"/>
      <c r="BO203" s="16"/>
      <c r="BP203" s="16"/>
      <c r="BQ203" s="16"/>
      <c r="BR203" s="16"/>
      <c r="BS203" s="16"/>
      <c r="BT203" s="16"/>
      <c r="BU203" s="16"/>
      <c r="BV203" s="16"/>
      <c r="BX203" t="s">
        <v>1622</v>
      </c>
    </row>
    <row r="204" spans="10:116" x14ac:dyDescent="0.25">
      <c r="BA204" s="13"/>
      <c r="BB204" s="11"/>
      <c r="BC204" s="13"/>
      <c r="BD204" s="14" t="s">
        <v>1620</v>
      </c>
      <c r="BE204" s="14" t="s">
        <v>1705</v>
      </c>
      <c r="BF204" s="13"/>
      <c r="BG204" s="148" t="s">
        <v>1676</v>
      </c>
      <c r="BH204" s="13" t="s">
        <v>173</v>
      </c>
      <c r="BI204" s="13"/>
      <c r="BJ204" s="13" t="s">
        <v>640</v>
      </c>
      <c r="BK204" s="14" t="s">
        <v>1620</v>
      </c>
      <c r="BL204" s="11"/>
      <c r="BM204" s="148"/>
      <c r="BN204" s="14" t="s">
        <v>1747</v>
      </c>
      <c r="BO204" s="14" t="s">
        <v>1606</v>
      </c>
      <c r="BP204" s="14" t="s">
        <v>1621</v>
      </c>
      <c r="BQ204" s="14"/>
      <c r="BR204" s="14"/>
      <c r="BS204" s="14"/>
      <c r="BT204" s="14"/>
      <c r="BU204" s="14"/>
      <c r="BV204" s="14"/>
      <c r="BX204" t="s">
        <v>1035</v>
      </c>
      <c r="BY204" t="s">
        <v>1253</v>
      </c>
    </row>
    <row r="205" spans="10:116" x14ac:dyDescent="0.25">
      <c r="BA205" s="36" t="s">
        <v>955</v>
      </c>
      <c r="BB205" s="37" t="s">
        <v>1681</v>
      </c>
      <c r="BC205" s="36">
        <v>-74.599999999999994</v>
      </c>
      <c r="BD205" s="36">
        <v>728</v>
      </c>
      <c r="BE205" s="36">
        <v>46</v>
      </c>
      <c r="BF205" s="36"/>
      <c r="BG205" s="226">
        <v>-6769.5</v>
      </c>
      <c r="BH205" s="36"/>
      <c r="BI205" s="36"/>
      <c r="BJ205" s="36"/>
      <c r="BK205" s="38"/>
      <c r="BL205" s="37"/>
      <c r="BM205" s="226"/>
      <c r="BN205" s="38">
        <v>51.7</v>
      </c>
      <c r="BO205" s="38">
        <v>166</v>
      </c>
      <c r="BP205" s="38"/>
      <c r="BQ205" s="38"/>
      <c r="BR205" s="38"/>
      <c r="BS205" s="38"/>
      <c r="BT205" s="38"/>
      <c r="BU205" s="38"/>
      <c r="BV205" s="38"/>
      <c r="BX205" t="s">
        <v>1567</v>
      </c>
      <c r="BY205" s="319">
        <f t="shared" ref="BY205:BY211" si="20">BV226</f>
        <v>2.3407305311205943E-2</v>
      </c>
      <c r="BZ205" s="37" t="s">
        <v>1680</v>
      </c>
      <c r="CA205" s="319">
        <f t="shared" ref="CA205:CA211" si="21">BW226</f>
        <v>0.11347752107011534</v>
      </c>
    </row>
    <row r="206" spans="10:116" x14ac:dyDescent="0.25">
      <c r="AF206" t="s">
        <v>1520</v>
      </c>
      <c r="AG206" t="s">
        <v>875</v>
      </c>
      <c r="AH206" t="s">
        <v>1521</v>
      </c>
      <c r="AI206" t="s">
        <v>1522</v>
      </c>
      <c r="AJ206" t="s">
        <v>1523</v>
      </c>
      <c r="BA206" s="15"/>
      <c r="BB206" s="35"/>
      <c r="BC206" s="15"/>
      <c r="BD206" s="15"/>
      <c r="BE206" s="15"/>
      <c r="BF206" s="15"/>
      <c r="BG206" s="848">
        <f>BG205/1000/BC227</f>
        <v>-47.578718020804054</v>
      </c>
      <c r="BH206" s="15"/>
      <c r="BI206" s="15"/>
      <c r="BJ206" s="15"/>
      <c r="BK206" s="35"/>
      <c r="BL206" s="35"/>
      <c r="BM206" s="146"/>
      <c r="BN206" s="16"/>
      <c r="BO206" s="16"/>
      <c r="BP206" s="16"/>
      <c r="BQ206" s="16"/>
      <c r="BR206" s="16"/>
      <c r="BS206" s="16"/>
      <c r="BT206" s="16"/>
      <c r="BU206" s="16"/>
      <c r="BV206" s="16"/>
      <c r="BX206" t="s">
        <v>1573</v>
      </c>
      <c r="BY206" s="319">
        <f t="shared" si="20"/>
        <v>3.2958298082136427E-2</v>
      </c>
      <c r="BZ206" s="37" t="s">
        <v>1681</v>
      </c>
      <c r="CA206" s="319">
        <f t="shared" si="21"/>
        <v>0.15978028719351514</v>
      </c>
    </row>
    <row r="207" spans="10:116" x14ac:dyDescent="0.25">
      <c r="AE207" t="s">
        <v>1519</v>
      </c>
      <c r="AF207">
        <v>170</v>
      </c>
      <c r="AG207">
        <v>184.3</v>
      </c>
      <c r="AH207">
        <v>155.5</v>
      </c>
      <c r="AI207">
        <v>196.2</v>
      </c>
      <c r="AJ207">
        <v>194.7</v>
      </c>
      <c r="BA207" s="13"/>
      <c r="BB207" s="11"/>
      <c r="BC207" s="13"/>
      <c r="BD207" s="14" t="s">
        <v>1620</v>
      </c>
      <c r="BE207" s="14" t="s">
        <v>1686</v>
      </c>
      <c r="BF207" s="13"/>
      <c r="BG207" s="148" t="s">
        <v>1676</v>
      </c>
      <c r="BH207" s="13" t="s">
        <v>173</v>
      </c>
      <c r="BI207" s="13"/>
      <c r="BJ207" s="13" t="s">
        <v>640</v>
      </c>
      <c r="BK207" s="14" t="s">
        <v>1620</v>
      </c>
      <c r="BL207" s="11"/>
      <c r="BM207" s="148"/>
      <c r="BN207" s="14" t="s">
        <v>1671</v>
      </c>
      <c r="BO207" s="14" t="s">
        <v>1686</v>
      </c>
      <c r="BP207" s="14" t="s">
        <v>1621</v>
      </c>
      <c r="BQ207" s="14"/>
      <c r="BR207" s="14"/>
      <c r="BS207" s="14"/>
      <c r="BT207" s="14"/>
      <c r="BU207" s="14"/>
      <c r="BV207" s="14"/>
      <c r="BX207" t="s">
        <v>1576</v>
      </c>
      <c r="BY207" s="319">
        <f t="shared" si="20"/>
        <v>3.2741893810082232E-2</v>
      </c>
      <c r="BZ207" s="37" t="s">
        <v>1682</v>
      </c>
      <c r="CA207" s="319">
        <f t="shared" si="21"/>
        <v>0.15873116940677284</v>
      </c>
      <c r="DK207" t="s">
        <v>1603</v>
      </c>
    </row>
    <row r="208" spans="10:116" x14ac:dyDescent="0.25">
      <c r="AE208" t="s">
        <v>1524</v>
      </c>
      <c r="AF208">
        <v>3.1</v>
      </c>
      <c r="AG208">
        <v>4.7</v>
      </c>
      <c r="AH208">
        <v>36.9</v>
      </c>
      <c r="AI208">
        <v>0.5</v>
      </c>
      <c r="AJ208">
        <v>0.8</v>
      </c>
      <c r="BA208" s="36" t="s">
        <v>956</v>
      </c>
      <c r="BB208" s="37" t="s">
        <v>1682</v>
      </c>
      <c r="BC208" s="36">
        <v>-48.9</v>
      </c>
      <c r="BD208">
        <v>737</v>
      </c>
      <c r="BE208">
        <v>50.1</v>
      </c>
      <c r="BF208" s="36"/>
      <c r="BG208" s="226"/>
      <c r="BH208" s="36"/>
      <c r="BI208" s="36"/>
      <c r="BJ208" s="15"/>
      <c r="BK208" s="35"/>
      <c r="BL208" s="36"/>
      <c r="BM208" s="226"/>
      <c r="BN208" s="861">
        <f>(BN211+BN214+BN205)/3</f>
        <v>52.566666666666663</v>
      </c>
      <c r="BO208" s="38">
        <v>189.3</v>
      </c>
      <c r="BP208" s="38"/>
      <c r="BQ208" s="38"/>
      <c r="BR208" s="38"/>
      <c r="BS208" s="38"/>
      <c r="BT208" s="38"/>
      <c r="BU208" s="38"/>
      <c r="BV208" s="38"/>
      <c r="BX208" t="s">
        <v>1574</v>
      </c>
      <c r="BY208" s="319">
        <f t="shared" si="20"/>
        <v>2.9563591894260634E-2</v>
      </c>
      <c r="BZ208" s="37" t="s">
        <v>1679</v>
      </c>
      <c r="CA208" s="319">
        <f t="shared" si="21"/>
        <v>0.14332291041135703</v>
      </c>
      <c r="DK208" t="s">
        <v>1609</v>
      </c>
      <c r="DL208" t="s">
        <v>1610</v>
      </c>
    </row>
    <row r="209" spans="31:127" x14ac:dyDescent="0.25">
      <c r="AE209" t="s">
        <v>270</v>
      </c>
      <c r="AF209">
        <v>18.3</v>
      </c>
      <c r="AG209">
        <v>1</v>
      </c>
      <c r="AH209">
        <v>2.1</v>
      </c>
      <c r="AI209">
        <v>1.8</v>
      </c>
      <c r="AJ209">
        <v>1.6</v>
      </c>
      <c r="BA209" s="15"/>
      <c r="BB209" s="35"/>
      <c r="BC209" s="15"/>
      <c r="BF209" s="15"/>
      <c r="BG209" s="848"/>
      <c r="BH209" s="15"/>
      <c r="BI209" s="15"/>
      <c r="BJ209" s="15"/>
      <c r="BK209" s="35"/>
      <c r="BL209" s="15"/>
      <c r="BM209" s="146"/>
      <c r="BN209" s="16"/>
      <c r="BO209" s="16"/>
      <c r="BP209" s="16"/>
      <c r="BQ209" s="16"/>
      <c r="BR209" s="16"/>
      <c r="BS209" s="16"/>
      <c r="BT209" s="16"/>
      <c r="BU209" s="16"/>
      <c r="BV209" s="16"/>
      <c r="BX209" t="s">
        <v>1579</v>
      </c>
      <c r="BY209" s="319">
        <f t="shared" si="20"/>
        <v>2.3374662923701928E-2</v>
      </c>
      <c r="BZ209" s="37" t="s">
        <v>1683</v>
      </c>
      <c r="CA209" s="319">
        <f t="shared" si="21"/>
        <v>0.11331927230262509</v>
      </c>
      <c r="DB209" s="999" t="s">
        <v>660</v>
      </c>
      <c r="DC209" s="1000"/>
      <c r="DD209" s="909" t="s">
        <v>1582</v>
      </c>
      <c r="DE209" s="896" t="s">
        <v>1570</v>
      </c>
      <c r="DF209" s="896" t="s">
        <v>1584</v>
      </c>
      <c r="DG209" s="897" t="s">
        <v>1586</v>
      </c>
      <c r="DH209" s="896" t="s">
        <v>1587</v>
      </c>
      <c r="DI209" s="896" t="s">
        <v>1595</v>
      </c>
      <c r="DJ209" s="1156" t="s">
        <v>1596</v>
      </c>
      <c r="DK209" s="896"/>
      <c r="DL209" s="896" t="s">
        <v>1597</v>
      </c>
      <c r="DM209" s="1156" t="s">
        <v>1598</v>
      </c>
      <c r="DN209" s="898" t="s">
        <v>1599</v>
      </c>
      <c r="DO209" s="898" t="s">
        <v>1592</v>
      </c>
      <c r="DP209" s="897" t="s">
        <v>1607</v>
      </c>
      <c r="DR209" s="1207"/>
      <c r="DS209" s="1207"/>
      <c r="DT209" s="1207"/>
      <c r="DU209" s="1207"/>
      <c r="DV209" s="1207"/>
      <c r="DW209" s="1207"/>
    </row>
    <row r="210" spans="31:127" x14ac:dyDescent="0.25">
      <c r="AE210" t="s">
        <v>1525</v>
      </c>
      <c r="AF210">
        <v>94.2</v>
      </c>
      <c r="AG210">
        <v>100</v>
      </c>
      <c r="AH210">
        <v>74.3</v>
      </c>
      <c r="AI210">
        <v>94.9</v>
      </c>
      <c r="AJ210">
        <v>93.7</v>
      </c>
      <c r="BA210" s="13"/>
      <c r="BB210" s="11"/>
      <c r="BC210" s="13" t="s">
        <v>1704</v>
      </c>
      <c r="BD210" s="14" t="s">
        <v>1620</v>
      </c>
      <c r="BE210" t="s">
        <v>1708</v>
      </c>
      <c r="BF210" s="13"/>
      <c r="BG210" s="148" t="s">
        <v>1676</v>
      </c>
      <c r="BH210" s="13" t="s">
        <v>173</v>
      </c>
      <c r="BI210" s="13"/>
      <c r="BJ210" s="13" t="s">
        <v>1606</v>
      </c>
      <c r="BK210" s="11" t="s">
        <v>1620</v>
      </c>
      <c r="BL210" s="13"/>
      <c r="BM210" s="148"/>
      <c r="BN210" s="14" t="s">
        <v>1747</v>
      </c>
      <c r="BO210" s="14" t="s">
        <v>1606</v>
      </c>
      <c r="BP210" s="14" t="s">
        <v>1621</v>
      </c>
      <c r="BQ210" s="14"/>
      <c r="BR210" s="14"/>
      <c r="BS210" s="14"/>
      <c r="BT210" s="14"/>
      <c r="BU210" s="14"/>
      <c r="BV210" s="14"/>
      <c r="BX210" t="s">
        <v>1580</v>
      </c>
      <c r="BY210" s="319">
        <f t="shared" si="20"/>
        <v>1.934727549410015E-2</v>
      </c>
      <c r="BZ210" s="37" t="s">
        <v>1684</v>
      </c>
      <c r="CA210" s="319">
        <f t="shared" si="21"/>
        <v>9.3794686459701862E-2</v>
      </c>
      <c r="DB210" s="1001"/>
      <c r="DC210" s="1002"/>
      <c r="DD210" s="909"/>
      <c r="DE210" s="896"/>
      <c r="DF210" s="896"/>
      <c r="DG210" s="897"/>
      <c r="DH210" s="896"/>
      <c r="DI210" s="896"/>
      <c r="DJ210" s="1156"/>
      <c r="DK210" s="896"/>
      <c r="DL210" s="896"/>
      <c r="DM210" s="1156"/>
      <c r="DN210" s="898"/>
      <c r="DO210" s="898"/>
      <c r="DP210" s="897"/>
      <c r="DR210" s="1207"/>
      <c r="DS210" s="1207"/>
      <c r="DT210" s="1207"/>
      <c r="DU210" s="1207"/>
      <c r="DV210" s="1207"/>
      <c r="DW210" s="1207"/>
    </row>
    <row r="211" spans="31:127" x14ac:dyDescent="0.25">
      <c r="BA211" s="36" t="s">
        <v>957</v>
      </c>
      <c r="BB211" s="37" t="s">
        <v>1679</v>
      </c>
      <c r="BC211" s="36">
        <v>-47</v>
      </c>
      <c r="BD211" s="36">
        <v>745.8</v>
      </c>
      <c r="BE211" s="36">
        <v>42</v>
      </c>
      <c r="BF211" s="36"/>
      <c r="BG211" s="226"/>
      <c r="BH211" s="36"/>
      <c r="BI211" s="36"/>
      <c r="BJ211" s="36"/>
      <c r="BK211" s="37"/>
      <c r="BL211" s="36"/>
      <c r="BM211" s="226"/>
      <c r="BN211" s="38">
        <v>48</v>
      </c>
      <c r="BO211" s="38">
        <v>195</v>
      </c>
      <c r="BP211" s="38"/>
      <c r="BQ211" s="38"/>
      <c r="BR211" s="38"/>
      <c r="BS211" s="38"/>
      <c r="BT211" s="38"/>
      <c r="BU211" s="38"/>
      <c r="BV211" s="38"/>
      <c r="BX211" t="s">
        <v>1581</v>
      </c>
      <c r="BY211" s="319">
        <f t="shared" si="20"/>
        <v>9.6069724845127547E-3</v>
      </c>
      <c r="BZ211" s="37" t="s">
        <v>1685</v>
      </c>
      <c r="CA211" s="319">
        <f t="shared" si="21"/>
        <v>4.6574153155912686E-2</v>
      </c>
      <c r="DB211" s="139" t="s">
        <v>1614</v>
      </c>
      <c r="DC211" s="139" t="s">
        <v>1613</v>
      </c>
      <c r="DD211" s="128" t="s">
        <v>333</v>
      </c>
      <c r="DE211" s="128" t="s">
        <v>1583</v>
      </c>
      <c r="DF211" s="128" t="s">
        <v>333</v>
      </c>
      <c r="DG211" s="858" t="s">
        <v>1677</v>
      </c>
      <c r="DH211" s="128" t="s">
        <v>1601</v>
      </c>
      <c r="DI211" s="128" t="s">
        <v>1602</v>
      </c>
      <c r="DJ211" s="226" t="s">
        <v>1608</v>
      </c>
      <c r="DK211" s="36" t="s">
        <v>1626</v>
      </c>
      <c r="DL211" s="128" t="s">
        <v>1604</v>
      </c>
      <c r="DM211" s="139" t="s">
        <v>1605</v>
      </c>
      <c r="DN211" s="155"/>
      <c r="DO211" s="155" t="s">
        <v>333</v>
      </c>
      <c r="DP211" s="858" t="s">
        <v>1611</v>
      </c>
      <c r="DR211" s="35"/>
      <c r="DS211" s="35"/>
      <c r="DT211" s="35"/>
      <c r="DU211" s="35"/>
      <c r="DV211" s="35"/>
      <c r="DW211" s="35"/>
    </row>
    <row r="212" spans="31:127" x14ac:dyDescent="0.25">
      <c r="AG212">
        <v>3.7854117839999999</v>
      </c>
      <c r="AH212">
        <v>3.7854117839999999</v>
      </c>
      <c r="AI212">
        <v>3.7854117839999999</v>
      </c>
      <c r="AJ212">
        <v>3.7854117839999999</v>
      </c>
      <c r="AK212">
        <v>3.7854117839999999</v>
      </c>
      <c r="BA212" s="15"/>
      <c r="BB212" s="35"/>
      <c r="BC212" s="15"/>
      <c r="BD212" s="15"/>
      <c r="BE212" s="15"/>
      <c r="BF212" s="15"/>
      <c r="BG212" s="848"/>
      <c r="BH212" s="15"/>
      <c r="BI212" s="15"/>
      <c r="BJ212" s="15"/>
      <c r="BK212" s="35"/>
      <c r="BL212" s="15"/>
      <c r="BM212" s="146"/>
      <c r="BN212" s="16"/>
      <c r="BO212" s="16"/>
      <c r="BP212" s="16"/>
      <c r="BQ212" s="16"/>
      <c r="BR212" s="16"/>
      <c r="BS212" s="16"/>
      <c r="BT212" s="16"/>
      <c r="BU212" s="16"/>
      <c r="BV212" s="16"/>
      <c r="CA212" s="319">
        <f>SUM(BY205:BY211)+SUM(CA205:CA211)</f>
        <v>1.0000000000000002</v>
      </c>
      <c r="DB212" s="36" t="s">
        <v>954</v>
      </c>
      <c r="DC212" s="37" t="s">
        <v>1567</v>
      </c>
      <c r="DD212" s="36">
        <v>-53</v>
      </c>
      <c r="DE212" s="36">
        <v>717.6</v>
      </c>
      <c r="DF212" s="36">
        <v>31</v>
      </c>
      <c r="DG212" s="38">
        <v>-6170.98</v>
      </c>
      <c r="DH212" s="36">
        <v>0</v>
      </c>
      <c r="DI212" s="36">
        <v>0</v>
      </c>
      <c r="DJ212" s="36">
        <v>1378.9</v>
      </c>
      <c r="DK212" s="38">
        <v>1.782</v>
      </c>
      <c r="DL212" s="37"/>
      <c r="DM212" s="226">
        <v>0</v>
      </c>
      <c r="DN212" s="38">
        <v>60.9</v>
      </c>
      <c r="DO212" s="38">
        <v>150.47</v>
      </c>
      <c r="DP212" s="37">
        <v>22.85</v>
      </c>
      <c r="DR212" s="35"/>
      <c r="DS212" s="35"/>
      <c r="DT212" s="35"/>
      <c r="DU212" s="35"/>
      <c r="DV212" s="35"/>
      <c r="DW212" s="35"/>
    </row>
    <row r="213" spans="31:127" x14ac:dyDescent="0.25">
      <c r="AF213" t="s">
        <v>1520</v>
      </c>
      <c r="AG213" t="s">
        <v>875</v>
      </c>
      <c r="AH213" t="s">
        <v>1521</v>
      </c>
      <c r="AI213" t="s">
        <v>1522</v>
      </c>
      <c r="AJ213" t="s">
        <v>1523</v>
      </c>
      <c r="BA213" s="13"/>
      <c r="BB213" s="11"/>
      <c r="BC213" s="14" t="s">
        <v>1686</v>
      </c>
      <c r="BD213" s="14" t="s">
        <v>1620</v>
      </c>
      <c r="BE213" s="14" t="s">
        <v>1686</v>
      </c>
      <c r="BF213" s="13"/>
      <c r="BG213" s="148" t="s">
        <v>1676</v>
      </c>
      <c r="BH213" s="13" t="s">
        <v>173</v>
      </c>
      <c r="BI213" s="13"/>
      <c r="BJ213" s="13"/>
      <c r="BK213" s="11" t="s">
        <v>1620</v>
      </c>
      <c r="BL213" s="13"/>
      <c r="BM213" s="148"/>
      <c r="BN213" s="14" t="s">
        <v>1671</v>
      </c>
      <c r="BO213" s="14" t="s">
        <v>1686</v>
      </c>
      <c r="BP213" s="14" t="s">
        <v>1621</v>
      </c>
      <c r="BQ213" s="14"/>
      <c r="BR213" s="14"/>
      <c r="BS213" s="14"/>
      <c r="BT213" s="14"/>
      <c r="BU213" s="14"/>
      <c r="BV213" s="14"/>
      <c r="BX213" t="s">
        <v>1623</v>
      </c>
      <c r="DB213" s="15"/>
      <c r="DC213" s="35"/>
      <c r="DD213" s="15"/>
      <c r="DE213" s="15"/>
      <c r="DF213" s="15"/>
      <c r="DG213" s="556" t="e">
        <f>DG212/1000/DU140</f>
        <v>#DIV/0!</v>
      </c>
      <c r="DH213" s="15"/>
      <c r="DI213" s="15"/>
      <c r="DJ213" s="15">
        <v>1590.3</v>
      </c>
      <c r="DK213" s="35" t="s">
        <v>1625</v>
      </c>
      <c r="DL213" s="35"/>
      <c r="DM213" s="146"/>
      <c r="DN213" s="16"/>
      <c r="DO213" s="16"/>
      <c r="DP213" s="35"/>
      <c r="DR213" s="35"/>
      <c r="DS213" s="35"/>
      <c r="DT213" s="35"/>
      <c r="DU213" s="35"/>
      <c r="DV213" s="35"/>
      <c r="DW213" s="35"/>
    </row>
    <row r="214" spans="31:127" x14ac:dyDescent="0.25">
      <c r="AE214" t="s">
        <v>1519</v>
      </c>
      <c r="AF214">
        <f>AF207*AK212</f>
        <v>643.52000327999997</v>
      </c>
      <c r="AG214">
        <f>AG207*AH212</f>
        <v>697.65139179120001</v>
      </c>
      <c r="AH214">
        <f>AH207*AI212</f>
        <v>588.63153241199996</v>
      </c>
      <c r="AI214">
        <f>AI207*AJ212</f>
        <v>742.69779202079997</v>
      </c>
      <c r="AJ214">
        <f>AJ207*AK212</f>
        <v>737.01967434479991</v>
      </c>
      <c r="BA214" s="36" t="s">
        <v>958</v>
      </c>
      <c r="BB214" s="37" t="s">
        <v>1683</v>
      </c>
      <c r="BC214" s="36">
        <v>-26</v>
      </c>
      <c r="BD214" s="36">
        <v>754</v>
      </c>
      <c r="BE214" s="36">
        <v>70.599999999999994</v>
      </c>
      <c r="BF214" s="36"/>
      <c r="BG214" s="226"/>
      <c r="BH214" s="36"/>
      <c r="BI214" s="36"/>
      <c r="BJ214" s="36"/>
      <c r="BK214" s="37"/>
      <c r="BL214" s="36"/>
      <c r="BM214" s="226"/>
      <c r="BN214" s="38">
        <v>58</v>
      </c>
      <c r="BO214" s="38">
        <v>227</v>
      </c>
      <c r="BP214" s="38"/>
      <c r="BQ214" s="38"/>
      <c r="BR214" s="38"/>
      <c r="BS214" s="38"/>
      <c r="BT214" s="38"/>
      <c r="BU214" s="38"/>
      <c r="BV214" s="38"/>
      <c r="BX214" t="s">
        <v>1570</v>
      </c>
      <c r="BY214" s="144">
        <f>BY205*BD172+BY206*BD175+BY207*BD178+BY208*BD181+BY209*BD184+BY210*BD187+BY211*BD190</f>
        <v>126.92344460961837</v>
      </c>
      <c r="CA214" s="144">
        <f>CA205*BD202+CA206*BD205+CA207*BD208+CA208*BD211+CA209*BD214+CA210*BD217+CA211*BD220</f>
        <v>613.60090906689447</v>
      </c>
      <c r="CC214" s="144">
        <f>BY214+CA214</f>
        <v>740.52435367651287</v>
      </c>
      <c r="DB214" s="13"/>
      <c r="DC214" s="11"/>
      <c r="DD214" s="13" t="s">
        <v>1615</v>
      </c>
      <c r="DE214" s="13" t="s">
        <v>1606</v>
      </c>
      <c r="DF214" s="13" t="s">
        <v>1606</v>
      </c>
      <c r="DG214" s="14" t="s">
        <v>1676</v>
      </c>
      <c r="DH214" s="13" t="s">
        <v>173</v>
      </c>
      <c r="DI214" s="13"/>
      <c r="DJ214" s="13" t="s">
        <v>640</v>
      </c>
      <c r="DK214" s="14" t="s">
        <v>1620</v>
      </c>
      <c r="DL214" s="11"/>
      <c r="DM214" s="148"/>
      <c r="DN214" s="14" t="s">
        <v>1671</v>
      </c>
      <c r="DO214" s="14" t="s">
        <v>1606</v>
      </c>
      <c r="DP214" s="11" t="s">
        <v>1621</v>
      </c>
      <c r="DR214" s="35"/>
      <c r="DS214" s="35"/>
      <c r="DT214" s="35"/>
      <c r="DU214" s="35"/>
      <c r="DV214" s="35"/>
      <c r="DW214" s="35"/>
    </row>
    <row r="215" spans="31:127" x14ac:dyDescent="0.25">
      <c r="AE215" t="s">
        <v>1524</v>
      </c>
      <c r="AF215">
        <f>AF208*AK212</f>
        <v>11.7347765304</v>
      </c>
      <c r="AG215">
        <f>AG208*AH212</f>
        <v>17.7914353848</v>
      </c>
      <c r="AH215">
        <f>AH208*AI212</f>
        <v>139.68169482959999</v>
      </c>
      <c r="AI215">
        <f>AI208*AJ212</f>
        <v>1.8927058919999999</v>
      </c>
      <c r="AJ215">
        <f>AJ208*AK212</f>
        <v>3.0283294272000001</v>
      </c>
      <c r="BA215" s="15"/>
      <c r="BB215" s="35"/>
      <c r="BC215" s="15"/>
      <c r="BD215" s="15"/>
      <c r="BE215" s="15"/>
      <c r="BF215" s="15"/>
      <c r="BG215" s="848"/>
      <c r="BH215" s="15"/>
      <c r="BI215" s="15"/>
      <c r="BJ215" s="15"/>
      <c r="BK215" s="35"/>
      <c r="BL215" s="15"/>
      <c r="BM215" s="146"/>
      <c r="BN215" s="16"/>
      <c r="BO215" s="16"/>
      <c r="BP215" s="16"/>
      <c r="BQ215" s="16"/>
      <c r="BR215" s="16"/>
      <c r="BS215" s="16"/>
      <c r="BT215" s="16"/>
      <c r="BU215" s="16"/>
      <c r="BV215" s="16"/>
      <c r="BX215" t="s">
        <v>1584</v>
      </c>
      <c r="BY215" s="144">
        <f>BY205*BE172+BY206*BE175+BY207*BE178+BY208*BE181+BY209*BE184+BY210*BE187+BY211*BE190</f>
        <v>12.12554995206807</v>
      </c>
      <c r="CA215" s="144">
        <f>CA205*BE202+CA206*BE205+CA207*BE208+CA208*BE211+CA209*BE214+CA210*BE217+CA211*BE220</f>
        <v>43.813874013166185</v>
      </c>
      <c r="CC215" s="144">
        <f t="shared" ref="CC215:CC221" si="22">BY215+CA215</f>
        <v>55.939423965234255</v>
      </c>
      <c r="DB215" s="36" t="s">
        <v>955</v>
      </c>
      <c r="DC215" s="37" t="s">
        <v>1573</v>
      </c>
      <c r="DD215" s="36">
        <v>-30</v>
      </c>
      <c r="DE215" s="36">
        <v>725.5</v>
      </c>
      <c r="DF215" s="36">
        <v>46</v>
      </c>
      <c r="DG215" s="859">
        <v>-6829.71</v>
      </c>
      <c r="DH215" s="36">
        <v>0</v>
      </c>
      <c r="DI215" s="36">
        <v>0</v>
      </c>
      <c r="DJ215" s="36">
        <v>1918.9</v>
      </c>
      <c r="DK215" s="38">
        <v>2.6120000000000001</v>
      </c>
      <c r="DL215" s="37"/>
      <c r="DM215" s="226">
        <v>0</v>
      </c>
      <c r="DN215" s="38">
        <f>(65.5+67.2)/2</f>
        <v>66.349999999999994</v>
      </c>
      <c r="DO215" s="38">
        <v>174.1</v>
      </c>
      <c r="DP215" s="37">
        <v>23.83</v>
      </c>
      <c r="DR215" s="35"/>
      <c r="DS215" s="35"/>
      <c r="DT215" s="35"/>
      <c r="DU215" s="35"/>
      <c r="DV215" s="35"/>
      <c r="DW215" s="35"/>
    </row>
    <row r="216" spans="31:127" x14ac:dyDescent="0.25">
      <c r="AE216" t="s">
        <v>270</v>
      </c>
      <c r="AF216">
        <f>AF209*AK212</f>
        <v>69.273035647200004</v>
      </c>
      <c r="AG216">
        <f>AG209*AH212</f>
        <v>3.7854117839999999</v>
      </c>
      <c r="AH216">
        <f>AH209*AI212</f>
        <v>7.9493647463999997</v>
      </c>
      <c r="AI216">
        <f>AI209*AJ212</f>
        <v>6.8137412112</v>
      </c>
      <c r="AJ216">
        <f>AJ209*AK212</f>
        <v>6.0566588544000002</v>
      </c>
      <c r="BA216" s="13"/>
      <c r="BB216" s="11"/>
      <c r="BC216" s="14" t="s">
        <v>1686</v>
      </c>
      <c r="BD216" s="14" t="s">
        <v>1620</v>
      </c>
      <c r="BE216" s="13" t="s">
        <v>1606</v>
      </c>
      <c r="BF216" s="13"/>
      <c r="BG216" s="148" t="s">
        <v>1676</v>
      </c>
      <c r="BH216" s="13" t="s">
        <v>173</v>
      </c>
      <c r="BI216" s="13"/>
      <c r="BJ216" s="13" t="s">
        <v>1606</v>
      </c>
      <c r="BK216" s="11" t="s">
        <v>1620</v>
      </c>
      <c r="BL216" s="13"/>
      <c r="BM216" s="148"/>
      <c r="BN216" s="14" t="s">
        <v>1671</v>
      </c>
      <c r="BO216" s="14" t="s">
        <v>1606</v>
      </c>
      <c r="BP216" s="14" t="s">
        <v>1621</v>
      </c>
      <c r="BQ216" s="14"/>
      <c r="BR216" s="14"/>
      <c r="BS216" s="14"/>
      <c r="BT216" s="14"/>
      <c r="BU216" s="14"/>
      <c r="BV216" s="14"/>
      <c r="BX216" t="s">
        <v>1596</v>
      </c>
      <c r="BY216" s="144">
        <f>BY205*BK172+BY206*BK175+BY207*BK178+BY208*BK181+BY209*BK184+BY210*BK187+BY211*BK190</f>
        <v>0.61012198249000948</v>
      </c>
      <c r="CA216" s="144">
        <f>CA205*BK172+CA206*BK175+CA207*BK178+CA208*BK181+CA209*BK184+CA210*BK187+CA211*BK190</f>
        <v>2.957842827393085</v>
      </c>
      <c r="CC216" s="144">
        <f t="shared" si="22"/>
        <v>3.5679648098830947</v>
      </c>
      <c r="DB216" s="15"/>
      <c r="DC216" s="35"/>
      <c r="DD216" s="15"/>
      <c r="DE216" s="15"/>
      <c r="DF216" s="15"/>
      <c r="DG216" s="556" t="e">
        <f>DG215/1000/DT140</f>
        <v>#DIV/0!</v>
      </c>
      <c r="DH216" s="15"/>
      <c r="DI216" s="15"/>
      <c r="DJ216" s="15">
        <v>2195.5</v>
      </c>
      <c r="DK216" s="35" t="s">
        <v>1625</v>
      </c>
      <c r="DL216" s="35"/>
      <c r="DM216" s="146"/>
      <c r="DN216" s="16"/>
      <c r="DO216" s="16"/>
      <c r="DP216" s="35"/>
      <c r="DR216" s="35"/>
      <c r="DS216" s="35"/>
      <c r="DT216" s="35"/>
      <c r="DU216" s="35"/>
      <c r="DV216" s="35"/>
      <c r="DW216" s="35"/>
    </row>
    <row r="217" spans="31:127" x14ac:dyDescent="0.25">
      <c r="AE217" t="s">
        <v>1525</v>
      </c>
      <c r="AF217">
        <f>AF210*AK212</f>
        <v>356.58579005280001</v>
      </c>
      <c r="AG217">
        <f>AG210*AH212</f>
        <v>378.54117839999998</v>
      </c>
      <c r="AH217">
        <f>AH210*AI212</f>
        <v>281.25609555119996</v>
      </c>
      <c r="AI217">
        <f>AI210*AJ212</f>
        <v>359.23557830160001</v>
      </c>
      <c r="AJ217">
        <f>AJ210*AK212</f>
        <v>354.69308416080003</v>
      </c>
      <c r="BA217" s="36" t="s">
        <v>960</v>
      </c>
      <c r="BB217" s="37" t="s">
        <v>1684</v>
      </c>
      <c r="BC217" s="36">
        <v>-25</v>
      </c>
      <c r="BD217" s="36">
        <v>761</v>
      </c>
      <c r="BE217" s="36">
        <v>79.5</v>
      </c>
      <c r="BF217" s="36"/>
      <c r="BG217" s="226"/>
      <c r="BH217" s="36"/>
      <c r="BI217" s="36"/>
      <c r="BJ217" s="36"/>
      <c r="BK217" s="37"/>
      <c r="BL217" s="36"/>
      <c r="BM217" s="226"/>
      <c r="BN217" s="861">
        <f>(BN211+BN214+BN205)/3</f>
        <v>52.566666666666663</v>
      </c>
      <c r="BO217" s="38">
        <v>245.2</v>
      </c>
      <c r="BQ217" s="38"/>
      <c r="BR217" s="38"/>
      <c r="BS217" s="38"/>
      <c r="BT217" s="38"/>
      <c r="BU217" s="38"/>
      <c r="BV217" s="38"/>
      <c r="BX217" t="s">
        <v>1624</v>
      </c>
      <c r="BY217" s="144">
        <f>BY205*BO172+BY206*BO175+BY207*BO178+BY208*BO181+BY209*BO184+BY210*BO187+BY211*BO190</f>
        <v>35.076809903988355</v>
      </c>
      <c r="CA217" s="144">
        <f>CA205*BO202+CA206*BO205+CA207*BO208+CA208*BO211+CA209*BO214+CA210*BO217+CA211*BO220</f>
        <v>161.64707249658878</v>
      </c>
      <c r="CC217" s="144">
        <f t="shared" si="22"/>
        <v>196.72388240057714</v>
      </c>
      <c r="DB217" s="13"/>
      <c r="DC217" s="11"/>
      <c r="DD217" s="13" t="s">
        <v>1615</v>
      </c>
      <c r="DE217" s="13" t="s">
        <v>1606</v>
      </c>
      <c r="DF217" s="13" t="s">
        <v>1606</v>
      </c>
      <c r="DG217" s="14" t="s">
        <v>1676</v>
      </c>
      <c r="DH217" s="13" t="s">
        <v>173</v>
      </c>
      <c r="DI217" s="13"/>
      <c r="DJ217" s="13" t="s">
        <v>640</v>
      </c>
      <c r="DK217" s="14" t="s">
        <v>1620</v>
      </c>
      <c r="DL217" s="11"/>
      <c r="DM217" s="148"/>
      <c r="DN217" s="14" t="s">
        <v>1671</v>
      </c>
      <c r="DO217" s="14" t="s">
        <v>1606</v>
      </c>
      <c r="DP217" s="11" t="s">
        <v>1621</v>
      </c>
      <c r="DR217" s="35"/>
      <c r="DS217" s="35"/>
      <c r="DT217" s="35"/>
      <c r="DU217" s="35"/>
      <c r="DV217" s="35"/>
      <c r="DW217" s="35"/>
    </row>
    <row r="218" spans="31:127" x14ac:dyDescent="0.25">
      <c r="BA218" s="15"/>
      <c r="BB218" s="35"/>
      <c r="BC218" s="15"/>
      <c r="BD218" s="15"/>
      <c r="BE218" s="15"/>
      <c r="BF218" s="15"/>
      <c r="BG218" s="848"/>
      <c r="BH218" s="15"/>
      <c r="BI218" s="15"/>
      <c r="BJ218" s="15"/>
      <c r="BK218" s="35"/>
      <c r="BL218" s="15"/>
      <c r="BM218" s="146"/>
      <c r="BN218" s="16"/>
      <c r="BO218" s="16"/>
      <c r="BP218" s="16"/>
      <c r="BQ218" s="16"/>
      <c r="BR218" s="16"/>
      <c r="BS218" s="16"/>
      <c r="BT218" s="16"/>
      <c r="BU218" s="16"/>
      <c r="BV218" s="16"/>
      <c r="BX218" t="s">
        <v>1607</v>
      </c>
      <c r="BY218" s="144">
        <f>BY205*BP172+BY206*BP175+BY207*BP178+BY208*BP181+BY209*BP184+BY210*BP187+BY211*BP190</f>
        <v>4.2585371972005754</v>
      </c>
      <c r="CA218" s="144">
        <f>CA205*BP202+CA206*BP175+CA207*BP178+CA208*BP181+CA209*BP184+CA210*BP187+CA211*BP190</f>
        <v>20.535115906779971</v>
      </c>
      <c r="CC218" s="144">
        <f>BY218+CA218</f>
        <v>24.793653103980546</v>
      </c>
      <c r="DB218" s="36" t="s">
        <v>956</v>
      </c>
      <c r="DC218" s="37" t="s">
        <v>1576</v>
      </c>
      <c r="DD218" s="36">
        <v>-26</v>
      </c>
      <c r="DE218" s="36">
        <v>740.2</v>
      </c>
      <c r="DF218" s="36">
        <v>62</v>
      </c>
      <c r="DG218" s="38">
        <v>-7488.44</v>
      </c>
      <c r="DH218" s="36">
        <v>0</v>
      </c>
      <c r="DI218" s="36">
        <v>0</v>
      </c>
      <c r="DJ218" s="15">
        <v>1098</v>
      </c>
      <c r="DK218" s="35">
        <v>3.6080000000000001</v>
      </c>
      <c r="DL218" s="36"/>
      <c r="DM218" s="226">
        <v>0</v>
      </c>
      <c r="DN218" s="38">
        <f>DN215+DO236</f>
        <v>71.987499999999983</v>
      </c>
      <c r="DO218" s="38">
        <v>195.9</v>
      </c>
      <c r="DP218" s="37">
        <v>24.66</v>
      </c>
      <c r="DR218" s="35"/>
      <c r="DS218" s="35"/>
      <c r="DT218" s="35"/>
      <c r="DU218" s="35"/>
      <c r="DV218" s="35"/>
      <c r="DW218" s="35"/>
    </row>
    <row r="219" spans="31:127" x14ac:dyDescent="0.25">
      <c r="BA219" s="13"/>
      <c r="BB219" s="11"/>
      <c r="BC219" s="14" t="s">
        <v>1686</v>
      </c>
      <c r="BD219" s="14" t="s">
        <v>1620</v>
      </c>
      <c r="BE219" t="s">
        <v>1708</v>
      </c>
      <c r="BF219" s="13"/>
      <c r="BG219" s="148" t="s">
        <v>1676</v>
      </c>
      <c r="BH219" s="13" t="s">
        <v>173</v>
      </c>
      <c r="BI219" s="13"/>
      <c r="BJ219" s="13" t="s">
        <v>1606</v>
      </c>
      <c r="BK219" s="11" t="s">
        <v>1620</v>
      </c>
      <c r="BL219" s="13"/>
      <c r="BM219" s="148"/>
      <c r="BN219" s="14" t="s">
        <v>1747</v>
      </c>
      <c r="BO219" s="14" t="s">
        <v>1707</v>
      </c>
      <c r="BP219" s="14" t="s">
        <v>1621</v>
      </c>
      <c r="BQ219" s="14"/>
      <c r="BR219" s="14"/>
      <c r="BS219" s="14"/>
      <c r="BT219" s="14"/>
      <c r="BU219" s="14"/>
      <c r="BV219" s="14"/>
      <c r="BX219" t="s">
        <v>1599</v>
      </c>
      <c r="BY219" s="144">
        <f>BY205*BN172+BY206*BN175+BY207*BN178+BY208*BN181+BY209*BN184+BY210*BN187+BY211*BN190</f>
        <v>12.507550340828606</v>
      </c>
      <c r="CA219" s="144">
        <f>CA205*BN202+CA206*BN205+CA207*BN208+CA208*BN211+CA209*BN214+CA210*BN217+CA211*BN220</f>
        <v>43.400483839731358</v>
      </c>
      <c r="CC219" s="144">
        <f t="shared" si="22"/>
        <v>55.908034180559966</v>
      </c>
      <c r="DB219" s="15"/>
      <c r="DC219" s="35"/>
      <c r="DD219" s="15"/>
      <c r="DE219" s="15"/>
      <c r="DF219" s="15"/>
      <c r="DG219" s="556" t="e">
        <f>DG218/1000/DS140</f>
        <v>#DIV/0!</v>
      </c>
      <c r="DH219" s="15"/>
      <c r="DI219" s="15"/>
      <c r="DJ219" s="15" t="s">
        <v>1612</v>
      </c>
      <c r="DK219" s="35" t="s">
        <v>1625</v>
      </c>
      <c r="DL219" s="15"/>
      <c r="DM219" s="146"/>
      <c r="DN219" s="16"/>
      <c r="DO219" s="16"/>
      <c r="DP219" s="35"/>
      <c r="DR219" s="35"/>
      <c r="DS219" s="35"/>
      <c r="DT219" s="35"/>
      <c r="DU219" s="35"/>
      <c r="DV219" s="35"/>
      <c r="DW219" s="35"/>
    </row>
    <row r="220" spans="31:127" x14ac:dyDescent="0.25">
      <c r="BA220" s="36" t="s">
        <v>964</v>
      </c>
      <c r="BB220" s="37" t="s">
        <v>1685</v>
      </c>
      <c r="BC220" s="36">
        <v>-8</v>
      </c>
      <c r="BD220" s="36">
        <v>766</v>
      </c>
      <c r="BE220" s="36">
        <v>87.7</v>
      </c>
      <c r="BF220" s="36"/>
      <c r="BG220" s="226"/>
      <c r="BH220" s="36"/>
      <c r="BI220" s="36"/>
      <c r="BJ220" s="36"/>
      <c r="BK220" s="37"/>
      <c r="BL220" s="36"/>
      <c r="BM220" s="226"/>
      <c r="BN220" s="861">
        <f>(BN211+BN214+BN205)/3</f>
        <v>52.566666666666663</v>
      </c>
      <c r="BO220" s="38">
        <v>261</v>
      </c>
      <c r="BP220" s="38"/>
      <c r="BQ220" s="38"/>
      <c r="BR220" s="38"/>
      <c r="BS220" s="38"/>
      <c r="BT220" s="38"/>
      <c r="BU220" s="38"/>
      <c r="BV220" s="38"/>
      <c r="BX220" t="s">
        <v>1678</v>
      </c>
      <c r="BY220" s="144">
        <f>-(BY205*BG173+BY206*BG176+BY207*BG179+BY208*BG182+BY209*BG185+BY210*BG188+BY211*BG191)</f>
        <v>8.2044467920611623</v>
      </c>
      <c r="CA220" s="144">
        <f>-(CA205*BG203+CA206*BG206+CA207*BG179+CA208*BG182+CA209*BG185+CA210*BG188+CA211*BG191)</f>
        <v>39.641350397455909</v>
      </c>
      <c r="CC220" s="144">
        <f>BY220+CA220</f>
        <v>47.845797189517072</v>
      </c>
      <c r="DB220" s="13"/>
      <c r="DC220" s="11"/>
      <c r="DD220" s="13" t="s">
        <v>1615</v>
      </c>
      <c r="DE220" s="13" t="s">
        <v>1606</v>
      </c>
      <c r="DF220" s="13" t="s">
        <v>1606</v>
      </c>
      <c r="DG220" s="14" t="s">
        <v>1676</v>
      </c>
      <c r="DH220" s="13" t="s">
        <v>173</v>
      </c>
      <c r="DI220" s="13"/>
      <c r="DJ220" s="13" t="s">
        <v>1606</v>
      </c>
      <c r="DK220" s="11" t="s">
        <v>1620</v>
      </c>
      <c r="DL220" s="13"/>
      <c r="DM220" s="148"/>
      <c r="DN220" s="14" t="s">
        <v>1673</v>
      </c>
      <c r="DO220" s="14" t="s">
        <v>1606</v>
      </c>
      <c r="DP220" s="11" t="s">
        <v>1621</v>
      </c>
      <c r="DR220" s="35"/>
      <c r="DS220" s="35"/>
      <c r="DT220" s="35"/>
      <c r="DU220" s="35"/>
      <c r="DV220" s="35"/>
      <c r="DW220" s="35"/>
    </row>
    <row r="221" spans="31:127" x14ac:dyDescent="0.25">
      <c r="BA221" s="15"/>
      <c r="BB221" s="35"/>
      <c r="BC221" s="15"/>
      <c r="BD221" s="15"/>
      <c r="BE221" s="15"/>
      <c r="BF221" s="15"/>
      <c r="BG221" s="848"/>
      <c r="BH221" s="15"/>
      <c r="BI221" s="15"/>
      <c r="BJ221" s="15"/>
      <c r="BK221" s="35"/>
      <c r="BL221" s="15"/>
      <c r="BM221" s="146"/>
      <c r="BN221" s="16"/>
      <c r="BO221" s="16"/>
      <c r="BP221" s="16"/>
      <c r="BQ221" s="16"/>
      <c r="BR221" s="16"/>
      <c r="BS221" s="16"/>
      <c r="BT221" s="16"/>
      <c r="BU221" s="16"/>
      <c r="BV221" s="16"/>
      <c r="BX221" t="s">
        <v>1687</v>
      </c>
      <c r="BY221" s="144">
        <f>BY205*BC172+BY206*BC175+BY207*BC178+BY208*BC181+BY209*BC184+BY210*BC187+BY211*BC190</f>
        <v>-3.2809812187715335</v>
      </c>
      <c r="CA221" s="144">
        <f>CA205*BC202+CA206*BC205+CA207*BC208+CA208*BC211+CA209*BC214+CA210*BC217+CA211*BC220</f>
        <v>-41.171051302285534</v>
      </c>
      <c r="CC221" s="144">
        <f t="shared" si="22"/>
        <v>-44.45203252105707</v>
      </c>
      <c r="DB221" s="36" t="s">
        <v>957</v>
      </c>
      <c r="DC221" s="37" t="s">
        <v>1574</v>
      </c>
      <c r="DD221" s="36">
        <v>-10</v>
      </c>
      <c r="DE221" s="36">
        <v>749.5</v>
      </c>
      <c r="DF221" s="36">
        <v>83</v>
      </c>
      <c r="DG221" s="38">
        <v>-8147.21</v>
      </c>
      <c r="DH221" s="36">
        <v>0</v>
      </c>
      <c r="DI221" s="36">
        <v>0</v>
      </c>
      <c r="DJ221" s="36"/>
      <c r="DK221" s="37">
        <v>3.774</v>
      </c>
      <c r="DL221" s="36"/>
      <c r="DM221" s="226">
        <v>0</v>
      </c>
      <c r="DN221" s="38">
        <f>(72.9+74)/2</f>
        <v>73.45</v>
      </c>
      <c r="DO221" s="38">
        <v>216.3</v>
      </c>
      <c r="DP221" s="37">
        <v>25.35</v>
      </c>
      <c r="DR221" s="35"/>
      <c r="DS221" s="35"/>
      <c r="DT221" s="35"/>
      <c r="DU221" s="35"/>
      <c r="DV221" s="35"/>
      <c r="DW221" s="35"/>
    </row>
    <row r="222" spans="31:127" x14ac:dyDescent="0.25">
      <c r="BA222" s="13"/>
      <c r="BB222" s="11"/>
      <c r="BC222" s="13" t="s">
        <v>1606</v>
      </c>
      <c r="BD222" s="14" t="s">
        <v>1620</v>
      </c>
      <c r="BE222" t="s">
        <v>1708</v>
      </c>
      <c r="BF222" s="13"/>
      <c r="BG222" s="148" t="s">
        <v>1676</v>
      </c>
      <c r="BH222" s="13" t="s">
        <v>173</v>
      </c>
      <c r="BI222" s="13"/>
      <c r="BJ222" s="13" t="s">
        <v>1616</v>
      </c>
      <c r="BK222" s="11" t="s">
        <v>1620</v>
      </c>
      <c r="BL222" s="13"/>
      <c r="BM222" s="148"/>
      <c r="BN222" s="14" t="s">
        <v>1747</v>
      </c>
      <c r="BO222" s="14" t="s">
        <v>1606</v>
      </c>
      <c r="BP222" s="14" t="s">
        <v>1621</v>
      </c>
      <c r="BQ222" s="14"/>
      <c r="BR222" s="14"/>
      <c r="BS222" s="14"/>
      <c r="BT222" s="14"/>
      <c r="BU222" s="14"/>
      <c r="BV222" s="14"/>
      <c r="DB222" s="15"/>
      <c r="DC222" s="35"/>
      <c r="DD222" s="15"/>
      <c r="DE222" s="15"/>
      <c r="DF222" s="15"/>
      <c r="DG222" s="556" t="e">
        <f>DG221/1000/DR140</f>
        <v>#DIV/0!</v>
      </c>
      <c r="DH222" s="15"/>
      <c r="DI222" s="15"/>
      <c r="DJ222" s="15"/>
      <c r="DK222" s="35" t="s">
        <v>1619</v>
      </c>
      <c r="DL222" s="15"/>
      <c r="DM222" s="146"/>
      <c r="DN222" s="16"/>
      <c r="DO222" s="16"/>
      <c r="DP222" s="35"/>
      <c r="DR222" s="35"/>
      <c r="DS222" s="35"/>
      <c r="DT222" s="35"/>
      <c r="DU222" s="35"/>
      <c r="DV222" s="35"/>
      <c r="DW222" s="35"/>
    </row>
    <row r="223" spans="31:127" x14ac:dyDescent="0.25">
      <c r="DB223" s="13"/>
      <c r="DC223" s="11"/>
      <c r="DD223" s="13" t="s">
        <v>1615</v>
      </c>
      <c r="DE223" s="13" t="s">
        <v>1606</v>
      </c>
      <c r="DF223" s="13" t="s">
        <v>1606</v>
      </c>
      <c r="DG223" s="14" t="s">
        <v>1676</v>
      </c>
      <c r="DH223" s="13" t="s">
        <v>173</v>
      </c>
      <c r="DI223" s="13"/>
      <c r="DJ223" s="13"/>
      <c r="DK223" s="11" t="s">
        <v>1620</v>
      </c>
      <c r="DL223" s="13"/>
      <c r="DM223" s="148"/>
      <c r="DN223" s="14" t="s">
        <v>1671</v>
      </c>
      <c r="DO223" s="14" t="s">
        <v>1606</v>
      </c>
      <c r="DP223" s="11" t="s">
        <v>1621</v>
      </c>
      <c r="DR223" s="35"/>
      <c r="DS223" s="35"/>
      <c r="DT223" s="35"/>
      <c r="DU223" s="35"/>
      <c r="DV223" s="35"/>
      <c r="DW223" s="35"/>
    </row>
    <row r="224" spans="31:127" x14ac:dyDescent="0.25">
      <c r="DB224" s="36" t="s">
        <v>958</v>
      </c>
      <c r="DC224" s="37" t="s">
        <v>1579</v>
      </c>
      <c r="DD224" s="36">
        <v>-5</v>
      </c>
      <c r="DE224" s="36">
        <v>756.4</v>
      </c>
      <c r="DF224" s="36">
        <v>94</v>
      </c>
      <c r="DG224" s="38">
        <v>-8805.94</v>
      </c>
      <c r="DH224" s="36">
        <v>0</v>
      </c>
      <c r="DI224" s="36">
        <v>0</v>
      </c>
      <c r="DJ224" s="36">
        <v>1724</v>
      </c>
      <c r="DK224" s="37">
        <v>4.97</v>
      </c>
      <c r="DL224" s="36"/>
      <c r="DM224" s="226">
        <v>0</v>
      </c>
      <c r="DN224" s="38">
        <f>DN221+DO236</f>
        <v>79.087500000000006</v>
      </c>
      <c r="DO224" s="38">
        <v>235.4</v>
      </c>
      <c r="DP224" s="37">
        <v>25.99</v>
      </c>
      <c r="DR224" s="35"/>
      <c r="DS224" s="35"/>
      <c r="DT224" s="35"/>
      <c r="DU224" s="35"/>
      <c r="DV224" s="35"/>
      <c r="DW224" s="35"/>
    </row>
    <row r="225" spans="54:127" x14ac:dyDescent="0.25">
      <c r="BB225" t="s">
        <v>1035</v>
      </c>
      <c r="BC225" t="s">
        <v>1006</v>
      </c>
      <c r="BV225" t="s">
        <v>1565</v>
      </c>
      <c r="BW225" t="s">
        <v>1566</v>
      </c>
      <c r="DB225" s="15"/>
      <c r="DC225" s="35"/>
      <c r="DD225" s="15"/>
      <c r="DE225" s="15"/>
      <c r="DF225" s="15"/>
      <c r="DG225" s="556" t="e">
        <f>DG224/1000/DQ140</f>
        <v>#DIV/0!</v>
      </c>
      <c r="DH225" s="15"/>
      <c r="DI225" s="15"/>
      <c r="DJ225" s="15" t="s">
        <v>1612</v>
      </c>
      <c r="DK225" s="35" t="s">
        <v>1618</v>
      </c>
      <c r="DL225" s="15"/>
      <c r="DM225" s="146"/>
      <c r="DN225" s="16"/>
      <c r="DO225" s="16"/>
      <c r="DP225" s="35"/>
      <c r="DR225" s="35"/>
      <c r="DS225" s="35"/>
      <c r="DT225" s="35"/>
      <c r="DU225" s="35"/>
      <c r="DV225" s="35"/>
      <c r="DW225" s="35"/>
    </row>
    <row r="226" spans="54:127" x14ac:dyDescent="0.25">
      <c r="BB226" s="37" t="s">
        <v>1680</v>
      </c>
      <c r="BC226">
        <v>0.12825</v>
      </c>
      <c r="BU226" s="843" t="s">
        <v>954</v>
      </c>
      <c r="BV226" s="319">
        <v>2.3407305311205943E-2</v>
      </c>
      <c r="BW226" s="319">
        <v>0.11347752107011534</v>
      </c>
      <c r="DB226" s="13"/>
      <c r="DC226" s="11"/>
      <c r="DD226" s="13" t="s">
        <v>1615</v>
      </c>
      <c r="DE226" s="13" t="s">
        <v>1606</v>
      </c>
      <c r="DF226" s="13" t="s">
        <v>1606</v>
      </c>
      <c r="DG226" s="14" t="s">
        <v>1676</v>
      </c>
      <c r="DH226" s="13" t="s">
        <v>173</v>
      </c>
      <c r="DI226" s="13"/>
      <c r="DJ226" s="13" t="s">
        <v>1606</v>
      </c>
      <c r="DK226" s="11" t="s">
        <v>1620</v>
      </c>
      <c r="DL226" s="13"/>
      <c r="DM226" s="148"/>
      <c r="DN226" s="14" t="s">
        <v>1673</v>
      </c>
      <c r="DO226" s="14" t="s">
        <v>1606</v>
      </c>
      <c r="DP226" s="11" t="s">
        <v>1621</v>
      </c>
      <c r="DR226" s="35"/>
      <c r="DS226" s="35"/>
      <c r="DT226" s="35"/>
      <c r="DU226" s="35"/>
      <c r="DV226" s="35"/>
      <c r="DW226" s="35"/>
    </row>
    <row r="227" spans="54:127" x14ac:dyDescent="0.25">
      <c r="BB227" s="37" t="s">
        <v>1681</v>
      </c>
      <c r="BC227">
        <v>0.14227999999999999</v>
      </c>
      <c r="BU227" s="843" t="s">
        <v>955</v>
      </c>
      <c r="BV227" s="319">
        <v>3.2958298082136427E-2</v>
      </c>
      <c r="BW227" s="319">
        <v>0.15978028719351514</v>
      </c>
      <c r="DB227" s="36" t="s">
        <v>960</v>
      </c>
      <c r="DC227" s="37" t="s">
        <v>1580</v>
      </c>
      <c r="DD227" s="36">
        <v>6</v>
      </c>
      <c r="DE227" s="36">
        <v>762.8</v>
      </c>
      <c r="DF227" s="36">
        <v>100</v>
      </c>
      <c r="DG227" s="38">
        <v>-9464.67</v>
      </c>
      <c r="DH227" s="36">
        <v>0</v>
      </c>
      <c r="DI227" s="36">
        <v>0</v>
      </c>
      <c r="DJ227" s="36">
        <v>2130</v>
      </c>
      <c r="DK227" s="37">
        <v>4.3040000000000003</v>
      </c>
      <c r="DL227" s="36"/>
      <c r="DM227" s="226">
        <v>0</v>
      </c>
      <c r="DN227" s="38">
        <v>85.1</v>
      </c>
      <c r="DO227" s="38">
        <v>253.57</v>
      </c>
      <c r="DP227">
        <v>26.56</v>
      </c>
      <c r="DR227" s="35"/>
      <c r="DS227" s="35"/>
      <c r="DT227" s="35"/>
      <c r="DU227" s="35"/>
      <c r="DV227" s="35"/>
      <c r="DW227" s="35"/>
    </row>
    <row r="228" spans="54:127" x14ac:dyDescent="0.25">
      <c r="BB228" s="37" t="s">
        <v>1682</v>
      </c>
      <c r="BC228">
        <v>0.15631</v>
      </c>
      <c r="BU228" s="843" t="s">
        <v>956</v>
      </c>
      <c r="BV228" s="319">
        <v>3.2741893810082232E-2</v>
      </c>
      <c r="BW228" s="319">
        <v>0.15873116940677284</v>
      </c>
      <c r="DB228" s="15"/>
      <c r="DC228" s="35"/>
      <c r="DD228" s="15"/>
      <c r="DE228" s="15"/>
      <c r="DF228" s="15"/>
      <c r="DG228" s="556" t="e">
        <f>DG227/1000/DP140</f>
        <v>#DIV/0!</v>
      </c>
      <c r="DH228" s="15"/>
      <c r="DI228" s="15"/>
      <c r="DJ228" s="15" t="s">
        <v>1612</v>
      </c>
      <c r="DK228" s="35" t="s">
        <v>1617</v>
      </c>
      <c r="DL228" s="15"/>
      <c r="DM228" s="146"/>
      <c r="DN228" s="16"/>
      <c r="DO228" s="16"/>
      <c r="DP228" s="35"/>
      <c r="DR228" s="35"/>
      <c r="DS228" s="35"/>
      <c r="DT228" s="35"/>
      <c r="DU228" s="35"/>
      <c r="DV228" s="35"/>
      <c r="DW228" s="35"/>
    </row>
    <row r="229" spans="54:127" x14ac:dyDescent="0.25">
      <c r="BB229" s="37" t="s">
        <v>1679</v>
      </c>
      <c r="BU229" s="843" t="s">
        <v>957</v>
      </c>
      <c r="BV229" s="319">
        <v>2.9563591894260634E-2</v>
      </c>
      <c r="BW229" s="319">
        <v>0.14332291041135703</v>
      </c>
      <c r="DB229" s="13"/>
      <c r="DC229" s="11"/>
      <c r="DD229" s="13" t="s">
        <v>1615</v>
      </c>
      <c r="DE229" s="13" t="s">
        <v>1606</v>
      </c>
      <c r="DF229" s="13" t="s">
        <v>1606</v>
      </c>
      <c r="DG229" s="14" t="s">
        <v>1676</v>
      </c>
      <c r="DH229" s="13" t="s">
        <v>173</v>
      </c>
      <c r="DI229" s="13"/>
      <c r="DJ229" s="13" t="s">
        <v>1606</v>
      </c>
      <c r="DK229" s="11" t="s">
        <v>1620</v>
      </c>
      <c r="DL229" s="13"/>
      <c r="DM229" s="148"/>
      <c r="DN229" s="14" t="s">
        <v>1671</v>
      </c>
      <c r="DO229" s="14" t="s">
        <v>1606</v>
      </c>
      <c r="DP229" s="11" t="s">
        <v>1621</v>
      </c>
      <c r="DR229" s="35"/>
      <c r="DS229" s="35"/>
      <c r="DT229" s="35"/>
      <c r="DU229" s="35"/>
      <c r="DV229" s="35"/>
      <c r="DW229" s="35"/>
    </row>
    <row r="230" spans="54:127" x14ac:dyDescent="0.25">
      <c r="BB230" s="37" t="s">
        <v>1683</v>
      </c>
      <c r="BC230">
        <v>0.18436</v>
      </c>
      <c r="BU230" s="843" t="s">
        <v>958</v>
      </c>
      <c r="BV230" s="319">
        <v>2.3374662923701928E-2</v>
      </c>
      <c r="BW230" s="319">
        <v>0.11331927230262509</v>
      </c>
      <c r="DB230" s="36" t="s">
        <v>964</v>
      </c>
      <c r="DC230" s="37" t="s">
        <v>1581</v>
      </c>
      <c r="DD230" s="36">
        <v>10</v>
      </c>
      <c r="DE230" s="36">
        <v>768.5</v>
      </c>
      <c r="DF230" s="36">
        <v>132</v>
      </c>
      <c r="DG230" s="38">
        <v>-10123.4</v>
      </c>
      <c r="DH230" s="36">
        <v>0</v>
      </c>
      <c r="DI230" s="36">
        <v>0</v>
      </c>
      <c r="DJ230" s="36"/>
      <c r="DK230" s="37">
        <v>5.5350000000000001</v>
      </c>
      <c r="DL230" s="36"/>
      <c r="DM230" s="226">
        <v>0</v>
      </c>
      <c r="DN230" s="38">
        <f>DN227+DO236</f>
        <v>90.737499999999983</v>
      </c>
      <c r="DO230" s="38">
        <v>270.60000000000002</v>
      </c>
      <c r="DP230" s="37">
        <v>27.07</v>
      </c>
      <c r="DR230" s="35"/>
      <c r="DS230" s="35"/>
      <c r="DT230" s="35"/>
      <c r="DU230" s="35"/>
      <c r="DV230" s="35"/>
      <c r="DW230" s="35"/>
    </row>
    <row r="231" spans="54:127" x14ac:dyDescent="0.25">
      <c r="BB231" s="37" t="s">
        <v>1684</v>
      </c>
      <c r="BC231">
        <v>0.19839000000000001</v>
      </c>
      <c r="BU231" s="843" t="s">
        <v>960</v>
      </c>
      <c r="BV231" s="319">
        <v>1.934727549410015E-2</v>
      </c>
      <c r="BW231" s="319">
        <v>9.3794686459701862E-2</v>
      </c>
      <c r="DB231" s="15"/>
      <c r="DC231" s="35"/>
      <c r="DD231" s="15"/>
      <c r="DE231" s="15"/>
      <c r="DF231" s="15"/>
      <c r="DG231" s="556" t="e">
        <f>DG230/1000/DO140</f>
        <v>#DIV/0!</v>
      </c>
      <c r="DH231" s="15"/>
      <c r="DI231" s="15"/>
      <c r="DJ231" s="15"/>
      <c r="DK231" s="35" t="s">
        <v>1617</v>
      </c>
      <c r="DL231" s="15"/>
      <c r="DM231" s="146"/>
      <c r="DN231" s="16"/>
      <c r="DO231" s="16"/>
      <c r="DP231" s="35"/>
      <c r="DR231" s="35"/>
      <c r="DS231" s="35"/>
      <c r="DT231" s="35"/>
      <c r="DU231" s="35"/>
      <c r="DV231" s="35"/>
      <c r="DW231" s="35"/>
    </row>
    <row r="232" spans="54:127" x14ac:dyDescent="0.25">
      <c r="BB232" s="37" t="s">
        <v>1685</v>
      </c>
      <c r="BC232">
        <v>0.21240999999999999</v>
      </c>
      <c r="BU232" s="843" t="s">
        <v>964</v>
      </c>
      <c r="BV232" s="319">
        <v>9.6069724845127547E-3</v>
      </c>
      <c r="BW232" s="319">
        <v>4.6574153155912686E-2</v>
      </c>
      <c r="DB232" s="13"/>
      <c r="DC232" s="11"/>
      <c r="DD232" s="13" t="s">
        <v>1615</v>
      </c>
      <c r="DE232" s="13" t="s">
        <v>1606</v>
      </c>
      <c r="DF232" s="13" t="s">
        <v>1615</v>
      </c>
      <c r="DG232" s="14" t="s">
        <v>1676</v>
      </c>
      <c r="DH232" s="13" t="s">
        <v>173</v>
      </c>
      <c r="DI232" s="13"/>
      <c r="DJ232" s="13" t="s">
        <v>1616</v>
      </c>
      <c r="DK232" s="11" t="s">
        <v>1620</v>
      </c>
      <c r="DL232" s="13"/>
      <c r="DM232" s="148"/>
      <c r="DN232" s="14" t="s">
        <v>1672</v>
      </c>
      <c r="DO232" s="14" t="s">
        <v>1606</v>
      </c>
      <c r="DP232" s="11" t="s">
        <v>1621</v>
      </c>
      <c r="DR232" s="35"/>
      <c r="DS232" s="35"/>
      <c r="DT232" s="35"/>
      <c r="DU232" s="35"/>
      <c r="DV232" s="35"/>
      <c r="DW232" s="35"/>
    </row>
    <row r="234" spans="54:127" x14ac:dyDescent="0.25">
      <c r="DO234">
        <f>DN215-DN212</f>
        <v>5.4499999999999957</v>
      </c>
    </row>
    <row r="235" spans="54:127" x14ac:dyDescent="0.25">
      <c r="DO235">
        <f>(DN227-DN221)/2</f>
        <v>5.8249999999999957</v>
      </c>
    </row>
    <row r="236" spans="54:127" x14ac:dyDescent="0.25">
      <c r="DO236">
        <f>(DO234+DO235)/2</f>
        <v>5.6374999999999957</v>
      </c>
    </row>
    <row r="239" spans="54:127" ht="15" customHeight="1" x14ac:dyDescent="0.25">
      <c r="DC239" s="999" t="s">
        <v>660</v>
      </c>
      <c r="DD239" s="1000"/>
      <c r="DE239" s="909" t="s">
        <v>1582</v>
      </c>
      <c r="DF239" s="896" t="s">
        <v>1570</v>
      </c>
      <c r="DG239" s="896" t="s">
        <v>1584</v>
      </c>
      <c r="DH239" s="897" t="s">
        <v>1586</v>
      </c>
      <c r="DI239" s="1156" t="s">
        <v>1596</v>
      </c>
      <c r="DJ239" s="896"/>
      <c r="DK239" s="907" t="s">
        <v>1599</v>
      </c>
      <c r="DL239" s="907" t="s">
        <v>1592</v>
      </c>
      <c r="DM239" s="897" t="s">
        <v>1607</v>
      </c>
      <c r="DN239" s="860"/>
      <c r="DR239" s="1207"/>
      <c r="DS239" s="1207"/>
      <c r="DT239" s="1207"/>
      <c r="DU239" s="1207"/>
      <c r="DV239" s="1207"/>
      <c r="DW239" s="1207"/>
    </row>
    <row r="240" spans="54:127" x14ac:dyDescent="0.25">
      <c r="DC240" s="1001"/>
      <c r="DD240" s="1002"/>
      <c r="DE240" s="909"/>
      <c r="DF240" s="896"/>
      <c r="DG240" s="896"/>
      <c r="DH240" s="897"/>
      <c r="DI240" s="1156"/>
      <c r="DJ240" s="896"/>
      <c r="DK240" s="908"/>
      <c r="DL240" s="908"/>
      <c r="DM240" s="897"/>
      <c r="DN240" s="860"/>
      <c r="DR240" s="1207"/>
      <c r="DS240" s="1207"/>
      <c r="DT240" s="1207"/>
      <c r="DU240" s="1207"/>
      <c r="DV240" s="1207"/>
      <c r="DW240" s="1207"/>
    </row>
    <row r="241" spans="107:127" x14ac:dyDescent="0.25">
      <c r="DC241" s="139" t="s">
        <v>1614</v>
      </c>
      <c r="DD241" s="139" t="s">
        <v>1613</v>
      </c>
      <c r="DE241" s="128" t="s">
        <v>333</v>
      </c>
      <c r="DF241" s="128" t="s">
        <v>1583</v>
      </c>
      <c r="DG241" s="128" t="s">
        <v>333</v>
      </c>
      <c r="DH241" s="858" t="s">
        <v>1677</v>
      </c>
      <c r="DI241" s="226" t="s">
        <v>1608</v>
      </c>
      <c r="DJ241" s="36" t="s">
        <v>1626</v>
      </c>
      <c r="DK241" s="155"/>
      <c r="DL241" s="155" t="s">
        <v>333</v>
      </c>
      <c r="DM241" s="858" t="s">
        <v>1611</v>
      </c>
      <c r="DN241" s="29"/>
      <c r="DR241" s="35"/>
      <c r="DS241" s="35"/>
      <c r="DT241" s="35"/>
      <c r="DU241" s="35"/>
      <c r="DV241" s="35"/>
      <c r="DW241" s="35"/>
    </row>
    <row r="242" spans="107:127" x14ac:dyDescent="0.25">
      <c r="DC242" s="36" t="s">
        <v>954</v>
      </c>
      <c r="DD242" s="37" t="s">
        <v>1680</v>
      </c>
      <c r="DE242" s="36">
        <v>-80.099999999999994</v>
      </c>
      <c r="DF242" s="36">
        <v>713</v>
      </c>
      <c r="DG242" s="36">
        <v>26</v>
      </c>
      <c r="DH242">
        <v>-6125.75</v>
      </c>
      <c r="DI242" s="36"/>
      <c r="DJ242" s="38"/>
      <c r="DK242" s="861">
        <f>(DK245+DK251+DK254)/3</f>
        <v>52.566666666666663</v>
      </c>
      <c r="DL242" s="38">
        <v>143.19999999999999</v>
      </c>
      <c r="DM242" s="37">
        <v>21.88</v>
      </c>
      <c r="DN242" s="29"/>
      <c r="DR242" s="35"/>
      <c r="DS242" s="35"/>
      <c r="DT242" s="35"/>
      <c r="DU242" s="35"/>
      <c r="DV242" s="35"/>
      <c r="DW242" s="35"/>
    </row>
    <row r="243" spans="107:127" x14ac:dyDescent="0.25">
      <c r="DC243" s="15"/>
      <c r="DD243" s="35"/>
      <c r="DE243" s="15"/>
      <c r="DF243" s="15"/>
      <c r="DG243" s="15"/>
      <c r="DH243" s="556">
        <f>BG203</f>
        <v>-47.764132553606238</v>
      </c>
      <c r="DI243" s="15"/>
      <c r="DJ243" s="35"/>
      <c r="DK243" s="16"/>
      <c r="DL243" s="16"/>
      <c r="DM243" s="35"/>
      <c r="DN243" s="29"/>
      <c r="DR243" s="35"/>
      <c r="DS243" s="35"/>
      <c r="DT243" s="35"/>
      <c r="DU243" s="35"/>
      <c r="DV243" s="35"/>
      <c r="DW243" s="35"/>
    </row>
    <row r="244" spans="107:127" x14ac:dyDescent="0.25">
      <c r="DC244" s="13"/>
      <c r="DD244" s="11"/>
      <c r="DE244" s="13"/>
      <c r="DF244" s="14" t="s">
        <v>1620</v>
      </c>
      <c r="DG244" s="11" t="s">
        <v>1705</v>
      </c>
      <c r="DH244" s="14" t="s">
        <v>1676</v>
      </c>
      <c r="DI244" s="13" t="s">
        <v>640</v>
      </c>
      <c r="DJ244" s="14" t="s">
        <v>1620</v>
      </c>
      <c r="DK244" s="14" t="s">
        <v>1747</v>
      </c>
      <c r="DL244" s="14" t="s">
        <v>1606</v>
      </c>
      <c r="DM244" s="11" t="s">
        <v>1621</v>
      </c>
      <c r="DN244" s="29"/>
      <c r="DR244" s="35"/>
      <c r="DS244" s="35"/>
      <c r="DT244" s="35"/>
      <c r="DU244" s="35"/>
      <c r="DV244" s="35"/>
      <c r="DW244" s="35"/>
    </row>
    <row r="245" spans="107:127" x14ac:dyDescent="0.25">
      <c r="DC245" s="36" t="s">
        <v>955</v>
      </c>
      <c r="DD245" s="37" t="s">
        <v>1681</v>
      </c>
      <c r="DE245" s="36">
        <v>-74.599999999999994</v>
      </c>
      <c r="DF245" s="36">
        <v>728</v>
      </c>
      <c r="DG245" s="36">
        <v>46</v>
      </c>
      <c r="DH245" s="38">
        <v>-6769.5</v>
      </c>
      <c r="DI245" s="36"/>
      <c r="DJ245" s="38"/>
      <c r="DK245" s="38">
        <v>51.7</v>
      </c>
      <c r="DL245" s="38">
        <v>166</v>
      </c>
      <c r="DM245" s="37"/>
      <c r="DN245" s="29"/>
      <c r="DR245" s="35"/>
      <c r="DS245" s="35"/>
      <c r="DT245" s="35"/>
      <c r="DU245" s="35"/>
      <c r="DV245" s="35"/>
      <c r="DW245" s="35"/>
    </row>
    <row r="246" spans="107:127" x14ac:dyDescent="0.25">
      <c r="DC246" s="15"/>
      <c r="DD246" s="35"/>
      <c r="DE246" s="15"/>
      <c r="DF246" s="15"/>
      <c r="DG246" s="15"/>
      <c r="DH246" s="556">
        <f>BG206</f>
        <v>-47.578718020804054</v>
      </c>
      <c r="DI246" s="15"/>
      <c r="DJ246" s="35"/>
      <c r="DK246" s="16"/>
      <c r="DL246" s="16"/>
      <c r="DM246" s="35"/>
      <c r="DN246" s="29"/>
      <c r="DR246" s="35"/>
      <c r="DS246" s="35"/>
      <c r="DT246" s="35"/>
      <c r="DU246" s="35"/>
      <c r="DV246" s="35"/>
      <c r="DW246" s="35"/>
    </row>
    <row r="247" spans="107:127" x14ac:dyDescent="0.25">
      <c r="DC247" s="13"/>
      <c r="DD247" s="11"/>
      <c r="DE247" s="13"/>
      <c r="DF247" s="14" t="s">
        <v>1620</v>
      </c>
      <c r="DG247" s="11" t="s">
        <v>1686</v>
      </c>
      <c r="DH247" s="14" t="s">
        <v>1676</v>
      </c>
      <c r="DI247" s="13" t="s">
        <v>640</v>
      </c>
      <c r="DJ247" s="14" t="s">
        <v>1620</v>
      </c>
      <c r="DK247" s="14" t="s">
        <v>1671</v>
      </c>
      <c r="DL247" s="14" t="s">
        <v>1686</v>
      </c>
      <c r="DM247" s="11" t="s">
        <v>1621</v>
      </c>
      <c r="DN247" s="29"/>
      <c r="DR247" s="35"/>
      <c r="DS247" s="35"/>
      <c r="DT247" s="35"/>
      <c r="DU247" s="35"/>
      <c r="DV247" s="35"/>
      <c r="DW247" s="35"/>
    </row>
    <row r="248" spans="107:127" x14ac:dyDescent="0.25">
      <c r="DC248" s="36" t="s">
        <v>956</v>
      </c>
      <c r="DD248" s="37" t="s">
        <v>1682</v>
      </c>
      <c r="DE248" s="36">
        <v>-48.9</v>
      </c>
      <c r="DF248">
        <v>737</v>
      </c>
      <c r="DG248">
        <v>50.1</v>
      </c>
      <c r="DH248" s="38"/>
      <c r="DI248" s="15"/>
      <c r="DJ248" s="35"/>
      <c r="DK248" s="861">
        <f>(DK251+DK254+DK245)/3</f>
        <v>52.566666666666663</v>
      </c>
      <c r="DL248" s="38">
        <v>189.3</v>
      </c>
      <c r="DM248" s="37"/>
      <c r="DN248" s="29"/>
      <c r="DR248" s="35"/>
      <c r="DS248" s="35"/>
      <c r="DT248" s="35"/>
      <c r="DU248" s="35"/>
      <c r="DV248" s="35"/>
      <c r="DW248" s="35"/>
    </row>
    <row r="249" spans="107:127" x14ac:dyDescent="0.25">
      <c r="DC249" s="15"/>
      <c r="DD249" s="35"/>
      <c r="DE249" s="15"/>
      <c r="DH249" s="556"/>
      <c r="DI249" s="15"/>
      <c r="DJ249" s="35"/>
      <c r="DK249" s="16"/>
      <c r="DL249" s="16"/>
      <c r="DM249" s="35"/>
      <c r="DN249" s="29"/>
      <c r="DR249" s="35"/>
      <c r="DS249" s="35"/>
      <c r="DT249" s="35"/>
      <c r="DU249" s="35"/>
      <c r="DV249" s="35"/>
      <c r="DW249" s="35"/>
    </row>
    <row r="250" spans="107:127" x14ac:dyDescent="0.25">
      <c r="DC250" s="13"/>
      <c r="DD250" s="11"/>
      <c r="DE250" s="13" t="s">
        <v>1704</v>
      </c>
      <c r="DF250" s="14" t="s">
        <v>1620</v>
      </c>
      <c r="DG250" t="s">
        <v>1708</v>
      </c>
      <c r="DH250" s="14" t="s">
        <v>1676</v>
      </c>
      <c r="DI250" s="13" t="s">
        <v>1606</v>
      </c>
      <c r="DJ250" s="11" t="s">
        <v>1620</v>
      </c>
      <c r="DK250" s="14" t="s">
        <v>1747</v>
      </c>
      <c r="DL250" s="14" t="s">
        <v>1606</v>
      </c>
      <c r="DM250" s="11" t="s">
        <v>1621</v>
      </c>
      <c r="DN250" s="29"/>
      <c r="DR250" s="35"/>
      <c r="DS250" s="35"/>
      <c r="DT250" s="35"/>
      <c r="DU250" s="35"/>
      <c r="DV250" s="35"/>
      <c r="DW250" s="35"/>
    </row>
    <row r="251" spans="107:127" x14ac:dyDescent="0.25">
      <c r="DC251" s="36" t="s">
        <v>957</v>
      </c>
      <c r="DD251" s="37" t="s">
        <v>1679</v>
      </c>
      <c r="DE251" s="36">
        <v>-46</v>
      </c>
      <c r="DF251" s="36">
        <v>745.8</v>
      </c>
      <c r="DG251" s="36">
        <v>42</v>
      </c>
      <c r="DH251" s="38"/>
      <c r="DI251" s="36"/>
      <c r="DJ251" s="37"/>
      <c r="DK251" s="38">
        <v>48</v>
      </c>
      <c r="DL251" s="38">
        <v>195</v>
      </c>
      <c r="DM251" s="37"/>
      <c r="DN251" s="29"/>
      <c r="DR251" s="35"/>
      <c r="DS251" s="35"/>
      <c r="DT251" s="35"/>
      <c r="DU251" s="35"/>
      <c r="DV251" s="35"/>
      <c r="DW251" s="35"/>
    </row>
    <row r="252" spans="107:127" x14ac:dyDescent="0.25">
      <c r="DC252" s="15"/>
      <c r="DD252" s="35"/>
      <c r="DE252" s="15"/>
      <c r="DF252" s="15"/>
      <c r="DG252" s="15"/>
      <c r="DH252" s="556"/>
      <c r="DI252" s="15"/>
      <c r="DJ252" s="35"/>
      <c r="DK252" s="16"/>
      <c r="DL252" s="16"/>
      <c r="DM252" s="35"/>
      <c r="DN252" s="29"/>
      <c r="DR252" s="35"/>
      <c r="DS252" s="35"/>
      <c r="DT252" s="35"/>
      <c r="DU252" s="35"/>
      <c r="DV252" s="35"/>
      <c r="DW252" s="35"/>
    </row>
    <row r="253" spans="107:127" x14ac:dyDescent="0.25">
      <c r="DC253" s="13"/>
      <c r="DD253" s="11"/>
      <c r="DE253" s="14" t="s">
        <v>1686</v>
      </c>
      <c r="DF253" s="14" t="s">
        <v>1620</v>
      </c>
      <c r="DG253" s="11" t="s">
        <v>1686</v>
      </c>
      <c r="DH253" s="14" t="s">
        <v>1676</v>
      </c>
      <c r="DI253" s="13"/>
      <c r="DJ253" s="11" t="s">
        <v>1620</v>
      </c>
      <c r="DK253" s="14" t="s">
        <v>1671</v>
      </c>
      <c r="DL253" s="14" t="s">
        <v>1686</v>
      </c>
      <c r="DM253" s="11" t="s">
        <v>1621</v>
      </c>
      <c r="DN253" s="29"/>
      <c r="DR253" s="35"/>
      <c r="DS253" s="35"/>
      <c r="DT253" s="35"/>
      <c r="DU253" s="35"/>
      <c r="DV253" s="35"/>
      <c r="DW253" s="35"/>
    </row>
    <row r="254" spans="107:127" x14ac:dyDescent="0.25">
      <c r="DC254" s="36" t="s">
        <v>958</v>
      </c>
      <c r="DD254" s="37" t="s">
        <v>1683</v>
      </c>
      <c r="DE254" s="36">
        <v>-26</v>
      </c>
      <c r="DF254" s="36">
        <v>754</v>
      </c>
      <c r="DG254" s="36">
        <v>70.599999999999994</v>
      </c>
      <c r="DH254" s="38"/>
      <c r="DI254" s="36"/>
      <c r="DJ254" s="37"/>
      <c r="DK254" s="38">
        <v>58</v>
      </c>
      <c r="DL254" s="38">
        <v>227</v>
      </c>
      <c r="DM254" s="37"/>
      <c r="DN254" s="29"/>
      <c r="DR254" s="35"/>
      <c r="DS254" s="35"/>
      <c r="DT254" s="35"/>
      <c r="DU254" s="35"/>
      <c r="DV254" s="35"/>
      <c r="DW254" s="35"/>
    </row>
    <row r="255" spans="107:127" x14ac:dyDescent="0.25">
      <c r="DC255" s="15"/>
      <c r="DD255" s="35"/>
      <c r="DE255" s="15"/>
      <c r="DF255" s="15"/>
      <c r="DG255" s="15"/>
      <c r="DH255" s="556"/>
      <c r="DI255" s="15"/>
      <c r="DJ255" s="35"/>
      <c r="DK255" s="16"/>
      <c r="DL255" s="16"/>
      <c r="DM255" s="35"/>
      <c r="DN255" s="29"/>
      <c r="DR255" s="35"/>
      <c r="DS255" s="35"/>
      <c r="DT255" s="35"/>
      <c r="DU255" s="35"/>
      <c r="DV255" s="35"/>
      <c r="DW255" s="35"/>
    </row>
    <row r="256" spans="107:127" x14ac:dyDescent="0.25">
      <c r="DC256" s="13"/>
      <c r="DD256" s="11"/>
      <c r="DE256" s="14" t="s">
        <v>1686</v>
      </c>
      <c r="DF256" s="14" t="s">
        <v>1620</v>
      </c>
      <c r="DG256" s="13" t="s">
        <v>1606</v>
      </c>
      <c r="DH256" s="14" t="s">
        <v>1676</v>
      </c>
      <c r="DI256" s="13" t="s">
        <v>1606</v>
      </c>
      <c r="DJ256" s="11" t="s">
        <v>1620</v>
      </c>
      <c r="DK256" s="14" t="s">
        <v>1671</v>
      </c>
      <c r="DL256" s="14" t="s">
        <v>1606</v>
      </c>
      <c r="DM256" s="11" t="s">
        <v>1621</v>
      </c>
      <c r="DN256" s="29"/>
      <c r="DR256" s="35"/>
      <c r="DS256" s="35"/>
      <c r="DT256" s="35"/>
      <c r="DU256" s="35"/>
      <c r="DV256" s="35"/>
      <c r="DW256" s="35"/>
    </row>
    <row r="257" spans="107:127" x14ac:dyDescent="0.25">
      <c r="DC257" s="36" t="s">
        <v>960</v>
      </c>
      <c r="DD257" s="37" t="s">
        <v>1684</v>
      </c>
      <c r="DE257" s="36">
        <v>-25</v>
      </c>
      <c r="DF257" s="36">
        <v>761</v>
      </c>
      <c r="DG257" s="36">
        <v>79.5</v>
      </c>
      <c r="DH257" s="38"/>
      <c r="DI257" s="36"/>
      <c r="DJ257" s="37"/>
      <c r="DK257" s="861">
        <f>(DK251+DK254+DK245)/3</f>
        <v>52.566666666666663</v>
      </c>
      <c r="DL257" s="38">
        <v>246</v>
      </c>
      <c r="DN257" s="29"/>
      <c r="DR257" s="35"/>
      <c r="DS257" s="35"/>
      <c r="DT257" s="35"/>
      <c r="DU257" s="35"/>
      <c r="DV257" s="35"/>
      <c r="DW257" s="35"/>
    </row>
    <row r="258" spans="107:127" x14ac:dyDescent="0.25">
      <c r="DC258" s="15"/>
      <c r="DD258" s="35"/>
      <c r="DE258" s="15"/>
      <c r="DF258" s="15"/>
      <c r="DG258" s="15"/>
      <c r="DH258" s="556"/>
      <c r="DI258" s="15"/>
      <c r="DJ258" s="35"/>
      <c r="DK258" s="16"/>
      <c r="DL258" s="16"/>
      <c r="DM258" s="35"/>
      <c r="DN258" s="29"/>
      <c r="DR258" s="35"/>
      <c r="DS258" s="35"/>
      <c r="DT258" s="35"/>
      <c r="DU258" s="35"/>
      <c r="DV258" s="35"/>
      <c r="DW258" s="35"/>
    </row>
    <row r="259" spans="107:127" x14ac:dyDescent="0.25">
      <c r="DC259" s="13"/>
      <c r="DD259" s="11"/>
      <c r="DE259" s="14" t="s">
        <v>1686</v>
      </c>
      <c r="DF259" s="14" t="s">
        <v>1620</v>
      </c>
      <c r="DG259" t="s">
        <v>1708</v>
      </c>
      <c r="DH259" s="14" t="s">
        <v>1676</v>
      </c>
      <c r="DI259" s="13" t="s">
        <v>1606</v>
      </c>
      <c r="DJ259" s="11" t="s">
        <v>1620</v>
      </c>
      <c r="DK259" s="14" t="s">
        <v>1747</v>
      </c>
      <c r="DL259" s="14" t="s">
        <v>1707</v>
      </c>
      <c r="DM259" s="11" t="s">
        <v>1621</v>
      </c>
      <c r="DN259" s="29"/>
      <c r="DR259" s="35"/>
      <c r="DS259" s="35"/>
      <c r="DT259" s="35"/>
      <c r="DU259" s="35"/>
      <c r="DV259" s="35"/>
      <c r="DW259" s="35"/>
    </row>
    <row r="260" spans="107:127" x14ac:dyDescent="0.25">
      <c r="DC260" s="36" t="s">
        <v>964</v>
      </c>
      <c r="DD260" s="37" t="s">
        <v>1685</v>
      </c>
      <c r="DE260" s="36">
        <v>-8.3000000000000007</v>
      </c>
      <c r="DF260" s="36">
        <v>766</v>
      </c>
      <c r="DG260" s="36">
        <v>87.7</v>
      </c>
      <c r="DH260" s="38"/>
      <c r="DI260" s="36"/>
      <c r="DJ260" s="37"/>
      <c r="DK260" s="861">
        <f>(DK251+DK254+DK245)/3</f>
        <v>52.566666666666663</v>
      </c>
      <c r="DL260" s="38">
        <v>261</v>
      </c>
      <c r="DM260" s="37"/>
      <c r="DN260" s="29"/>
      <c r="DR260" s="35"/>
      <c r="DS260" s="35"/>
      <c r="DT260" s="35"/>
      <c r="DU260" s="35"/>
      <c r="DV260" s="35"/>
      <c r="DW260" s="35"/>
    </row>
    <row r="261" spans="107:127" x14ac:dyDescent="0.25">
      <c r="DC261" s="15"/>
      <c r="DD261" s="35"/>
      <c r="DE261" s="15"/>
      <c r="DF261" s="15"/>
      <c r="DG261" s="15"/>
      <c r="DH261" s="556"/>
      <c r="DI261" s="15"/>
      <c r="DJ261" s="35"/>
      <c r="DK261" s="16"/>
      <c r="DL261" s="16"/>
      <c r="DM261" s="35"/>
      <c r="DN261" s="29"/>
      <c r="DR261" s="35"/>
      <c r="DS261" s="35"/>
      <c r="DT261" s="35"/>
      <c r="DU261" s="35"/>
      <c r="DV261" s="35"/>
      <c r="DW261" s="35"/>
    </row>
    <row r="262" spans="107:127" x14ac:dyDescent="0.25">
      <c r="DC262" s="13"/>
      <c r="DD262" s="11"/>
      <c r="DE262" s="13" t="s">
        <v>1606</v>
      </c>
      <c r="DF262" s="14" t="s">
        <v>1620</v>
      </c>
      <c r="DG262" t="s">
        <v>1708</v>
      </c>
      <c r="DH262" s="14" t="s">
        <v>1676</v>
      </c>
      <c r="DI262" s="13" t="s">
        <v>1616</v>
      </c>
      <c r="DJ262" s="11" t="s">
        <v>1620</v>
      </c>
      <c r="DK262" s="14" t="s">
        <v>1747</v>
      </c>
      <c r="DL262" s="14" t="s">
        <v>1606</v>
      </c>
      <c r="DM262" s="11" t="s">
        <v>1621</v>
      </c>
      <c r="DN262" s="29"/>
      <c r="DR262" s="35"/>
      <c r="DS262" s="35"/>
      <c r="DT262" s="35"/>
      <c r="DU262" s="35"/>
      <c r="DV262" s="35"/>
      <c r="DW262" s="35"/>
    </row>
  </sheetData>
  <mergeCells count="271">
    <mergeCell ref="DV209:DV210"/>
    <mergeCell ref="DW209:DW210"/>
    <mergeCell ref="DC239:DD240"/>
    <mergeCell ref="DE239:DE240"/>
    <mergeCell ref="DF239:DF240"/>
    <mergeCell ref="DG239:DG240"/>
    <mergeCell ref="DH239:DH240"/>
    <mergeCell ref="DI239:DJ240"/>
    <mergeCell ref="DK239:DK240"/>
    <mergeCell ref="DL239:DL240"/>
    <mergeCell ref="DM239:DM240"/>
    <mergeCell ref="DR239:DR240"/>
    <mergeCell ref="DS239:DS240"/>
    <mergeCell ref="DT239:DT240"/>
    <mergeCell ref="DU239:DU240"/>
    <mergeCell ref="DV239:DV240"/>
    <mergeCell ref="DW239:DW240"/>
    <mergeCell ref="DL209:DL210"/>
    <mergeCell ref="DM209:DM210"/>
    <mergeCell ref="DN209:DN210"/>
    <mergeCell ref="DO209:DO210"/>
    <mergeCell ref="DP209:DP210"/>
    <mergeCell ref="DR209:DR210"/>
    <mergeCell ref="DS209:DS210"/>
    <mergeCell ref="DT209:DT210"/>
    <mergeCell ref="DU209:DU210"/>
    <mergeCell ref="DB209:DC210"/>
    <mergeCell ref="DD209:DD210"/>
    <mergeCell ref="DE209:DE210"/>
    <mergeCell ref="DF209:DF210"/>
    <mergeCell ref="DG209:DG210"/>
    <mergeCell ref="DH209:DH210"/>
    <mergeCell ref="DI209:DI210"/>
    <mergeCell ref="DJ209:DK210"/>
    <mergeCell ref="K39:L39"/>
    <mergeCell ref="U39:V39"/>
    <mergeCell ref="K28:L28"/>
    <mergeCell ref="U28:V28"/>
    <mergeCell ref="BH38:BO38"/>
    <mergeCell ref="BH23:BO23"/>
    <mergeCell ref="AI76:AK76"/>
    <mergeCell ref="U52:V52"/>
    <mergeCell ref="Y52:Z52"/>
    <mergeCell ref="AE52:AF52"/>
    <mergeCell ref="AR40:AT40"/>
    <mergeCell ref="AU40:AW40"/>
    <mergeCell ref="AR37:BD38"/>
    <mergeCell ref="AR68:AT68"/>
    <mergeCell ref="AU68:AW68"/>
    <mergeCell ref="K51:Q51"/>
    <mergeCell ref="U51:AA51"/>
    <mergeCell ref="K52:L52"/>
    <mergeCell ref="O52:P52"/>
    <mergeCell ref="CA70:CH70"/>
    <mergeCell ref="AE4:AF4"/>
    <mergeCell ref="AI4:AJ4"/>
    <mergeCell ref="BH4:BO4"/>
    <mergeCell ref="BP4:BW4"/>
    <mergeCell ref="BV7:BV8"/>
    <mergeCell ref="CE55:CV55"/>
    <mergeCell ref="BP47:BP48"/>
    <mergeCell ref="BR7:BR8"/>
    <mergeCell ref="BS7:BS8"/>
    <mergeCell ref="BU7:BU8"/>
    <mergeCell ref="CR28:CR29"/>
    <mergeCell ref="CS28:CS29"/>
    <mergeCell ref="CI56:CJ57"/>
    <mergeCell ref="CS56:CT57"/>
    <mergeCell ref="CU56:CV57"/>
    <mergeCell ref="CE56:CF57"/>
    <mergeCell ref="CG56:CH57"/>
    <mergeCell ref="CK56:CL57"/>
    <mergeCell ref="CM56:CN57"/>
    <mergeCell ref="CO56:CP57"/>
    <mergeCell ref="CQ56:CR57"/>
    <mergeCell ref="AI52:AJ52"/>
    <mergeCell ref="BH49:BO49"/>
    <mergeCell ref="B45:B46"/>
    <mergeCell ref="B47:B48"/>
    <mergeCell ref="CA32:CH32"/>
    <mergeCell ref="BH2:BM3"/>
    <mergeCell ref="BH5:BO5"/>
    <mergeCell ref="AS2:BA2"/>
    <mergeCell ref="K3:Q3"/>
    <mergeCell ref="U3:AA3"/>
    <mergeCell ref="AE3:AK3"/>
    <mergeCell ref="AU3:AV3"/>
    <mergeCell ref="AW3:BA3"/>
    <mergeCell ref="K15:L15"/>
    <mergeCell ref="O15:P15"/>
    <mergeCell ref="U15:V15"/>
    <mergeCell ref="Y15:Z15"/>
    <mergeCell ref="AE15:AF15"/>
    <mergeCell ref="AI15:AJ15"/>
    <mergeCell ref="K4:L4"/>
    <mergeCell ref="O4:P4"/>
    <mergeCell ref="U4:V4"/>
    <mergeCell ref="Y4:Z4"/>
    <mergeCell ref="C8:C10"/>
    <mergeCell ref="K27:Q27"/>
    <mergeCell ref="U27:AA27"/>
    <mergeCell ref="B30:H30"/>
    <mergeCell ref="B36:C36"/>
    <mergeCell ref="D8:H10"/>
    <mergeCell ref="B8:B10"/>
    <mergeCell ref="BL31:BO31"/>
    <mergeCell ref="BH29:BH30"/>
    <mergeCell ref="BI29:BI30"/>
    <mergeCell ref="BK29:BK30"/>
    <mergeCell ref="BE23:BG23"/>
    <mergeCell ref="AE87:AF87"/>
    <mergeCell ref="AI87:AJ87"/>
    <mergeCell ref="BH61:BO61"/>
    <mergeCell ref="AE63:AF63"/>
    <mergeCell ref="AI63:AJ63"/>
    <mergeCell ref="AE51:AK51"/>
    <mergeCell ref="AE75:AL75"/>
    <mergeCell ref="AE76:AF76"/>
    <mergeCell ref="AR88:AT88"/>
    <mergeCell ref="AU88:AW88"/>
    <mergeCell ref="AR87:BD87"/>
    <mergeCell ref="AR67:BD67"/>
    <mergeCell ref="BH54:BO54"/>
    <mergeCell ref="BT7:BT8"/>
    <mergeCell ref="BT28:BW29"/>
    <mergeCell ref="BS28:BS29"/>
    <mergeCell ref="BP28:BP29"/>
    <mergeCell ref="BP24:BW24"/>
    <mergeCell ref="AU57:AW57"/>
    <mergeCell ref="BV9:BV10"/>
    <mergeCell ref="BV11:BV12"/>
    <mergeCell ref="AR56:BD56"/>
    <mergeCell ref="AR39:BD39"/>
    <mergeCell ref="AR57:AT57"/>
    <mergeCell ref="AR103:BD103"/>
    <mergeCell ref="K99:Q99"/>
    <mergeCell ref="U99:AA99"/>
    <mergeCell ref="AE99:AK99"/>
    <mergeCell ref="K100:L100"/>
    <mergeCell ref="O100:P100"/>
    <mergeCell ref="U100:V100"/>
    <mergeCell ref="Y100:Z100"/>
    <mergeCell ref="AE100:AF100"/>
    <mergeCell ref="AI100:AJ100"/>
    <mergeCell ref="AR117:BD117"/>
    <mergeCell ref="AR104:AT104"/>
    <mergeCell ref="AU104:AW104"/>
    <mergeCell ref="K111:L111"/>
    <mergeCell ref="O111:P111"/>
    <mergeCell ref="U111:V111"/>
    <mergeCell ref="Y111:Z111"/>
    <mergeCell ref="AE111:AF111"/>
    <mergeCell ref="AI111:AJ111"/>
    <mergeCell ref="AR118:AT118"/>
    <mergeCell ref="AU118:AW118"/>
    <mergeCell ref="L125:M125"/>
    <mergeCell ref="N125:O125"/>
    <mergeCell ref="S139:S140"/>
    <mergeCell ref="Z139:Z140"/>
    <mergeCell ref="Z141:Z142"/>
    <mergeCell ref="J126:K127"/>
    <mergeCell ref="L126:L127"/>
    <mergeCell ref="M126:M127"/>
    <mergeCell ref="N126:N127"/>
    <mergeCell ref="O126:O127"/>
    <mergeCell ref="Q125:T125"/>
    <mergeCell ref="U125:V125"/>
    <mergeCell ref="X125:AA125"/>
    <mergeCell ref="AB125:AC125"/>
    <mergeCell ref="AT142:AV142"/>
    <mergeCell ref="AF146:AM146"/>
    <mergeCell ref="Z144:Z145"/>
    <mergeCell ref="AK147:AK148"/>
    <mergeCell ref="AL147:AL148"/>
    <mergeCell ref="AM147:AM148"/>
    <mergeCell ref="S131:S132"/>
    <mergeCell ref="S133:S134"/>
    <mergeCell ref="Z133:Z134"/>
    <mergeCell ref="Z135:Z136"/>
    <mergeCell ref="S136:S137"/>
    <mergeCell ref="Z137:Z138"/>
    <mergeCell ref="X191:Y191"/>
    <mergeCell ref="X192:Y192"/>
    <mergeCell ref="X193:Y193"/>
    <mergeCell ref="Q146:S146"/>
    <mergeCell ref="Z147:Z148"/>
    <mergeCell ref="X160:Z160"/>
    <mergeCell ref="R157:U157"/>
    <mergeCell ref="S128:S129"/>
    <mergeCell ref="Z128:Z129"/>
    <mergeCell ref="S158:S159"/>
    <mergeCell ref="T158:T159"/>
    <mergeCell ref="U158:U159"/>
    <mergeCell ref="R167:T167"/>
    <mergeCell ref="R168:T168"/>
    <mergeCell ref="J173:L173"/>
    <mergeCell ref="X177:AA177"/>
    <mergeCell ref="R169:T169"/>
    <mergeCell ref="K87:L87"/>
    <mergeCell ref="O87:P87"/>
    <mergeCell ref="U87:V87"/>
    <mergeCell ref="Y87:Z87"/>
    <mergeCell ref="K63:L63"/>
    <mergeCell ref="O63:P63"/>
    <mergeCell ref="U63:V63"/>
    <mergeCell ref="Y63:Z63"/>
    <mergeCell ref="L158:L159"/>
    <mergeCell ref="K168:K169"/>
    <mergeCell ref="L168:L169"/>
    <mergeCell ref="K75:R75"/>
    <mergeCell ref="U75:AB75"/>
    <mergeCell ref="K76:L76"/>
    <mergeCell ref="O76:Q76"/>
    <mergeCell ref="U76:V76"/>
    <mergeCell ref="Y76:AA76"/>
    <mergeCell ref="BC169:BC170"/>
    <mergeCell ref="BD169:BD170"/>
    <mergeCell ref="BE169:BE170"/>
    <mergeCell ref="BF169:BF170"/>
    <mergeCell ref="BG169:BG170"/>
    <mergeCell ref="BH169:BH170"/>
    <mergeCell ref="BI169:BI170"/>
    <mergeCell ref="BJ169:BK170"/>
    <mergeCell ref="BL169:BL170"/>
    <mergeCell ref="BM169:BM170"/>
    <mergeCell ref="BN169:BN170"/>
    <mergeCell ref="BO169:BO170"/>
    <mergeCell ref="BP169:BP170"/>
    <mergeCell ref="BQ169:BQ170"/>
    <mergeCell ref="BR169:BR170"/>
    <mergeCell ref="BS169:BS170"/>
    <mergeCell ref="BT169:BT170"/>
    <mergeCell ref="BU169:BU170"/>
    <mergeCell ref="BO142:BO143"/>
    <mergeCell ref="BN142:BN143"/>
    <mergeCell ref="BV169:BV170"/>
    <mergeCell ref="BA169:BB170"/>
    <mergeCell ref="BA199:BB200"/>
    <mergeCell ref="BC199:BC200"/>
    <mergeCell ref="BD199:BD200"/>
    <mergeCell ref="BE199:BE200"/>
    <mergeCell ref="BF199:BF200"/>
    <mergeCell ref="BG199:BG200"/>
    <mergeCell ref="BH199:BH200"/>
    <mergeCell ref="BI199:BI200"/>
    <mergeCell ref="BJ199:BK200"/>
    <mergeCell ref="BL199:BL200"/>
    <mergeCell ref="BM199:BM200"/>
    <mergeCell ref="BN199:BN200"/>
    <mergeCell ref="BO199:BO200"/>
    <mergeCell ref="BP199:BP200"/>
    <mergeCell ref="BQ199:BQ200"/>
    <mergeCell ref="BR199:BR200"/>
    <mergeCell ref="BS199:BS200"/>
    <mergeCell ref="BT199:BT200"/>
    <mergeCell ref="BU199:BU200"/>
    <mergeCell ref="BV199:BV200"/>
    <mergeCell ref="H158:H159"/>
    <mergeCell ref="G168:G169"/>
    <mergeCell ref="H168:H169"/>
    <mergeCell ref="A127:D127"/>
    <mergeCell ref="E127:F127"/>
    <mergeCell ref="C130:C131"/>
    <mergeCell ref="C135:C136"/>
    <mergeCell ref="C137:C138"/>
    <mergeCell ref="C139:C140"/>
    <mergeCell ref="C141:C142"/>
    <mergeCell ref="C143:C144"/>
    <mergeCell ref="C146:C147"/>
    <mergeCell ref="C149:C150"/>
    <mergeCell ref="A162:C162"/>
  </mergeCells>
  <phoneticPr fontId="7" type="noConversion"/>
  <hyperlinks>
    <hyperlink ref="BT33" r:id="rId1" location="Thermo-Phase" xr:uid="{FEA5B9D1-C5F2-478D-9F7D-C3F25468AEB2}"/>
    <hyperlink ref="BT38" r:id="rId2" xr:uid="{0563ED9F-DF65-4CBC-AAD4-E82098DFC6DC}"/>
    <hyperlink ref="BT42" r:id="rId3" location="Thermo-Phase" xr:uid="{C1B98175-D168-4FE7-9EE9-E45A7F4DB748}"/>
    <hyperlink ref="BT41" r:id="rId4" xr:uid="{45B44FDD-7711-45DC-8DDE-74B2AD279190}"/>
    <hyperlink ref="D14" r:id="rId5" location="Thermo-Condensed" xr:uid="{0AA3B041-D58B-48AF-9361-27DCB5F991B2}"/>
    <hyperlink ref="BH31" r:id="rId6" display="https://www.researchgate.net/publication/279712144_Liquid_specific_heat_capacity_estimation_for_fatty_acids_triacylglycerols_and_vegetable_oils_based_on_their_fatty_acid_composition" xr:uid="{BBA498EC-7D56-48AF-915D-DB2DB8105F48}"/>
    <hyperlink ref="CR30" r:id="rId7" display="https://www.researchgate.net/publication/279712144_Liquid_specific_heat_capacity_estimation_for_fatty_acids_triacylglycerols_and_vegetable_oils_based_on_their_fatty_acid_composition" xr:uid="{FB02C1DB-E561-4094-9912-D939D21333D7}"/>
    <hyperlink ref="CR32" r:id="rId8" display="https://ift.onlinelibrary.wiley.com/doi/epdf/10.1111/1750-3841.14089" xr:uid="{0A496388-B5A0-4BD2-A706-B811DD153596}"/>
    <hyperlink ref="BH35" r:id="rId9" display="https://ift.onlinelibrary.wiley.com/doi/epdf/10.1111/1750-3841.14089" xr:uid="{6E184FA2-0CC2-4EAE-B27A-59EF719DE4C3}"/>
    <hyperlink ref="BH36" r:id="rId10" display="https://ift.onlinelibrary.wiley.com/doi/epdf/10.1111/1750-3841.14089" xr:uid="{B906C65E-B417-4AC9-8EFE-ABD5E4012F59}"/>
    <hyperlink ref="BH32" r:id="rId11" display="https://ift.onlinelibrary.wiley.com/doi/epdf/10.1111/1750-3841.14089" xr:uid="{7AD4A07A-A319-448E-B742-A2CA7B6F038E}"/>
    <hyperlink ref="BH33" r:id="rId12" display="https://www.researchgate.net/publication/279712144_Liquid_specific_heat_capacity_estimation_for_fatty_acids_triacylglycerols_and_vegetable_oils_based_on_their_fatty_acid_composition" xr:uid="{A4406C1D-3071-4E08-A8A3-F359C91A7C99}"/>
    <hyperlink ref="BH34" r:id="rId13" display="https://ift.onlinelibrary.wiley.com/doi/epdf/10.1111/1750-3841.14089" xr:uid="{0E02D5B6-1C3E-4D02-9B24-AB71F1BFFE28}"/>
  </hyperlinks>
  <pageMargins left="0.7" right="0.7" top="0.75" bottom="0.75" header="0.3" footer="0.3"/>
  <pageSetup paperSize="9" orientation="portrait" r:id="rId14"/>
  <drawing r:id="rId15"/>
  <legacy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FAF0-9CA0-4235-BBC1-DC1F92D51A2C}">
  <dimension ref="B1:BC189"/>
  <sheetViews>
    <sheetView topLeftCell="A73" zoomScale="55" zoomScaleNormal="55" workbookViewId="0">
      <selection activeCell="AH59" sqref="AH59"/>
    </sheetView>
  </sheetViews>
  <sheetFormatPr defaultRowHeight="15" x14ac:dyDescent="0.25"/>
  <cols>
    <col min="3" max="3" width="23.85546875" customWidth="1"/>
    <col min="4" max="4" width="12" bestFit="1" customWidth="1"/>
    <col min="6" max="6" width="18" customWidth="1"/>
    <col min="7" max="7" width="8.7109375" customWidth="1"/>
    <col min="24" max="24" width="27.28515625" customWidth="1"/>
    <col min="25" max="25" width="16.28515625" customWidth="1"/>
    <col min="26" max="26" width="23" customWidth="1"/>
    <col min="27" max="28" width="16.140625" customWidth="1"/>
    <col min="31" max="31" width="17.28515625" customWidth="1"/>
    <col min="32" max="32" width="14" customWidth="1"/>
    <col min="35" max="35" width="26.85546875" customWidth="1"/>
    <col min="36" max="36" width="14.7109375" customWidth="1"/>
    <col min="37" max="37" width="18" customWidth="1"/>
    <col min="38" max="38" width="8" customWidth="1"/>
    <col min="39" max="39" width="16.28515625" customWidth="1"/>
    <col min="43" max="43" width="9.140625" customWidth="1"/>
    <col min="44" max="44" width="34.5703125" customWidth="1"/>
    <col min="45" max="45" width="9.140625" customWidth="1"/>
    <col min="46" max="46" width="12" customWidth="1"/>
    <col min="47" max="47" width="18.85546875" customWidth="1"/>
    <col min="50" max="50" width="5.85546875" customWidth="1"/>
  </cols>
  <sheetData>
    <row r="1" spans="2:23" ht="15.75" thickBot="1" x14ac:dyDescent="0.3"/>
    <row r="2" spans="2:23" ht="15.75" thickBot="1" x14ac:dyDescent="0.3">
      <c r="B2" s="865" t="s">
        <v>988</v>
      </c>
      <c r="C2" s="866"/>
      <c r="D2" s="867"/>
      <c r="E2" s="865" t="s">
        <v>987</v>
      </c>
      <c r="F2" s="866"/>
      <c r="G2" s="867"/>
      <c r="I2" s="967"/>
      <c r="J2" s="967"/>
      <c r="K2" s="967"/>
      <c r="L2" s="967"/>
      <c r="M2" s="967"/>
      <c r="N2" s="967"/>
      <c r="O2" s="967"/>
    </row>
    <row r="3" spans="2:23" x14ac:dyDescent="0.25">
      <c r="B3" s="268" t="s">
        <v>986</v>
      </c>
      <c r="D3" s="399">
        <v>15.14</v>
      </c>
      <c r="E3" s="257" t="s">
        <v>985</v>
      </c>
      <c r="F3" s="246"/>
      <c r="G3" s="405">
        <v>3644</v>
      </c>
      <c r="I3" s="966"/>
      <c r="J3" s="966"/>
      <c r="K3" s="966"/>
      <c r="L3" s="966"/>
      <c r="M3" s="966"/>
      <c r="N3" s="966"/>
      <c r="O3" s="966"/>
    </row>
    <row r="4" spans="2:23" ht="19.5" customHeight="1" x14ac:dyDescent="0.25">
      <c r="B4" s="268" t="s">
        <v>984</v>
      </c>
      <c r="D4" s="410">
        <v>0.39</v>
      </c>
      <c r="E4" s="268" t="s">
        <v>983</v>
      </c>
      <c r="F4" s="252"/>
      <c r="G4" s="410">
        <v>1116</v>
      </c>
    </row>
    <row r="5" spans="2:23" ht="15.75" customHeight="1" x14ac:dyDescent="0.25">
      <c r="B5" s="268" t="s">
        <v>982</v>
      </c>
      <c r="D5" s="410">
        <v>0.14000000000000001</v>
      </c>
      <c r="E5" s="268" t="s">
        <v>981</v>
      </c>
      <c r="F5" s="252"/>
      <c r="G5" s="486">
        <v>0.95</v>
      </c>
    </row>
    <row r="6" spans="2:23" ht="15.75" thickBot="1" x14ac:dyDescent="0.3">
      <c r="B6" s="268"/>
      <c r="D6" s="410"/>
      <c r="E6" s="268" t="s">
        <v>980</v>
      </c>
      <c r="F6" s="252"/>
      <c r="G6" s="410">
        <f>197*G5</f>
        <v>187.14999999999998</v>
      </c>
    </row>
    <row r="7" spans="2:23" ht="15.75" thickBot="1" x14ac:dyDescent="0.3">
      <c r="B7" s="865" t="s">
        <v>979</v>
      </c>
      <c r="C7" s="866"/>
      <c r="D7" s="867"/>
      <c r="E7" s="271" t="s">
        <v>978</v>
      </c>
      <c r="F7" s="273"/>
      <c r="G7" s="485">
        <v>0.4</v>
      </c>
      <c r="T7" t="s">
        <v>977</v>
      </c>
    </row>
    <row r="8" spans="2:23" ht="15.75" thickBot="1" x14ac:dyDescent="0.3">
      <c r="B8" s="257" t="s">
        <v>976</v>
      </c>
      <c r="C8" s="245"/>
      <c r="D8" s="399">
        <f>SUM(D3:D5)</f>
        <v>15.670000000000002</v>
      </c>
      <c r="E8" s="865" t="s">
        <v>975</v>
      </c>
      <c r="F8" s="866"/>
      <c r="G8" s="867"/>
      <c r="I8" s="967"/>
      <c r="J8" s="967"/>
      <c r="K8" s="967"/>
      <c r="L8" s="967"/>
      <c r="M8" s="967"/>
      <c r="N8" s="967"/>
      <c r="O8" s="967"/>
    </row>
    <row r="9" spans="2:23" x14ac:dyDescent="0.25">
      <c r="B9" s="268" t="s">
        <v>974</v>
      </c>
      <c r="D9" s="410">
        <f>D8*42.8</f>
        <v>670.67600000000004</v>
      </c>
      <c r="E9" s="245" t="s">
        <v>973</v>
      </c>
      <c r="F9" s="245"/>
      <c r="G9" s="484">
        <f>(D9*G3)/(G4*G6)</f>
        <v>11.701380660865636</v>
      </c>
      <c r="I9" s="966"/>
      <c r="J9" s="966"/>
      <c r="K9" s="966"/>
      <c r="L9" s="966"/>
      <c r="M9" s="966"/>
      <c r="N9" s="966"/>
      <c r="O9" s="966"/>
    </row>
    <row r="10" spans="2:23" ht="15" customHeight="1" thickBot="1" x14ac:dyDescent="0.3">
      <c r="B10" s="271" t="s">
        <v>972</v>
      </c>
      <c r="C10" s="272"/>
      <c r="D10" s="360">
        <f>D9*G3</f>
        <v>2443943.344</v>
      </c>
      <c r="G10" s="252"/>
      <c r="N10" t="s">
        <v>971</v>
      </c>
      <c r="O10" t="s">
        <v>970</v>
      </c>
    </row>
    <row r="11" spans="2:23" x14ac:dyDescent="0.25">
      <c r="B11" s="268" t="s">
        <v>969</v>
      </c>
      <c r="D11" s="410">
        <v>89</v>
      </c>
      <c r="E11" s="268" t="s">
        <v>968</v>
      </c>
      <c r="G11" s="311">
        <f>(D12*G3)/(G4*G6)</f>
        <v>66.45966042227451</v>
      </c>
      <c r="M11" t="s">
        <v>967</v>
      </c>
      <c r="N11" s="319">
        <f>FuelProd2!R158</f>
        <v>2.6497748995753154E-3</v>
      </c>
      <c r="O11" s="319">
        <f>FuelProd3!AH155</f>
        <v>5.7581573896353135E-3</v>
      </c>
      <c r="S11" s="157">
        <f>7335/99136</f>
        <v>7.3989267269205933E-2</v>
      </c>
      <c r="U11" t="s">
        <v>966</v>
      </c>
    </row>
    <row r="12" spans="2:23" x14ac:dyDescent="0.25">
      <c r="B12" s="268" t="s">
        <v>965</v>
      </c>
      <c r="D12" s="410">
        <f>(D11*42.8)</f>
        <v>3809.2</v>
      </c>
      <c r="E12" s="268"/>
      <c r="G12" s="252"/>
      <c r="M12" t="s">
        <v>964</v>
      </c>
      <c r="N12" s="319">
        <f>FuelProd2!R159</f>
        <v>5.8582928001229724E-2</v>
      </c>
      <c r="O12" s="319">
        <f>FuelProd3!AH154</f>
        <v>6.6218809980806148E-2</v>
      </c>
      <c r="S12" s="158">
        <f>9975/99136</f>
        <v>0.10061935119431892</v>
      </c>
      <c r="V12" t="s">
        <v>939</v>
      </c>
      <c r="W12">
        <v>0</v>
      </c>
    </row>
    <row r="13" spans="2:23" ht="15.75" thickBot="1" x14ac:dyDescent="0.3">
      <c r="B13" s="271" t="s">
        <v>963</v>
      </c>
      <c r="C13" s="272"/>
      <c r="D13" s="360">
        <f>D12*G3</f>
        <v>13880724.799999999</v>
      </c>
      <c r="E13" s="271" t="s">
        <v>962</v>
      </c>
      <c r="F13" s="272"/>
      <c r="G13" s="314">
        <f>(60%*D13+40%*D10)/(G4*G6)</f>
        <v>44.556348517710958</v>
      </c>
      <c r="H13" t="s">
        <v>961</v>
      </c>
      <c r="M13" t="s">
        <v>960</v>
      </c>
      <c r="N13" s="319">
        <f>FuelProd2!R160</f>
        <v>0.11489371566617367</v>
      </c>
      <c r="O13" s="319">
        <f>FuelProd3!AH153</f>
        <v>0.11228406909788875</v>
      </c>
      <c r="S13" s="158">
        <f>65658/99136</f>
        <v>0.66230229180116207</v>
      </c>
      <c r="V13" t="s">
        <v>938</v>
      </c>
      <c r="W13">
        <v>1.7931034482758601</v>
      </c>
    </row>
    <row r="14" spans="2:23" ht="15.75" thickBot="1" x14ac:dyDescent="0.3">
      <c r="E14" s="419" t="s">
        <v>959</v>
      </c>
      <c r="F14" s="231"/>
      <c r="G14" s="168"/>
      <c r="I14" s="1" t="s">
        <v>333</v>
      </c>
      <c r="J14" s="1"/>
      <c r="K14" s="1"/>
      <c r="L14" s="1"/>
      <c r="M14" t="s">
        <v>958</v>
      </c>
      <c r="N14" s="319">
        <f>FuelProd2!R161</f>
        <v>0.14764704954896371</v>
      </c>
      <c r="O14" s="319">
        <f>FuelProd3!AH152</f>
        <v>0.13435700575815732</v>
      </c>
      <c r="S14" s="163">
        <f>16168/99136</f>
        <v>0.16308908973531311</v>
      </c>
      <c r="V14" t="s">
        <v>937</v>
      </c>
      <c r="W14">
        <v>2.7586206896551699</v>
      </c>
    </row>
    <row r="15" spans="2:23" x14ac:dyDescent="0.25">
      <c r="D15">
        <f>D11*0.2</f>
        <v>17.8</v>
      </c>
      <c r="I15" s="966"/>
      <c r="J15" s="966"/>
      <c r="K15" s="966"/>
      <c r="L15" s="966"/>
      <c r="M15" t="s">
        <v>957</v>
      </c>
      <c r="N15" s="319">
        <f>FuelProd2!R162</f>
        <v>0.18755880272376163</v>
      </c>
      <c r="O15" s="319">
        <f>FuelProd3!AH151</f>
        <v>0.16986564299424189</v>
      </c>
      <c r="V15" t="s">
        <v>936</v>
      </c>
      <c r="W15">
        <v>13.3793103448275</v>
      </c>
    </row>
    <row r="16" spans="2:23" x14ac:dyDescent="0.25">
      <c r="M16" t="s">
        <v>956</v>
      </c>
      <c r="N16" s="319">
        <f>FuelProd2!R163</f>
        <v>0.20719285270373322</v>
      </c>
      <c r="O16" s="319">
        <f>FuelProd3!AH150</f>
        <v>0.18905950095969293</v>
      </c>
      <c r="V16" t="s">
        <v>935</v>
      </c>
      <c r="W16">
        <v>13.9310344827586</v>
      </c>
    </row>
    <row r="17" spans="2:31" x14ac:dyDescent="0.25">
      <c r="B17" s="18"/>
      <c r="C17" s="18"/>
      <c r="M17" t="s">
        <v>955</v>
      </c>
      <c r="N17" s="319">
        <f>FuelProd2!R164</f>
        <v>0.17294746844182468</v>
      </c>
      <c r="O17" s="319">
        <f>FuelProd3!AH149</f>
        <v>0.18138195777351243</v>
      </c>
    </row>
    <row r="18" spans="2:31" x14ac:dyDescent="0.25">
      <c r="M18" t="s">
        <v>954</v>
      </c>
      <c r="N18" s="319">
        <f>FuelProd2!R165</f>
        <v>0.14735292069108683</v>
      </c>
      <c r="O18" s="319">
        <f>FuelProd3!AH148</f>
        <v>0.14107485604606532</v>
      </c>
    </row>
    <row r="19" spans="2:31" x14ac:dyDescent="0.25">
      <c r="X19" t="s">
        <v>953</v>
      </c>
      <c r="Y19" t="s">
        <v>952</v>
      </c>
    </row>
    <row r="20" spans="2:31" x14ac:dyDescent="0.25">
      <c r="I20" s="1086"/>
      <c r="J20" s="1086"/>
      <c r="K20" s="1086"/>
      <c r="L20" s="1086"/>
      <c r="M20" s="1086"/>
      <c r="U20" t="s">
        <v>951</v>
      </c>
      <c r="X20">
        <f>W13</f>
        <v>1.7931034482758601</v>
      </c>
      <c r="Y20">
        <f>V30+V31</f>
        <v>1.8421052631578878</v>
      </c>
    </row>
    <row r="21" spans="2:31" x14ac:dyDescent="0.25">
      <c r="U21" t="s">
        <v>950</v>
      </c>
      <c r="X21">
        <f>W14-W13</f>
        <v>0.96551724137930983</v>
      </c>
      <c r="AB21" t="s">
        <v>949</v>
      </c>
    </row>
    <row r="22" spans="2:31" x14ac:dyDescent="0.25">
      <c r="U22" t="s">
        <v>177</v>
      </c>
      <c r="X22">
        <v>10.5</v>
      </c>
      <c r="Y22">
        <f>V34-V33</f>
        <v>7.1052631578947496</v>
      </c>
      <c r="Z22">
        <f>V35-V33</f>
        <v>17.89473684210525</v>
      </c>
      <c r="AA22">
        <f>V35-V31</f>
        <v>23.684210526315759</v>
      </c>
      <c r="AB22">
        <f>AA22-X25</f>
        <v>12.89473684210526</v>
      </c>
    </row>
    <row r="23" spans="2:31" x14ac:dyDescent="0.25">
      <c r="U23" t="s">
        <v>948</v>
      </c>
      <c r="X23">
        <f>W16-W15</f>
        <v>0.55172413793109953</v>
      </c>
      <c r="AD23" t="s">
        <v>947</v>
      </c>
      <c r="AE23" t="s">
        <v>167</v>
      </c>
    </row>
    <row r="24" spans="2:31" x14ac:dyDescent="0.25">
      <c r="U24" t="s">
        <v>946</v>
      </c>
      <c r="Y24">
        <f>V32-Y20</f>
        <v>5.0000000000000027</v>
      </c>
      <c r="AD24" t="s">
        <v>945</v>
      </c>
      <c r="AE24">
        <v>42.1</v>
      </c>
    </row>
    <row r="25" spans="2:31" x14ac:dyDescent="0.25">
      <c r="U25" t="s">
        <v>944</v>
      </c>
      <c r="X25">
        <f>V35-V34</f>
        <v>10.789473684210499</v>
      </c>
      <c r="AD25" t="s">
        <v>943</v>
      </c>
      <c r="AE25">
        <v>16.8</v>
      </c>
    </row>
    <row r="26" spans="2:31" x14ac:dyDescent="0.25">
      <c r="AD26" t="s">
        <v>942</v>
      </c>
      <c r="AE26">
        <v>44.2</v>
      </c>
    </row>
    <row r="27" spans="2:31" x14ac:dyDescent="0.25">
      <c r="AD27" t="s">
        <v>202</v>
      </c>
      <c r="AE27">
        <v>47.4</v>
      </c>
    </row>
    <row r="28" spans="2:31" x14ac:dyDescent="0.25">
      <c r="T28" t="s">
        <v>941</v>
      </c>
      <c r="AD28" t="s">
        <v>940</v>
      </c>
      <c r="AE28">
        <v>44</v>
      </c>
    </row>
    <row r="30" spans="2:31" x14ac:dyDescent="0.25">
      <c r="U30" t="s">
        <v>939</v>
      </c>
      <c r="V30">
        <v>-0.26315789473685203</v>
      </c>
    </row>
    <row r="31" spans="2:31" x14ac:dyDescent="0.25">
      <c r="U31" t="s">
        <v>938</v>
      </c>
      <c r="V31">
        <v>2.1052631578947398</v>
      </c>
    </row>
    <row r="32" spans="2:31" x14ac:dyDescent="0.25">
      <c r="U32" t="s">
        <v>937</v>
      </c>
      <c r="V32">
        <v>6.8421052631578902</v>
      </c>
    </row>
    <row r="33" spans="21:27" x14ac:dyDescent="0.25">
      <c r="U33" t="s">
        <v>936</v>
      </c>
      <c r="V33">
        <v>7.8947368421052504</v>
      </c>
    </row>
    <row r="34" spans="21:27" x14ac:dyDescent="0.25">
      <c r="U34" t="s">
        <v>935</v>
      </c>
      <c r="V34">
        <v>15</v>
      </c>
      <c r="AA34">
        <f>16.38*57.42%</f>
        <v>9.4053959999999996</v>
      </c>
    </row>
    <row r="35" spans="21:27" x14ac:dyDescent="0.25">
      <c r="U35" t="s">
        <v>934</v>
      </c>
      <c r="V35">
        <v>25.789473684210499</v>
      </c>
    </row>
    <row r="36" spans="21:27" x14ac:dyDescent="0.25">
      <c r="U36" t="s">
        <v>933</v>
      </c>
      <c r="V36">
        <v>27.105263157894701</v>
      </c>
    </row>
    <row r="40" spans="21:27" x14ac:dyDescent="0.25">
      <c r="U40" t="s">
        <v>848</v>
      </c>
    </row>
    <row r="41" spans="21:27" x14ac:dyDescent="0.25">
      <c r="V41" t="s">
        <v>846</v>
      </c>
      <c r="W41" t="s">
        <v>845</v>
      </c>
      <c r="X41" t="s">
        <v>844</v>
      </c>
      <c r="Y41" t="s">
        <v>843</v>
      </c>
    </row>
    <row r="42" spans="21:27" x14ac:dyDescent="0.25">
      <c r="U42" t="s">
        <v>13</v>
      </c>
      <c r="V42" s="144">
        <f>FuelProd1!H46</f>
        <v>7.7806086927807394</v>
      </c>
      <c r="W42" s="144">
        <f>Y56</f>
        <v>12.591731271216922</v>
      </c>
      <c r="X42" s="144">
        <f>Z56</f>
        <v>12.740072627996129</v>
      </c>
      <c r="Y42" s="144">
        <v>16.91</v>
      </c>
    </row>
    <row r="43" spans="21:27" x14ac:dyDescent="0.25">
      <c r="U43" t="s">
        <v>842</v>
      </c>
      <c r="V43" s="459">
        <v>7.51</v>
      </c>
      <c r="W43" s="459">
        <v>11.08</v>
      </c>
      <c r="X43" s="459">
        <v>10.220000000000001</v>
      </c>
      <c r="Y43" s="459">
        <v>7.21</v>
      </c>
    </row>
    <row r="44" spans="21:27" x14ac:dyDescent="0.25">
      <c r="U44" t="s">
        <v>202</v>
      </c>
      <c r="W44" s="144">
        <v>10.5</v>
      </c>
      <c r="X44" s="144"/>
      <c r="Y44" s="144"/>
    </row>
    <row r="45" spans="21:27" x14ac:dyDescent="0.25">
      <c r="U45" t="s">
        <v>838</v>
      </c>
      <c r="W45" s="144">
        <v>12.89</v>
      </c>
      <c r="X45" s="144"/>
      <c r="Y45" s="144"/>
    </row>
    <row r="46" spans="21:27" x14ac:dyDescent="0.25">
      <c r="U46" t="s">
        <v>837</v>
      </c>
      <c r="W46" s="144">
        <v>15.26</v>
      </c>
      <c r="X46" s="144"/>
      <c r="Y46" s="144"/>
    </row>
    <row r="47" spans="21:27" x14ac:dyDescent="0.25">
      <c r="U47" t="s">
        <v>836</v>
      </c>
      <c r="W47" s="144">
        <v>15.66</v>
      </c>
      <c r="X47" s="144"/>
      <c r="Y47" s="144"/>
    </row>
    <row r="48" spans="21:27" x14ac:dyDescent="0.25">
      <c r="V48" s="144"/>
      <c r="W48" s="144"/>
      <c r="X48" s="144"/>
      <c r="Y48" s="144"/>
    </row>
    <row r="49" spans="19:46" ht="15.75" thickBot="1" x14ac:dyDescent="0.3">
      <c r="AG49" t="s">
        <v>68</v>
      </c>
      <c r="AH49" t="s">
        <v>69</v>
      </c>
    </row>
    <row r="50" spans="19:46" ht="30.75" customHeight="1" x14ac:dyDescent="0.25">
      <c r="AG50">
        <v>25</v>
      </c>
      <c r="AH50">
        <v>298</v>
      </c>
      <c r="AM50" s="1240" t="s">
        <v>1549</v>
      </c>
      <c r="AN50" s="835" t="s">
        <v>441</v>
      </c>
      <c r="AO50" s="1240" t="s">
        <v>1551</v>
      </c>
      <c r="AP50" s="1240" t="s">
        <v>1552</v>
      </c>
      <c r="AQ50" s="1240" t="s">
        <v>1553</v>
      </c>
      <c r="AR50" s="1240" t="s">
        <v>1554</v>
      </c>
      <c r="AS50" s="1243" t="s">
        <v>1555</v>
      </c>
      <c r="AT50" s="1240" t="s">
        <v>1557</v>
      </c>
    </row>
    <row r="51" spans="19:46" ht="25.5" x14ac:dyDescent="0.25">
      <c r="AM51" s="1241"/>
      <c r="AN51" s="840" t="s">
        <v>1550</v>
      </c>
      <c r="AO51" s="1241"/>
      <c r="AP51" s="1241"/>
      <c r="AQ51" s="1241"/>
      <c r="AR51" s="1241"/>
      <c r="AS51" s="1244"/>
      <c r="AT51" s="1241"/>
    </row>
    <row r="52" spans="19:46" ht="15.75" thickBot="1" x14ac:dyDescent="0.3">
      <c r="S52" t="s">
        <v>932</v>
      </c>
      <c r="AM52" s="1242"/>
      <c r="AN52" s="841"/>
      <c r="AO52" s="1242"/>
      <c r="AP52" s="1242"/>
      <c r="AQ52" s="1242"/>
      <c r="AR52" s="1242"/>
      <c r="AS52" s="842" t="s">
        <v>1556</v>
      </c>
      <c r="AT52" s="1242"/>
    </row>
    <row r="53" spans="19:46" x14ac:dyDescent="0.25">
      <c r="T53" t="s">
        <v>931</v>
      </c>
      <c r="X53" s="966" t="s">
        <v>930</v>
      </c>
      <c r="Y53" s="966"/>
      <c r="AC53" t="s">
        <v>1528</v>
      </c>
      <c r="AD53" t="s">
        <v>785</v>
      </c>
      <c r="AE53" t="s">
        <v>929</v>
      </c>
      <c r="AM53" s="836" t="s">
        <v>1514</v>
      </c>
      <c r="AN53" s="837">
        <v>7.2999999999999995E-2</v>
      </c>
      <c r="AO53" s="837">
        <v>8.4700000000000006</v>
      </c>
      <c r="AP53" s="837">
        <v>0.48</v>
      </c>
      <c r="AQ53" s="837">
        <v>43.74</v>
      </c>
      <c r="AR53" s="837">
        <v>14.13</v>
      </c>
      <c r="AS53" s="837">
        <v>-6.48</v>
      </c>
      <c r="AT53" s="837">
        <f>((AN53*AO53)*(1/AQ53))*1000+AS53</f>
        <v>7.6560310928212161</v>
      </c>
    </row>
    <row r="54" spans="19:46" x14ac:dyDescent="0.25">
      <c r="T54" t="s">
        <v>716</v>
      </c>
      <c r="V54" t="s">
        <v>929</v>
      </c>
      <c r="Y54" t="s">
        <v>928</v>
      </c>
      <c r="Z54" t="s">
        <v>927</v>
      </c>
      <c r="AB54" t="s">
        <v>863</v>
      </c>
      <c r="AC54" t="s">
        <v>167</v>
      </c>
      <c r="AD54" t="s">
        <v>62</v>
      </c>
      <c r="AE54" t="s">
        <v>59</v>
      </c>
      <c r="AF54" t="s">
        <v>150</v>
      </c>
      <c r="AG54" t="s">
        <v>1529</v>
      </c>
      <c r="AH54" t="s">
        <v>1530</v>
      </c>
      <c r="AM54" s="836" t="s">
        <v>836</v>
      </c>
      <c r="AN54" s="837">
        <v>5.79E-2</v>
      </c>
      <c r="AO54" s="837">
        <v>12.17</v>
      </c>
      <c r="AP54" s="837">
        <v>0.89</v>
      </c>
      <c r="AQ54" s="837">
        <v>44.1</v>
      </c>
      <c r="AR54" s="837">
        <v>16.010000000000002</v>
      </c>
      <c r="AS54" s="837">
        <v>-5.58</v>
      </c>
      <c r="AT54" s="837">
        <f t="shared" ref="AT54:AT55" si="0">((AN54*AO54)*(1/AQ54))*1000+AS54</f>
        <v>10.398299319727892</v>
      </c>
    </row>
    <row r="55" spans="19:46" ht="15.75" thickBot="1" x14ac:dyDescent="0.3">
      <c r="S55" t="s">
        <v>257</v>
      </c>
      <c r="T55" s="144">
        <f>'Fuel Production'!G60</f>
        <v>29.680804781841001</v>
      </c>
      <c r="U55" s="144">
        <f>T55/T61</f>
        <v>0.33660131121797626</v>
      </c>
      <c r="V55">
        <v>44.9</v>
      </c>
      <c r="W55" s="144">
        <f t="shared" ref="W55:W60" si="1">T55*V55</f>
        <v>1332.6681347046608</v>
      </c>
      <c r="X55" s="319">
        <f>W55/W61</f>
        <v>0.34900521636369036</v>
      </c>
      <c r="Y55" s="144">
        <f>X55*'Fuel Production'!K290</f>
        <v>8.2123887702784302</v>
      </c>
      <c r="Z55" s="144">
        <f>T55/T61*'Fuel Production'!K290</f>
        <v>7.9205143611002322</v>
      </c>
      <c r="AB55" t="s">
        <v>257</v>
      </c>
      <c r="AC55">
        <f>(73300+3*AG50+0.6*AH50)/1000</f>
        <v>73.55380000000001</v>
      </c>
      <c r="AD55" s="144">
        <f>T55</f>
        <v>29.680804781841001</v>
      </c>
      <c r="AE55">
        <f>V55</f>
        <v>44.9</v>
      </c>
      <c r="AF55">
        <f>AD55*AE55*AC55</f>
        <v>98022.805446439699</v>
      </c>
      <c r="AG55">
        <f>AF55/'Fuel Production'!G61</f>
        <v>2053.2079514369502</v>
      </c>
      <c r="AH55">
        <f>AG55/'Fuel Production'!C61</f>
        <v>46.936904522607676</v>
      </c>
      <c r="AM55" s="838" t="s">
        <v>915</v>
      </c>
      <c r="AN55" s="839">
        <v>4.3999999999999997E-2</v>
      </c>
      <c r="AO55" s="839">
        <v>10.5</v>
      </c>
      <c r="AP55" s="839">
        <v>0.97</v>
      </c>
      <c r="AQ55" s="839">
        <v>44</v>
      </c>
      <c r="AR55" s="839">
        <v>10.5</v>
      </c>
      <c r="AS55" s="839">
        <v>-1.0900000000000001</v>
      </c>
      <c r="AT55" s="837">
        <f t="shared" si="0"/>
        <v>9.4099999999999984</v>
      </c>
    </row>
    <row r="56" spans="19:46" x14ac:dyDescent="0.25">
      <c r="S56" t="s">
        <v>17</v>
      </c>
      <c r="T56" s="144">
        <f>'Fuel Production'!G61</f>
        <v>47.741294483998971</v>
      </c>
      <c r="U56" s="144">
        <f>T56/T61</f>
        <v>0.54142003361004676</v>
      </c>
      <c r="V56">
        <v>42.8</v>
      </c>
      <c r="W56" s="144">
        <f t="shared" si="1"/>
        <v>2043.3274039151559</v>
      </c>
      <c r="X56" s="319">
        <f>W56/W61</f>
        <v>0.53511591080648702</v>
      </c>
      <c r="Y56" s="144">
        <f>X56*'Fuel Production'!K290</f>
        <v>12.591731271216922</v>
      </c>
      <c r="Z56" s="144">
        <f>T56/T61*'Fuel Production'!K290</f>
        <v>12.740072627996129</v>
      </c>
      <c r="AB56" t="s">
        <v>112</v>
      </c>
      <c r="AC56">
        <f>(74300+1*AG50+0.6*AH50)/1000</f>
        <v>74.503799999999998</v>
      </c>
      <c r="AD56" s="144">
        <f>T57</f>
        <v>6.5801784186156915</v>
      </c>
      <c r="AE56">
        <v>45.6</v>
      </c>
      <c r="AF56">
        <f>AD56*AE56*AC56</f>
        <v>22355.322337037604</v>
      </c>
      <c r="AG56">
        <f>AF56/'Fuel Production'!G61</f>
        <v>468.25966029325491</v>
      </c>
      <c r="AH56">
        <f>AG56/'Fuel Production'!C61</f>
        <v>10.704546001583186</v>
      </c>
    </row>
    <row r="57" spans="19:46" x14ac:dyDescent="0.25">
      <c r="S57" t="s">
        <v>926</v>
      </c>
      <c r="T57" s="144">
        <f>'Fuel Production'!G62</f>
        <v>6.5801784186156915</v>
      </c>
      <c r="U57" s="144">
        <f>T57/T61</f>
        <v>7.4623875600211692E-2</v>
      </c>
      <c r="V57">
        <v>37.799999999999997</v>
      </c>
      <c r="W57" s="144">
        <f t="shared" si="1"/>
        <v>248.73074422367313</v>
      </c>
      <c r="X57" s="319">
        <f>W57/W61</f>
        <v>6.5138743054978784E-2</v>
      </c>
      <c r="Y57" s="144">
        <f>X57*'Fuel Production'!K290</f>
        <v>1.5327698753284713</v>
      </c>
      <c r="Z57" s="144">
        <f>T57/T61*'Fuel Production'!K290</f>
        <v>1.7559630894892018</v>
      </c>
      <c r="AB57" t="s">
        <v>270</v>
      </c>
      <c r="AC57">
        <f>AC61</f>
        <v>59.568018188707846</v>
      </c>
      <c r="AD57" s="144">
        <f>T59</f>
        <v>4.1756461460914691</v>
      </c>
      <c r="AE57">
        <f>V59</f>
        <v>46.4</v>
      </c>
      <c r="AF57">
        <f>AD57*AE57*AC57</f>
        <v>11541.302402911278</v>
      </c>
      <c r="AG57">
        <f>AF57/'Fuel Production'!G61</f>
        <v>241.74674205324439</v>
      </c>
      <c r="AH57">
        <f>AG57/'Fuel Production'!C61</f>
        <v>5.5263977243334947</v>
      </c>
    </row>
    <row r="58" spans="19:46" x14ac:dyDescent="0.25">
      <c r="S58" t="s">
        <v>925</v>
      </c>
      <c r="T58">
        <f>FuelProd1!H14</f>
        <v>0</v>
      </c>
      <c r="U58" s="144">
        <f>T58/T61</f>
        <v>0</v>
      </c>
      <c r="V58">
        <v>39.5</v>
      </c>
      <c r="W58" s="144">
        <f t="shared" si="1"/>
        <v>0</v>
      </c>
      <c r="X58" s="319">
        <f>W58/W61</f>
        <v>0</v>
      </c>
      <c r="Y58" s="144">
        <f>X58*'Fuel Production'!K290</f>
        <v>0</v>
      </c>
      <c r="Z58" s="144">
        <f>T58/T61*'Fuel Production'!K290</f>
        <v>0</v>
      </c>
      <c r="AB58" t="s">
        <v>272</v>
      </c>
      <c r="AC58">
        <f>(63100+1*AG50+0.6*AH50)/1000</f>
        <v>63.303800000000003</v>
      </c>
      <c r="AD58" s="144">
        <f>T60</f>
        <v>0</v>
      </c>
      <c r="AE58">
        <f>V60</f>
        <v>45.5</v>
      </c>
      <c r="AF58">
        <f>AD58*AE58*AC58</f>
        <v>0</v>
      </c>
      <c r="AG58">
        <f>AF58/'Fuel Production'!G61</f>
        <v>0</v>
      </c>
      <c r="AH58">
        <f>AG58/'Fuel Production'!C61</f>
        <v>0</v>
      </c>
    </row>
    <row r="59" spans="19:46" x14ac:dyDescent="0.25">
      <c r="S59" t="s">
        <v>270</v>
      </c>
      <c r="T59" s="144">
        <f>'Fuel Production'!G65</f>
        <v>4.1756461460914691</v>
      </c>
      <c r="U59" s="144">
        <f>T59/T61</f>
        <v>4.7354779571765294E-2</v>
      </c>
      <c r="V59">
        <v>46.4</v>
      </c>
      <c r="W59" s="144">
        <f t="shared" si="1"/>
        <v>193.74998117864416</v>
      </c>
      <c r="X59" s="319">
        <f>W59/W61</f>
        <v>5.0740129774843899E-2</v>
      </c>
      <c r="Y59" s="144">
        <f>X59*'Fuel Production'!K290</f>
        <v>1.1939582918186733</v>
      </c>
      <c r="Z59" s="144">
        <f>T59/T61*'Fuel Production'!K290</f>
        <v>1.1142981300569337</v>
      </c>
      <c r="AH59">
        <f>SUM(AH55:AH58)</f>
        <v>63.167848248524351</v>
      </c>
    </row>
    <row r="60" spans="19:46" x14ac:dyDescent="0.25">
      <c r="S60" t="s">
        <v>272</v>
      </c>
      <c r="T60" s="144">
        <f>'Fuel Production'!G66</f>
        <v>0</v>
      </c>
      <c r="U60" s="144">
        <f>T60/T61</f>
        <v>0</v>
      </c>
      <c r="V60">
        <v>45.5</v>
      </c>
      <c r="W60" s="144">
        <f t="shared" si="1"/>
        <v>0</v>
      </c>
      <c r="X60" s="319">
        <f>W60/W61</f>
        <v>0</v>
      </c>
      <c r="Y60" s="144">
        <f>X60*'Fuel Production'!K290</f>
        <v>0</v>
      </c>
      <c r="Z60" s="144">
        <f>T60/T61*'Fuel Production'!K290</f>
        <v>0</v>
      </c>
      <c r="AC60">
        <v>62.88</v>
      </c>
      <c r="AD60" t="s">
        <v>1531</v>
      </c>
      <c r="AF60" t="s">
        <v>1532</v>
      </c>
    </row>
    <row r="61" spans="19:46" x14ac:dyDescent="0.25">
      <c r="T61" s="144">
        <f>SUM(T55:T60)</f>
        <v>88.17792383054713</v>
      </c>
      <c r="U61" s="144">
        <f>SUM(U55:U60)</f>
        <v>0.99999999999999989</v>
      </c>
      <c r="W61" s="144">
        <f>SUM(W55:W60)</f>
        <v>3818.4762640221338</v>
      </c>
      <c r="Y61" s="144">
        <f>SUM(Y55:Y60)</f>
        <v>23.530848208642499</v>
      </c>
      <c r="Z61" s="144">
        <f>SUM(Z55:Z60)</f>
        <v>23.530848208642499</v>
      </c>
      <c r="AC61">
        <f>AC60*1000/(1055.6)</f>
        <v>59.568018188707846</v>
      </c>
      <c r="AD61" t="s">
        <v>167</v>
      </c>
    </row>
    <row r="68" spans="3:44" ht="15" customHeight="1" x14ac:dyDescent="0.25"/>
    <row r="69" spans="3:44" ht="15.75" thickBot="1" x14ac:dyDescent="0.3"/>
    <row r="70" spans="3:44" ht="15.75" thickBot="1" x14ac:dyDescent="0.3">
      <c r="X70" s="1223" t="s">
        <v>831</v>
      </c>
      <c r="Y70" s="1225" t="s">
        <v>900</v>
      </c>
      <c r="Z70" s="1225" t="s">
        <v>834</v>
      </c>
      <c r="AA70" s="1221" t="s">
        <v>821</v>
      </c>
      <c r="AB70" s="1221" t="s">
        <v>820</v>
      </c>
      <c r="AC70" s="1221" t="s">
        <v>819</v>
      </c>
      <c r="AD70" s="1225" t="s">
        <v>824</v>
      </c>
      <c r="AE70" s="1230" t="s">
        <v>899</v>
      </c>
      <c r="AF70" s="1227"/>
      <c r="AI70" s="1234" t="s">
        <v>822</v>
      </c>
      <c r="AJ70" s="1235"/>
      <c r="AK70" s="1236"/>
    </row>
    <row r="71" spans="3:44" ht="15.75" thickBot="1" x14ac:dyDescent="0.3">
      <c r="X71" s="1224"/>
      <c r="Y71" s="1226"/>
      <c r="Z71" s="1226"/>
      <c r="AA71" s="1222"/>
      <c r="AB71" s="1222"/>
      <c r="AC71" s="1222"/>
      <c r="AD71" s="1226"/>
      <c r="AE71" s="1231"/>
      <c r="AF71" s="1228"/>
      <c r="AI71" s="483" t="s">
        <v>818</v>
      </c>
      <c r="AJ71" s="482">
        <v>67.81</v>
      </c>
      <c r="AK71" s="481" t="s">
        <v>172</v>
      </c>
    </row>
    <row r="72" spans="3:44" ht="18.75" thickBot="1" x14ac:dyDescent="0.3">
      <c r="C72" s="1237" t="s">
        <v>924</v>
      </c>
      <c r="D72" s="1237" t="s">
        <v>916</v>
      </c>
      <c r="E72" s="1237" t="s">
        <v>923</v>
      </c>
      <c r="F72" s="1237" t="s">
        <v>922</v>
      </c>
      <c r="G72" s="1237" t="s">
        <v>921</v>
      </c>
      <c r="H72" s="1237" t="s">
        <v>920</v>
      </c>
      <c r="I72" s="1237" t="s">
        <v>919</v>
      </c>
      <c r="J72" s="1237" t="s">
        <v>918</v>
      </c>
      <c r="K72" s="1237" t="s">
        <v>917</v>
      </c>
      <c r="L72" s="1237" t="s">
        <v>313</v>
      </c>
      <c r="M72" s="448"/>
      <c r="X72" s="430" t="s">
        <v>830</v>
      </c>
      <c r="Y72" s="441">
        <v>0.14000000000000001</v>
      </c>
      <c r="Z72" s="441">
        <v>0.14000000000000001</v>
      </c>
      <c r="AA72" s="441">
        <v>0.28000000000000003</v>
      </c>
      <c r="AB72" s="441">
        <v>2.17</v>
      </c>
      <c r="AC72" s="441">
        <v>1.01</v>
      </c>
      <c r="AD72" s="441">
        <v>2.62</v>
      </c>
      <c r="AE72" s="441">
        <v>2.62</v>
      </c>
      <c r="AF72" s="428" t="s">
        <v>825</v>
      </c>
      <c r="AI72" s="483" t="s">
        <v>817</v>
      </c>
      <c r="AJ72" s="482">
        <v>47.33</v>
      </c>
      <c r="AK72" s="481" t="s">
        <v>172</v>
      </c>
    </row>
    <row r="73" spans="3:44" ht="18.75" thickBot="1" x14ac:dyDescent="0.3">
      <c r="C73" s="1238"/>
      <c r="D73" s="1238"/>
      <c r="E73" s="1238"/>
      <c r="F73" s="1238"/>
      <c r="G73" s="1238"/>
      <c r="H73" s="1238"/>
      <c r="I73" s="1238"/>
      <c r="J73" s="1238"/>
      <c r="K73" s="1238"/>
      <c r="L73" s="1238"/>
      <c r="M73" s="448"/>
      <c r="O73" s="480" t="s">
        <v>916</v>
      </c>
      <c r="P73" s="479" t="s">
        <v>837</v>
      </c>
      <c r="Q73" s="479" t="s">
        <v>836</v>
      </c>
      <c r="R73" s="479" t="s">
        <v>915</v>
      </c>
      <c r="X73" s="427" t="s">
        <v>828</v>
      </c>
      <c r="Y73" s="440">
        <v>16.38</v>
      </c>
      <c r="Z73" s="440">
        <v>10.59</v>
      </c>
      <c r="AA73" s="440">
        <v>10.59</v>
      </c>
      <c r="AB73" s="440">
        <v>10.59</v>
      </c>
      <c r="AC73" s="440">
        <v>10.59</v>
      </c>
      <c r="AD73" s="440">
        <v>10.59</v>
      </c>
      <c r="AE73" s="440">
        <v>6.99</v>
      </c>
      <c r="AF73" s="425" t="s">
        <v>827</v>
      </c>
      <c r="AI73" s="478" t="s">
        <v>816</v>
      </c>
      <c r="AJ73" s="477">
        <v>16.61</v>
      </c>
      <c r="AK73" s="476" t="s">
        <v>172</v>
      </c>
    </row>
    <row r="74" spans="3:44" ht="36.75" thickBot="1" x14ac:dyDescent="0.3">
      <c r="C74" s="1239"/>
      <c r="D74" s="1239"/>
      <c r="E74" s="1239"/>
      <c r="F74" s="1239"/>
      <c r="G74" s="1239"/>
      <c r="H74" s="1239"/>
      <c r="I74" s="1239"/>
      <c r="J74" s="1239"/>
      <c r="K74" s="1239"/>
      <c r="L74" s="1239"/>
      <c r="M74" s="448"/>
      <c r="O74" s="468" t="s">
        <v>914</v>
      </c>
      <c r="P74" s="461" t="s">
        <v>913</v>
      </c>
      <c r="Q74" s="461" t="s">
        <v>912</v>
      </c>
      <c r="R74" s="461" t="s">
        <v>911</v>
      </c>
      <c r="X74" s="439" t="s">
        <v>826</v>
      </c>
      <c r="Y74" s="438">
        <v>0.39</v>
      </c>
      <c r="Z74" s="438">
        <v>0.39</v>
      </c>
      <c r="AA74" s="438">
        <v>0.39</v>
      </c>
      <c r="AB74" s="438">
        <v>0.39</v>
      </c>
      <c r="AC74" s="438">
        <v>0.39</v>
      </c>
      <c r="AD74" s="438">
        <v>0.39</v>
      </c>
      <c r="AE74" s="438">
        <v>0.39</v>
      </c>
      <c r="AF74" s="437" t="s">
        <v>825</v>
      </c>
    </row>
    <row r="75" spans="3:44" ht="18.75" customHeight="1" thickBot="1" x14ac:dyDescent="0.3">
      <c r="C75" s="475">
        <v>1</v>
      </c>
      <c r="D75" s="474" t="s">
        <v>893</v>
      </c>
      <c r="E75" s="456">
        <v>67.3</v>
      </c>
      <c r="F75" s="455" t="s">
        <v>897</v>
      </c>
      <c r="G75" s="455" t="s">
        <v>863</v>
      </c>
      <c r="H75" s="455" t="s">
        <v>48</v>
      </c>
      <c r="I75" s="455" t="s">
        <v>842</v>
      </c>
      <c r="J75" s="455" t="s">
        <v>112</v>
      </c>
      <c r="K75" s="455" t="s">
        <v>876</v>
      </c>
      <c r="L75" s="454" t="s">
        <v>64</v>
      </c>
      <c r="M75" s="448"/>
      <c r="O75" s="468" t="s">
        <v>910</v>
      </c>
      <c r="P75" s="473" t="s">
        <v>909</v>
      </c>
      <c r="Q75" s="473" t="s">
        <v>908</v>
      </c>
      <c r="R75" s="473" t="s">
        <v>907</v>
      </c>
      <c r="X75" s="436" t="s">
        <v>278</v>
      </c>
      <c r="Y75" s="435">
        <f t="shared" ref="Y75:AE75" si="2">SUM(Y72:Y74)</f>
        <v>16.91</v>
      </c>
      <c r="Z75" s="435">
        <f t="shared" si="2"/>
        <v>11.120000000000001</v>
      </c>
      <c r="AA75" s="435">
        <f t="shared" si="2"/>
        <v>11.26</v>
      </c>
      <c r="AB75" s="435">
        <f t="shared" si="2"/>
        <v>13.15</v>
      </c>
      <c r="AC75" s="435">
        <f t="shared" si="2"/>
        <v>11.99</v>
      </c>
      <c r="AD75" s="435">
        <f t="shared" si="2"/>
        <v>13.600000000000001</v>
      </c>
      <c r="AE75" s="435">
        <f t="shared" si="2"/>
        <v>10</v>
      </c>
      <c r="AF75" s="434" t="s">
        <v>823</v>
      </c>
    </row>
    <row r="76" spans="3:44" ht="24.75" thickBot="1" x14ac:dyDescent="0.3">
      <c r="C76" s="453">
        <v>2</v>
      </c>
      <c r="D76" s="452" t="s">
        <v>837</v>
      </c>
      <c r="E76" s="451">
        <v>54.9</v>
      </c>
      <c r="F76" s="450" t="s">
        <v>897</v>
      </c>
      <c r="G76" s="450" t="s">
        <v>679</v>
      </c>
      <c r="H76" s="450" t="s">
        <v>48</v>
      </c>
      <c r="I76" s="450" t="s">
        <v>839</v>
      </c>
      <c r="J76" s="450" t="s">
        <v>160</v>
      </c>
      <c r="K76" s="450" t="s">
        <v>866</v>
      </c>
      <c r="L76" s="449" t="s">
        <v>873</v>
      </c>
      <c r="M76" s="448"/>
      <c r="O76" s="468" t="s">
        <v>906</v>
      </c>
      <c r="P76" s="461">
        <v>2022</v>
      </c>
      <c r="Q76" s="461">
        <v>2021</v>
      </c>
      <c r="R76" s="461">
        <v>2015</v>
      </c>
    </row>
    <row r="77" spans="3:44" ht="24.75" thickBot="1" x14ac:dyDescent="0.3">
      <c r="C77" s="458">
        <v>3</v>
      </c>
      <c r="D77" s="457" t="s">
        <v>837</v>
      </c>
      <c r="E77" s="456">
        <v>54</v>
      </c>
      <c r="F77" s="455" t="s">
        <v>897</v>
      </c>
      <c r="G77" s="455" t="s">
        <v>679</v>
      </c>
      <c r="H77" s="455" t="s">
        <v>48</v>
      </c>
      <c r="I77" s="455" t="s">
        <v>839</v>
      </c>
      <c r="J77" s="455" t="s">
        <v>160</v>
      </c>
      <c r="K77" s="455" t="s">
        <v>876</v>
      </c>
      <c r="L77" s="454" t="s">
        <v>159</v>
      </c>
      <c r="M77" s="448"/>
      <c r="O77" s="468" t="s">
        <v>905</v>
      </c>
      <c r="P77" s="464" t="s">
        <v>156</v>
      </c>
      <c r="Q77" s="464" t="s">
        <v>904</v>
      </c>
      <c r="R77" s="464" t="s">
        <v>300</v>
      </c>
    </row>
    <row r="78" spans="3:44" ht="24.75" thickBot="1" x14ac:dyDescent="0.3">
      <c r="C78" s="472">
        <v>4</v>
      </c>
      <c r="D78" s="471" t="s">
        <v>903</v>
      </c>
      <c r="E78" s="451">
        <v>257.3</v>
      </c>
      <c r="F78" s="450" t="s">
        <v>897</v>
      </c>
      <c r="G78" s="450" t="s">
        <v>679</v>
      </c>
      <c r="H78" s="450" t="s">
        <v>902</v>
      </c>
      <c r="I78" s="450" t="s">
        <v>842</v>
      </c>
      <c r="J78" s="450" t="s">
        <v>112</v>
      </c>
      <c r="K78" s="450" t="s">
        <v>876</v>
      </c>
      <c r="L78" s="449" t="s">
        <v>163</v>
      </c>
      <c r="M78" s="448"/>
      <c r="O78" s="468" t="s">
        <v>901</v>
      </c>
      <c r="P78" s="470"/>
      <c r="Q78" s="467"/>
      <c r="R78" s="467"/>
      <c r="X78" s="1223" t="s">
        <v>822</v>
      </c>
      <c r="Y78" s="1225" t="s">
        <v>900</v>
      </c>
      <c r="Z78" s="1225" t="s">
        <v>834</v>
      </c>
      <c r="AA78" s="1225" t="s">
        <v>821</v>
      </c>
      <c r="AB78" s="1221" t="s">
        <v>820</v>
      </c>
      <c r="AC78" s="1221" t="s">
        <v>819</v>
      </c>
      <c r="AD78" s="1225" t="s">
        <v>824</v>
      </c>
      <c r="AE78" s="1230" t="s">
        <v>899</v>
      </c>
      <c r="AF78" s="1227"/>
      <c r="AI78" t="s">
        <v>898</v>
      </c>
    </row>
    <row r="79" spans="3:44" ht="24.75" thickBot="1" x14ac:dyDescent="0.3">
      <c r="C79" s="458">
        <v>5</v>
      </c>
      <c r="D79" s="457" t="s">
        <v>841</v>
      </c>
      <c r="E79" s="456">
        <v>47.4</v>
      </c>
      <c r="F79" s="455" t="s">
        <v>897</v>
      </c>
      <c r="G79" s="455" t="s">
        <v>679</v>
      </c>
      <c r="H79" s="455" t="s">
        <v>48</v>
      </c>
      <c r="I79" s="455" t="s">
        <v>840</v>
      </c>
      <c r="J79" s="455" t="s">
        <v>160</v>
      </c>
      <c r="K79" s="455" t="s">
        <v>840</v>
      </c>
      <c r="L79" s="469" t="s">
        <v>896</v>
      </c>
      <c r="M79" s="448"/>
      <c r="O79" s="462" t="s">
        <v>895</v>
      </c>
      <c r="P79" s="464" t="s">
        <v>850</v>
      </c>
      <c r="Q79" s="463"/>
      <c r="R79" s="463"/>
      <c r="X79" s="1224"/>
      <c r="Y79" s="1226"/>
      <c r="Z79" s="1226"/>
      <c r="AA79" s="1226"/>
      <c r="AB79" s="1222"/>
      <c r="AC79" s="1222"/>
      <c r="AD79" s="1226"/>
      <c r="AE79" s="1231"/>
      <c r="AF79" s="1228"/>
      <c r="AI79" t="s">
        <v>894</v>
      </c>
      <c r="AJ79">
        <f>AJ74</f>
        <v>0</v>
      </c>
      <c r="AK79">
        <f t="shared" ref="AK79:AQ79" si="3">Y75</f>
        <v>16.91</v>
      </c>
      <c r="AL79">
        <f t="shared" si="3"/>
        <v>11.120000000000001</v>
      </c>
      <c r="AM79">
        <f t="shared" si="3"/>
        <v>11.26</v>
      </c>
      <c r="AN79">
        <f t="shared" si="3"/>
        <v>13.15</v>
      </c>
      <c r="AO79">
        <f t="shared" si="3"/>
        <v>11.99</v>
      </c>
      <c r="AP79">
        <f t="shared" si="3"/>
        <v>13.600000000000001</v>
      </c>
      <c r="AQ79">
        <f t="shared" si="3"/>
        <v>10</v>
      </c>
      <c r="AR79" t="s">
        <v>167</v>
      </c>
    </row>
    <row r="80" spans="3:44" ht="15.75" thickBot="1" x14ac:dyDescent="0.3">
      <c r="C80" s="453">
        <v>6</v>
      </c>
      <c r="D80" s="452" t="s">
        <v>893</v>
      </c>
      <c r="E80" s="451">
        <v>60</v>
      </c>
      <c r="F80" s="450" t="s">
        <v>881</v>
      </c>
      <c r="G80" s="450" t="s">
        <v>863</v>
      </c>
      <c r="H80" s="450" t="s">
        <v>48</v>
      </c>
      <c r="I80" s="450" t="s">
        <v>839</v>
      </c>
      <c r="J80" s="450" t="s">
        <v>160</v>
      </c>
      <c r="K80" s="450" t="s">
        <v>890</v>
      </c>
      <c r="L80" s="449" t="s">
        <v>892</v>
      </c>
      <c r="M80" s="448"/>
      <c r="O80" s="462" t="s">
        <v>17</v>
      </c>
      <c r="P80" s="461" t="s">
        <v>850</v>
      </c>
      <c r="Q80" s="461" t="s">
        <v>850</v>
      </c>
      <c r="R80" s="461" t="s">
        <v>850</v>
      </c>
      <c r="X80" s="430" t="s">
        <v>818</v>
      </c>
      <c r="Y80" s="429">
        <f>AJ71</f>
        <v>67.81</v>
      </c>
      <c r="Z80" s="429">
        <f>AJ71</f>
        <v>67.81</v>
      </c>
      <c r="AA80" s="429">
        <f>AJ71</f>
        <v>67.81</v>
      </c>
      <c r="AB80" s="429">
        <f>AJ71</f>
        <v>67.81</v>
      </c>
      <c r="AC80" s="429">
        <f>AJ71</f>
        <v>67.81</v>
      </c>
      <c r="AD80" s="429">
        <f>AJ71</f>
        <v>67.81</v>
      </c>
      <c r="AE80" s="429">
        <f>AJ71</f>
        <v>67.81</v>
      </c>
      <c r="AF80" s="428" t="s">
        <v>172</v>
      </c>
      <c r="AI80" t="s">
        <v>891</v>
      </c>
      <c r="AJ80">
        <f>2521.5</f>
        <v>2521.5</v>
      </c>
      <c r="AR80" t="s">
        <v>62</v>
      </c>
    </row>
    <row r="81" spans="3:44" ht="15.75" thickBot="1" x14ac:dyDescent="0.3">
      <c r="C81" s="458">
        <v>7</v>
      </c>
      <c r="D81" s="457" t="s">
        <v>837</v>
      </c>
      <c r="E81" s="456">
        <v>47</v>
      </c>
      <c r="F81" s="455" t="s">
        <v>881</v>
      </c>
      <c r="G81" s="455" t="s">
        <v>679</v>
      </c>
      <c r="H81" s="455" t="s">
        <v>48</v>
      </c>
      <c r="I81" s="455" t="s">
        <v>839</v>
      </c>
      <c r="J81" s="455" t="s">
        <v>160</v>
      </c>
      <c r="K81" s="455" t="s">
        <v>890</v>
      </c>
      <c r="L81" s="454" t="s">
        <v>847</v>
      </c>
      <c r="M81" s="448"/>
      <c r="O81" s="462" t="s">
        <v>889</v>
      </c>
      <c r="P81" s="464" t="s">
        <v>850</v>
      </c>
      <c r="Q81" s="464" t="s">
        <v>850</v>
      </c>
      <c r="R81" s="463"/>
      <c r="X81" s="427" t="s">
        <v>817</v>
      </c>
      <c r="Y81" s="426">
        <f t="shared" ref="Y81:AE81" si="4">0.4*Y82+0.6*Y80</f>
        <v>45.839319434372733</v>
      </c>
      <c r="Z81" s="426">
        <f t="shared" si="4"/>
        <v>44.074817984046412</v>
      </c>
      <c r="AA81" s="426">
        <f t="shared" si="4"/>
        <v>44.117482958665697</v>
      </c>
      <c r="AB81" s="426">
        <f t="shared" si="4"/>
        <v>44.693460116026102</v>
      </c>
      <c r="AC81" s="426">
        <f t="shared" si="4"/>
        <v>44.339950326323425</v>
      </c>
      <c r="AD81" s="426">
        <f t="shared" si="4"/>
        <v>44.830597534445253</v>
      </c>
      <c r="AE81" s="426">
        <f t="shared" si="4"/>
        <v>43.733498187092096</v>
      </c>
      <c r="AF81" s="425" t="s">
        <v>172</v>
      </c>
      <c r="AI81" t="s">
        <v>888</v>
      </c>
      <c r="AJ81">
        <f>AJ80*42.8</f>
        <v>107920.2</v>
      </c>
      <c r="AR81" t="s">
        <v>63</v>
      </c>
    </row>
    <row r="82" spans="3:44" ht="15.75" thickBot="1" x14ac:dyDescent="0.3">
      <c r="C82" s="453">
        <v>8</v>
      </c>
      <c r="D82" s="452" t="s">
        <v>885</v>
      </c>
      <c r="E82" s="451">
        <v>8.5</v>
      </c>
      <c r="F82" s="450" t="s">
        <v>881</v>
      </c>
      <c r="G82" s="450" t="s">
        <v>863</v>
      </c>
      <c r="H82" s="450" t="s">
        <v>48</v>
      </c>
      <c r="I82" s="450" t="s">
        <v>839</v>
      </c>
      <c r="J82" s="450" t="s">
        <v>160</v>
      </c>
      <c r="K82" s="450" t="s">
        <v>884</v>
      </c>
      <c r="L82" s="449" t="s">
        <v>883</v>
      </c>
      <c r="M82" s="448"/>
      <c r="O82" s="462" t="s">
        <v>887</v>
      </c>
      <c r="P82" s="461" t="s">
        <v>850</v>
      </c>
      <c r="Q82" s="460"/>
      <c r="R82" s="460"/>
      <c r="X82" s="424" t="s">
        <v>816</v>
      </c>
      <c r="Y82" s="423">
        <f t="shared" ref="Y82:AE82" si="5">AK85</f>
        <v>12.883298585931835</v>
      </c>
      <c r="Z82" s="423">
        <f t="shared" si="5"/>
        <v>8.4720449601160261</v>
      </c>
      <c r="AA82" s="423">
        <f t="shared" si="5"/>
        <v>8.5787073966642495</v>
      </c>
      <c r="AB82" s="423">
        <f t="shared" si="5"/>
        <v>10.018650290065263</v>
      </c>
      <c r="AC82" s="423">
        <f t="shared" si="5"/>
        <v>9.1348758158085577</v>
      </c>
      <c r="AD82" s="423">
        <f t="shared" si="5"/>
        <v>10.361493836113127</v>
      </c>
      <c r="AE82" s="423">
        <f t="shared" si="5"/>
        <v>7.6187454677302391</v>
      </c>
      <c r="AF82" s="422" t="s">
        <v>172</v>
      </c>
      <c r="AI82" t="s">
        <v>886</v>
      </c>
      <c r="AJ82">
        <f>AJ79*AJ81</f>
        <v>0</v>
      </c>
      <c r="AK82">
        <f>AK79*AJ81</f>
        <v>1824930.5819999999</v>
      </c>
      <c r="AL82">
        <f>AL79*AJ81</f>
        <v>1200072.6240000001</v>
      </c>
      <c r="AM82">
        <f>AM79*AJ81</f>
        <v>1215181.452</v>
      </c>
      <c r="AN82">
        <f>AN79*AJ81</f>
        <v>1419150.63</v>
      </c>
      <c r="AO82">
        <f>AO79*AJ81</f>
        <v>1293963.1980000001</v>
      </c>
      <c r="AP82">
        <f>AP79*AJ81</f>
        <v>1467714.7200000002</v>
      </c>
      <c r="AQ82">
        <f>AQ79*AJ81</f>
        <v>1079202</v>
      </c>
      <c r="AR82" t="s">
        <v>150</v>
      </c>
    </row>
    <row r="83" spans="3:44" ht="24.75" thickBot="1" x14ac:dyDescent="0.3">
      <c r="C83" s="458">
        <v>9</v>
      </c>
      <c r="D83" s="457" t="s">
        <v>885</v>
      </c>
      <c r="E83" s="456">
        <v>31</v>
      </c>
      <c r="F83" s="455" t="s">
        <v>881</v>
      </c>
      <c r="G83" s="455" t="s">
        <v>863</v>
      </c>
      <c r="H83" s="455" t="s">
        <v>48</v>
      </c>
      <c r="I83" s="455" t="s">
        <v>839</v>
      </c>
      <c r="J83" s="455" t="s">
        <v>160</v>
      </c>
      <c r="K83" s="455" t="s">
        <v>884</v>
      </c>
      <c r="L83" s="454" t="s">
        <v>883</v>
      </c>
      <c r="M83" s="448"/>
      <c r="O83" s="468" t="s">
        <v>882</v>
      </c>
      <c r="P83" s="467"/>
      <c r="Q83" s="467"/>
      <c r="R83" s="467"/>
      <c r="AI83" t="s">
        <v>170</v>
      </c>
      <c r="AJ83">
        <f t="shared" ref="AJ83:AO83" si="6">197*0.96</f>
        <v>189.12</v>
      </c>
      <c r="AK83">
        <f t="shared" si="6"/>
        <v>189.12</v>
      </c>
      <c r="AL83">
        <f t="shared" si="6"/>
        <v>189.12</v>
      </c>
      <c r="AM83">
        <f t="shared" si="6"/>
        <v>189.12</v>
      </c>
      <c r="AN83">
        <f t="shared" si="6"/>
        <v>189.12</v>
      </c>
      <c r="AO83">
        <f t="shared" si="6"/>
        <v>189.12</v>
      </c>
      <c r="AP83">
        <v>189.12</v>
      </c>
      <c r="AQ83">
        <v>189.12</v>
      </c>
    </row>
    <row r="84" spans="3:44" ht="24.75" thickBot="1" x14ac:dyDescent="0.3">
      <c r="C84" s="453">
        <v>10</v>
      </c>
      <c r="D84" s="452" t="s">
        <v>841</v>
      </c>
      <c r="E84" s="451">
        <v>42</v>
      </c>
      <c r="F84" s="450" t="s">
        <v>881</v>
      </c>
      <c r="G84" s="450" t="s">
        <v>679</v>
      </c>
      <c r="H84" s="450" t="s">
        <v>48</v>
      </c>
      <c r="I84" s="450" t="s">
        <v>840</v>
      </c>
      <c r="J84" s="450" t="s">
        <v>160</v>
      </c>
      <c r="K84" s="450" t="s">
        <v>840</v>
      </c>
      <c r="L84" s="449" t="s">
        <v>67</v>
      </c>
      <c r="M84" s="448"/>
      <c r="O84" s="462" t="s">
        <v>559</v>
      </c>
      <c r="P84" s="461" t="s">
        <v>850</v>
      </c>
      <c r="Q84" s="461" t="s">
        <v>850</v>
      </c>
      <c r="R84" s="460"/>
      <c r="AI84" t="s">
        <v>880</v>
      </c>
      <c r="AJ84">
        <f>749</f>
        <v>749</v>
      </c>
      <c r="AK84">
        <f>749</f>
        <v>749</v>
      </c>
      <c r="AL84">
        <f>749</f>
        <v>749</v>
      </c>
      <c r="AM84">
        <f>749</f>
        <v>749</v>
      </c>
      <c r="AN84">
        <f>749</f>
        <v>749</v>
      </c>
      <c r="AO84">
        <f>749</f>
        <v>749</v>
      </c>
      <c r="AP84">
        <f>749</f>
        <v>749</v>
      </c>
      <c r="AQ84">
        <f>749</f>
        <v>749</v>
      </c>
      <c r="AR84" t="s">
        <v>78</v>
      </c>
    </row>
    <row r="85" spans="3:44" ht="15.75" thickBot="1" x14ac:dyDescent="0.3">
      <c r="C85" s="458">
        <v>11</v>
      </c>
      <c r="D85" s="457" t="s">
        <v>837</v>
      </c>
      <c r="E85" s="456">
        <v>39.5</v>
      </c>
      <c r="F85" s="455" t="s">
        <v>868</v>
      </c>
      <c r="G85" s="455" t="s">
        <v>679</v>
      </c>
      <c r="H85" s="455" t="s">
        <v>48</v>
      </c>
      <c r="I85" s="455" t="s">
        <v>839</v>
      </c>
      <c r="J85" s="455" t="s">
        <v>160</v>
      </c>
      <c r="K85" s="455" t="s">
        <v>876</v>
      </c>
      <c r="L85" s="454" t="s">
        <v>159</v>
      </c>
      <c r="M85" s="448"/>
      <c r="O85" s="462" t="s">
        <v>557</v>
      </c>
      <c r="P85" s="464" t="s">
        <v>850</v>
      </c>
      <c r="Q85" s="464" t="s">
        <v>850</v>
      </c>
      <c r="R85" s="464" t="s">
        <v>850</v>
      </c>
      <c r="AI85" t="s">
        <v>879</v>
      </c>
      <c r="AJ85">
        <f t="shared" ref="AJ85:AQ85" si="7">AJ82/(AJ83*AJ84)</f>
        <v>0</v>
      </c>
      <c r="AK85">
        <f t="shared" si="7"/>
        <v>12.883298585931835</v>
      </c>
      <c r="AL85">
        <f t="shared" si="7"/>
        <v>8.4720449601160261</v>
      </c>
      <c r="AM85">
        <f t="shared" si="7"/>
        <v>8.5787073966642495</v>
      </c>
      <c r="AN85">
        <f t="shared" si="7"/>
        <v>10.018650290065263</v>
      </c>
      <c r="AO85">
        <f t="shared" si="7"/>
        <v>9.1348758158085577</v>
      </c>
      <c r="AP85">
        <f t="shared" si="7"/>
        <v>10.361493836113127</v>
      </c>
      <c r="AQ85">
        <f t="shared" si="7"/>
        <v>7.6187454677302391</v>
      </c>
      <c r="AR85" t="s">
        <v>172</v>
      </c>
    </row>
    <row r="86" spans="3:44" ht="15.75" thickBot="1" x14ac:dyDescent="0.3">
      <c r="C86" s="453">
        <v>12</v>
      </c>
      <c r="D86" s="452" t="s">
        <v>837</v>
      </c>
      <c r="E86" s="451">
        <v>37.5</v>
      </c>
      <c r="F86" s="450" t="s">
        <v>868</v>
      </c>
      <c r="G86" s="450" t="s">
        <v>679</v>
      </c>
      <c r="H86" s="450" t="s">
        <v>48</v>
      </c>
      <c r="I86" s="450" t="s">
        <v>839</v>
      </c>
      <c r="J86" s="450" t="s">
        <v>160</v>
      </c>
      <c r="K86" s="450" t="s">
        <v>156</v>
      </c>
      <c r="L86" s="449" t="s">
        <v>870</v>
      </c>
      <c r="M86" s="448"/>
      <c r="O86" s="462" t="s">
        <v>558</v>
      </c>
      <c r="P86" s="461" t="s">
        <v>850</v>
      </c>
      <c r="Q86" s="461" t="s">
        <v>850</v>
      </c>
      <c r="R86" s="460"/>
    </row>
    <row r="87" spans="3:44" ht="15.75" thickBot="1" x14ac:dyDescent="0.3">
      <c r="C87" s="458">
        <v>13</v>
      </c>
      <c r="D87" s="457" t="s">
        <v>837</v>
      </c>
      <c r="E87" s="456">
        <v>34.119999999999997</v>
      </c>
      <c r="F87" s="455" t="s">
        <v>868</v>
      </c>
      <c r="G87" s="455" t="s">
        <v>863</v>
      </c>
      <c r="H87" s="455" t="s">
        <v>48</v>
      </c>
      <c r="I87" s="455" t="s">
        <v>839</v>
      </c>
      <c r="J87" s="455" t="s">
        <v>112</v>
      </c>
      <c r="K87" s="455" t="s">
        <v>156</v>
      </c>
      <c r="L87" s="454" t="s">
        <v>878</v>
      </c>
      <c r="M87" s="448"/>
      <c r="O87" s="462" t="s">
        <v>877</v>
      </c>
      <c r="P87" s="464" t="s">
        <v>850</v>
      </c>
      <c r="Q87" s="464" t="s">
        <v>850</v>
      </c>
      <c r="R87" s="463"/>
    </row>
    <row r="88" spans="3:44" ht="15.75" thickBot="1" x14ac:dyDescent="0.3">
      <c r="C88" s="453">
        <v>14</v>
      </c>
      <c r="D88" s="452" t="s">
        <v>837</v>
      </c>
      <c r="E88" s="451">
        <v>37</v>
      </c>
      <c r="F88" s="450" t="s">
        <v>868</v>
      </c>
      <c r="G88" s="450" t="s">
        <v>679</v>
      </c>
      <c r="H88" s="450" t="s">
        <v>48</v>
      </c>
      <c r="I88" s="450" t="s">
        <v>839</v>
      </c>
      <c r="J88" s="450" t="s">
        <v>160</v>
      </c>
      <c r="K88" s="450" t="s">
        <v>876</v>
      </c>
      <c r="L88" s="449" t="s">
        <v>873</v>
      </c>
      <c r="M88" s="448"/>
      <c r="O88" s="462" t="s">
        <v>875</v>
      </c>
      <c r="P88" s="461" t="s">
        <v>850</v>
      </c>
      <c r="Q88" s="461" t="s">
        <v>850</v>
      </c>
      <c r="R88" s="460"/>
      <c r="AC88" s="466"/>
      <c r="AD88" s="466"/>
      <c r="AE88" s="466"/>
      <c r="AF88" s="466"/>
    </row>
    <row r="89" spans="3:44" ht="15.75" thickBot="1" x14ac:dyDescent="0.3">
      <c r="C89" s="458">
        <v>15</v>
      </c>
      <c r="D89" s="457" t="s">
        <v>837</v>
      </c>
      <c r="E89" s="456">
        <v>97.8</v>
      </c>
      <c r="F89" s="455" t="s">
        <v>868</v>
      </c>
      <c r="G89" s="455" t="s">
        <v>679</v>
      </c>
      <c r="H89" s="455" t="s">
        <v>874</v>
      </c>
      <c r="I89" s="455" t="s">
        <v>839</v>
      </c>
      <c r="J89" s="455" t="s">
        <v>160</v>
      </c>
      <c r="K89" s="455" t="s">
        <v>156</v>
      </c>
      <c r="L89" s="454" t="s">
        <v>873</v>
      </c>
      <c r="M89" s="448"/>
      <c r="O89" s="462" t="s">
        <v>872</v>
      </c>
      <c r="P89" s="464" t="s">
        <v>850</v>
      </c>
      <c r="Q89" s="464" t="s">
        <v>850</v>
      </c>
      <c r="R89" s="463"/>
      <c r="AC89" s="1221" t="s">
        <v>824</v>
      </c>
      <c r="AD89" s="1221" t="s">
        <v>821</v>
      </c>
      <c r="AE89" s="1221" t="s">
        <v>819</v>
      </c>
      <c r="AF89" s="1221" t="s">
        <v>820</v>
      </c>
      <c r="AG89" s="466"/>
    </row>
    <row r="90" spans="3:44" ht="15.75" thickBot="1" x14ac:dyDescent="0.3">
      <c r="C90" s="453">
        <v>16</v>
      </c>
      <c r="D90" s="452" t="s">
        <v>837</v>
      </c>
      <c r="E90" s="451">
        <v>314.39999999999998</v>
      </c>
      <c r="F90" s="450" t="s">
        <v>868</v>
      </c>
      <c r="G90" s="450" t="s">
        <v>679</v>
      </c>
      <c r="H90" s="450" t="s">
        <v>871</v>
      </c>
      <c r="I90" s="450" t="s">
        <v>839</v>
      </c>
      <c r="J90" s="450" t="s">
        <v>160</v>
      </c>
      <c r="K90" s="450" t="s">
        <v>156</v>
      </c>
      <c r="L90" s="449" t="s">
        <v>870</v>
      </c>
      <c r="M90" s="448"/>
      <c r="O90" s="462" t="s">
        <v>869</v>
      </c>
      <c r="P90" s="461" t="s">
        <v>850</v>
      </c>
      <c r="Q90" s="461" t="s">
        <v>850</v>
      </c>
      <c r="R90" s="460"/>
      <c r="AC90" s="1222"/>
      <c r="AD90" s="1222"/>
      <c r="AE90" s="1222"/>
      <c r="AF90" s="1222"/>
      <c r="AJ90">
        <f>197*0.96</f>
        <v>189.12</v>
      </c>
    </row>
    <row r="91" spans="3:44" ht="24.75" thickBot="1" x14ac:dyDescent="0.3">
      <c r="C91" s="458">
        <v>17</v>
      </c>
      <c r="D91" s="457" t="s">
        <v>841</v>
      </c>
      <c r="E91" s="456">
        <v>40.4</v>
      </c>
      <c r="F91" s="455" t="s">
        <v>868</v>
      </c>
      <c r="G91" s="455" t="s">
        <v>679</v>
      </c>
      <c r="H91" s="455" t="s">
        <v>48</v>
      </c>
      <c r="I91" s="455" t="s">
        <v>840</v>
      </c>
      <c r="J91" s="455" t="s">
        <v>160</v>
      </c>
      <c r="K91" s="455" t="s">
        <v>840</v>
      </c>
      <c r="L91" s="465" t="s">
        <v>67</v>
      </c>
      <c r="M91" s="448"/>
      <c r="O91" s="462" t="s">
        <v>867</v>
      </c>
      <c r="P91" s="464" t="s">
        <v>850</v>
      </c>
      <c r="Q91" s="463"/>
      <c r="R91" s="463"/>
      <c r="AC91" s="433">
        <v>2.62</v>
      </c>
      <c r="AD91">
        <v>0.28000000000000003</v>
      </c>
      <c r="AE91">
        <v>1.01</v>
      </c>
      <c r="AF91">
        <v>2.17</v>
      </c>
    </row>
    <row r="92" spans="3:44" ht="15.75" thickBot="1" x14ac:dyDescent="0.3">
      <c r="C92" s="453">
        <v>18</v>
      </c>
      <c r="D92" s="452" t="s">
        <v>837</v>
      </c>
      <c r="E92" s="451">
        <v>44</v>
      </c>
      <c r="F92" s="450" t="s">
        <v>558</v>
      </c>
      <c r="G92" s="450" t="s">
        <v>679</v>
      </c>
      <c r="H92" s="450" t="s">
        <v>48</v>
      </c>
      <c r="I92" s="450" t="s">
        <v>839</v>
      </c>
      <c r="J92" s="450" t="s">
        <v>160</v>
      </c>
      <c r="K92" s="450" t="s">
        <v>866</v>
      </c>
      <c r="L92" s="449" t="s">
        <v>865</v>
      </c>
      <c r="M92" s="448"/>
      <c r="O92" s="462" t="s">
        <v>864</v>
      </c>
      <c r="P92" s="460"/>
      <c r="Q92" s="460"/>
      <c r="R92" s="461" t="s">
        <v>850</v>
      </c>
      <c r="AC92" s="432">
        <v>10.59</v>
      </c>
      <c r="AD92" s="432">
        <v>10.59</v>
      </c>
      <c r="AE92" s="432">
        <v>10.59</v>
      </c>
      <c r="AF92" s="432">
        <v>10.59</v>
      </c>
    </row>
    <row r="93" spans="3:44" ht="24.75" thickBot="1" x14ac:dyDescent="0.3">
      <c r="C93" s="458">
        <v>19</v>
      </c>
      <c r="D93" s="457" t="s">
        <v>862</v>
      </c>
      <c r="E93" s="456">
        <v>43</v>
      </c>
      <c r="F93" s="455" t="s">
        <v>558</v>
      </c>
      <c r="G93" s="455" t="s">
        <v>863</v>
      </c>
      <c r="H93" s="455" t="s">
        <v>48</v>
      </c>
      <c r="I93" s="455" t="s">
        <v>839</v>
      </c>
      <c r="J93" s="455" t="s">
        <v>160</v>
      </c>
      <c r="K93" s="455" t="s">
        <v>860</v>
      </c>
      <c r="L93" s="454" t="s">
        <v>859</v>
      </c>
      <c r="M93" s="448"/>
      <c r="O93" s="462" t="s">
        <v>317</v>
      </c>
      <c r="P93" s="463"/>
      <c r="Q93" s="463"/>
      <c r="R93" s="464" t="s">
        <v>850</v>
      </c>
      <c r="AC93" s="431">
        <v>0.39</v>
      </c>
      <c r="AD93" s="431">
        <v>0.39</v>
      </c>
      <c r="AE93" s="431">
        <v>0.39</v>
      </c>
      <c r="AF93" s="431">
        <v>0.39</v>
      </c>
    </row>
    <row r="94" spans="3:44" ht="24.75" thickBot="1" x14ac:dyDescent="0.3">
      <c r="C94" s="453">
        <v>20</v>
      </c>
      <c r="D94" s="452" t="s">
        <v>862</v>
      </c>
      <c r="E94" s="451">
        <v>-12</v>
      </c>
      <c r="F94" s="450" t="s">
        <v>558</v>
      </c>
      <c r="G94" s="450" t="s">
        <v>863</v>
      </c>
      <c r="H94" s="450" t="s">
        <v>861</v>
      </c>
      <c r="I94" s="450" t="s">
        <v>839</v>
      </c>
      <c r="J94" s="450" t="s">
        <v>160</v>
      </c>
      <c r="K94" s="450" t="s">
        <v>860</v>
      </c>
      <c r="L94" s="449" t="s">
        <v>859</v>
      </c>
      <c r="M94" s="448"/>
      <c r="O94" s="462" t="s">
        <v>19</v>
      </c>
      <c r="P94" s="461" t="s">
        <v>857</v>
      </c>
      <c r="Q94" s="461" t="s">
        <v>850</v>
      </c>
      <c r="R94" s="460"/>
      <c r="AC94">
        <f>SUM(AC91:AC93)</f>
        <v>13.600000000000001</v>
      </c>
      <c r="AD94">
        <f>SUM(AD91:AD93)</f>
        <v>11.26</v>
      </c>
      <c r="AE94">
        <f>SUM(AE91:AE93)</f>
        <v>11.99</v>
      </c>
      <c r="AF94">
        <f>SUM(AF91:AF93)</f>
        <v>13.15</v>
      </c>
    </row>
    <row r="95" spans="3:44" ht="24.75" thickBot="1" x14ac:dyDescent="0.3">
      <c r="C95" s="458">
        <v>21</v>
      </c>
      <c r="D95" s="457" t="s">
        <v>862</v>
      </c>
      <c r="E95" s="456">
        <v>36</v>
      </c>
      <c r="F95" s="455" t="s">
        <v>558</v>
      </c>
      <c r="G95" s="455" t="s">
        <v>679</v>
      </c>
      <c r="H95" s="455" t="s">
        <v>861</v>
      </c>
      <c r="I95" s="455" t="s">
        <v>839</v>
      </c>
      <c r="J95" s="455" t="s">
        <v>160</v>
      </c>
      <c r="K95" s="455" t="s">
        <v>860</v>
      </c>
      <c r="L95" s="454" t="s">
        <v>859</v>
      </c>
      <c r="M95" s="448"/>
      <c r="O95" s="462" t="s">
        <v>858</v>
      </c>
      <c r="P95" s="464" t="s">
        <v>857</v>
      </c>
      <c r="Q95" s="464" t="s">
        <v>850</v>
      </c>
      <c r="R95" s="463"/>
    </row>
    <row r="96" spans="3:44" ht="15.75" thickBot="1" x14ac:dyDescent="0.3">
      <c r="C96" s="453">
        <v>22</v>
      </c>
      <c r="D96" s="452" t="s">
        <v>837</v>
      </c>
      <c r="E96" s="451">
        <v>53</v>
      </c>
      <c r="F96" s="450" t="s">
        <v>558</v>
      </c>
      <c r="G96" s="450" t="s">
        <v>679</v>
      </c>
      <c r="H96" s="450" t="s">
        <v>856</v>
      </c>
      <c r="I96" s="450" t="s">
        <v>839</v>
      </c>
      <c r="J96" s="450" t="s">
        <v>160</v>
      </c>
      <c r="K96" s="450" t="s">
        <v>849</v>
      </c>
      <c r="L96" s="449" t="s">
        <v>164</v>
      </c>
      <c r="M96" s="448"/>
      <c r="O96" s="462" t="s">
        <v>855</v>
      </c>
      <c r="P96" s="460"/>
      <c r="Q96" s="461" t="s">
        <v>850</v>
      </c>
      <c r="R96" s="460"/>
    </row>
    <row r="97" spans="3:41" ht="15.75" thickBot="1" x14ac:dyDescent="0.3">
      <c r="C97" s="458">
        <v>23</v>
      </c>
      <c r="D97" s="457" t="s">
        <v>854</v>
      </c>
      <c r="E97" s="456">
        <v>41</v>
      </c>
      <c r="F97" s="455" t="s">
        <v>558</v>
      </c>
      <c r="G97" s="455" t="s">
        <v>679</v>
      </c>
      <c r="H97" s="455" t="s">
        <v>853</v>
      </c>
      <c r="I97" s="455" t="s">
        <v>839</v>
      </c>
      <c r="J97" s="455" t="s">
        <v>160</v>
      </c>
      <c r="K97" s="455" t="s">
        <v>849</v>
      </c>
      <c r="L97" s="454" t="s">
        <v>164</v>
      </c>
      <c r="M97" s="448"/>
      <c r="O97" s="462" t="s">
        <v>852</v>
      </c>
      <c r="P97" s="463"/>
      <c r="Q97" s="464" t="s">
        <v>850</v>
      </c>
      <c r="R97" s="463"/>
    </row>
    <row r="98" spans="3:41" ht="15.75" thickBot="1" x14ac:dyDescent="0.3">
      <c r="C98" s="453">
        <v>24</v>
      </c>
      <c r="D98" s="452" t="s">
        <v>837</v>
      </c>
      <c r="E98" s="451">
        <v>48</v>
      </c>
      <c r="F98" s="450" t="s">
        <v>558</v>
      </c>
      <c r="G98" s="450" t="s">
        <v>679</v>
      </c>
      <c r="H98" s="450" t="s">
        <v>48</v>
      </c>
      <c r="I98" s="450" t="s">
        <v>839</v>
      </c>
      <c r="J98" s="450" t="s">
        <v>160</v>
      </c>
      <c r="K98" s="450" t="s">
        <v>849</v>
      </c>
      <c r="L98" s="449" t="s">
        <v>164</v>
      </c>
      <c r="M98" s="448"/>
      <c r="O98" s="462" t="s">
        <v>851</v>
      </c>
      <c r="P98" s="460"/>
      <c r="Q98" s="461" t="s">
        <v>850</v>
      </c>
      <c r="R98" s="460"/>
    </row>
    <row r="99" spans="3:41" ht="15.75" thickBot="1" x14ac:dyDescent="0.3">
      <c r="C99" s="458">
        <v>25</v>
      </c>
      <c r="D99" s="457" t="s">
        <v>836</v>
      </c>
      <c r="E99" s="456">
        <v>38</v>
      </c>
      <c r="F99" s="455" t="s">
        <v>558</v>
      </c>
      <c r="G99" s="455" t="s">
        <v>679</v>
      </c>
      <c r="H99" s="455" t="s">
        <v>48</v>
      </c>
      <c r="I99" s="455" t="s">
        <v>839</v>
      </c>
      <c r="J99" s="455" t="s">
        <v>160</v>
      </c>
      <c r="K99" s="455" t="s">
        <v>849</v>
      </c>
      <c r="L99" s="454" t="s">
        <v>164</v>
      </c>
      <c r="M99" s="448"/>
      <c r="AI99" t="s">
        <v>848</v>
      </c>
    </row>
    <row r="100" spans="3:41" ht="15.75" thickBot="1" x14ac:dyDescent="0.3">
      <c r="C100" s="453">
        <v>26</v>
      </c>
      <c r="D100" s="452" t="s">
        <v>837</v>
      </c>
      <c r="E100" s="451">
        <v>27</v>
      </c>
      <c r="F100" s="450" t="s">
        <v>19</v>
      </c>
      <c r="G100" s="450" t="s">
        <v>679</v>
      </c>
      <c r="H100" s="450" t="s">
        <v>840</v>
      </c>
      <c r="I100" s="450" t="s">
        <v>839</v>
      </c>
      <c r="J100" s="450" t="s">
        <v>160</v>
      </c>
      <c r="K100" s="450" t="s">
        <v>156</v>
      </c>
      <c r="L100" s="449" t="s">
        <v>847</v>
      </c>
      <c r="M100" s="448"/>
      <c r="AJ100" t="s">
        <v>846</v>
      </c>
      <c r="AK100" t="s">
        <v>845</v>
      </c>
      <c r="AL100" t="s">
        <v>844</v>
      </c>
      <c r="AM100" t="s">
        <v>843</v>
      </c>
    </row>
    <row r="101" spans="3:41" ht="15.75" thickBot="1" x14ac:dyDescent="0.3">
      <c r="C101" s="458">
        <v>27</v>
      </c>
      <c r="D101" s="457" t="s">
        <v>837</v>
      </c>
      <c r="E101" s="456">
        <v>16.8</v>
      </c>
      <c r="F101" s="455" t="s">
        <v>19</v>
      </c>
      <c r="G101" s="455" t="s">
        <v>679</v>
      </c>
      <c r="H101" s="455" t="s">
        <v>840</v>
      </c>
      <c r="I101" s="455" t="s">
        <v>839</v>
      </c>
      <c r="J101" s="455" t="s">
        <v>160</v>
      </c>
      <c r="K101" s="455" t="s">
        <v>156</v>
      </c>
      <c r="L101" s="454" t="s">
        <v>60</v>
      </c>
      <c r="M101" s="448"/>
      <c r="AI101" t="s">
        <v>13</v>
      </c>
      <c r="AJ101" s="144">
        <v>16.38</v>
      </c>
      <c r="AK101" s="144">
        <v>10.59</v>
      </c>
      <c r="AL101" s="144">
        <v>10.7</v>
      </c>
      <c r="AM101">
        <v>6.99</v>
      </c>
      <c r="AN101" s="144">
        <v>16.91</v>
      </c>
    </row>
    <row r="102" spans="3:41" ht="15.75" thickBot="1" x14ac:dyDescent="0.3">
      <c r="C102" s="453">
        <v>28</v>
      </c>
      <c r="D102" s="452" t="s">
        <v>837</v>
      </c>
      <c r="E102" s="451">
        <v>19.399999999999999</v>
      </c>
      <c r="F102" s="450" t="s">
        <v>19</v>
      </c>
      <c r="G102" s="450" t="s">
        <v>679</v>
      </c>
      <c r="H102" s="450" t="s">
        <v>840</v>
      </c>
      <c r="I102" s="450" t="s">
        <v>839</v>
      </c>
      <c r="J102" s="450" t="s">
        <v>160</v>
      </c>
      <c r="K102" s="450" t="s">
        <v>156</v>
      </c>
      <c r="L102" s="449" t="s">
        <v>60</v>
      </c>
      <c r="M102" s="448"/>
      <c r="AI102" t="s">
        <v>842</v>
      </c>
      <c r="AJ102" s="459">
        <v>7.51</v>
      </c>
      <c r="AK102" s="459">
        <v>11.08</v>
      </c>
      <c r="AL102" s="459">
        <v>10.220000000000001</v>
      </c>
      <c r="AM102" s="459">
        <v>7.21</v>
      </c>
    </row>
    <row r="103" spans="3:41" ht="15.75" thickBot="1" x14ac:dyDescent="0.3">
      <c r="C103" s="458">
        <v>29</v>
      </c>
      <c r="D103" s="457" t="s">
        <v>837</v>
      </c>
      <c r="E103" s="456">
        <v>21.4</v>
      </c>
      <c r="F103" s="455" t="s">
        <v>19</v>
      </c>
      <c r="G103" s="455" t="s">
        <v>679</v>
      </c>
      <c r="H103" s="455" t="s">
        <v>840</v>
      </c>
      <c r="I103" s="455" t="s">
        <v>839</v>
      </c>
      <c r="J103" s="455" t="s">
        <v>160</v>
      </c>
      <c r="K103" s="455" t="s">
        <v>156</v>
      </c>
      <c r="L103" s="454" t="s">
        <v>60</v>
      </c>
      <c r="M103" s="448"/>
      <c r="AI103" t="s">
        <v>202</v>
      </c>
      <c r="AK103" s="144">
        <v>10.5</v>
      </c>
      <c r="AL103" s="144"/>
      <c r="AM103" s="144"/>
    </row>
    <row r="104" spans="3:41" ht="24.75" thickBot="1" x14ac:dyDescent="0.3">
      <c r="C104" s="453">
        <v>30</v>
      </c>
      <c r="D104" s="452" t="s">
        <v>841</v>
      </c>
      <c r="E104" s="451">
        <v>13.9</v>
      </c>
      <c r="F104" s="450" t="s">
        <v>19</v>
      </c>
      <c r="G104" s="450" t="s">
        <v>679</v>
      </c>
      <c r="H104" s="450" t="s">
        <v>840</v>
      </c>
      <c r="I104" s="450" t="s">
        <v>839</v>
      </c>
      <c r="J104" s="450" t="s">
        <v>160</v>
      </c>
      <c r="K104" s="450" t="s">
        <v>156</v>
      </c>
      <c r="L104" s="449" t="s">
        <v>67</v>
      </c>
      <c r="M104" s="448"/>
      <c r="AI104" t="s">
        <v>838</v>
      </c>
      <c r="AK104" s="144">
        <v>12.89</v>
      </c>
      <c r="AL104" s="144"/>
      <c r="AM104" s="144"/>
    </row>
    <row r="105" spans="3:41" x14ac:dyDescent="0.25">
      <c r="AI105" t="s">
        <v>837</v>
      </c>
      <c r="AK105" s="144">
        <v>15.26</v>
      </c>
      <c r="AL105" s="144"/>
      <c r="AM105" s="144"/>
    </row>
    <row r="106" spans="3:41" x14ac:dyDescent="0.25">
      <c r="AI106" t="s">
        <v>836</v>
      </c>
      <c r="AK106" s="144">
        <v>15.66</v>
      </c>
      <c r="AL106" s="144"/>
      <c r="AM106" s="144"/>
    </row>
    <row r="108" spans="3:41" ht="15.75" thickBot="1" x14ac:dyDescent="0.3"/>
    <row r="109" spans="3:41" x14ac:dyDescent="0.25">
      <c r="AI109" s="1232" t="s">
        <v>831</v>
      </c>
      <c r="AJ109" s="1221" t="s">
        <v>835</v>
      </c>
      <c r="AK109" s="1221" t="s">
        <v>834</v>
      </c>
      <c r="AL109" s="1221" t="s">
        <v>824</v>
      </c>
      <c r="AM109" s="1221" t="s">
        <v>833</v>
      </c>
      <c r="AN109" s="1221" t="s">
        <v>832</v>
      </c>
      <c r="AO109" s="448"/>
    </row>
    <row r="110" spans="3:41" ht="15.75" thickBot="1" x14ac:dyDescent="0.3">
      <c r="AI110" s="1233"/>
      <c r="AJ110" s="1222"/>
      <c r="AK110" s="1222"/>
      <c r="AL110" s="1222"/>
      <c r="AM110" s="1222"/>
      <c r="AN110" s="1229"/>
      <c r="AO110" s="448"/>
    </row>
    <row r="111" spans="3:41" ht="18.75" thickBot="1" x14ac:dyDescent="0.3">
      <c r="AI111" s="447" t="s">
        <v>830</v>
      </c>
      <c r="AJ111" s="433">
        <v>0.14000000000000001</v>
      </c>
      <c r="AK111" s="433">
        <v>0.14000000000000001</v>
      </c>
      <c r="AL111" s="433">
        <v>2.62</v>
      </c>
      <c r="AM111" s="433">
        <v>2.62</v>
      </c>
      <c r="AO111" s="446" t="s">
        <v>827</v>
      </c>
    </row>
    <row r="112" spans="3:41" ht="18.75" thickBot="1" x14ac:dyDescent="0.3">
      <c r="X112" s="1223" t="s">
        <v>831</v>
      </c>
      <c r="Y112" s="1221" t="s">
        <v>821</v>
      </c>
      <c r="Z112" s="1221" t="s">
        <v>820</v>
      </c>
      <c r="AA112" s="1221" t="s">
        <v>819</v>
      </c>
      <c r="AB112" s="1227"/>
      <c r="AI112" s="445" t="s">
        <v>828</v>
      </c>
      <c r="AJ112" s="432">
        <v>16.38</v>
      </c>
      <c r="AK112" s="432">
        <v>10.59</v>
      </c>
      <c r="AL112" s="432">
        <v>10.59</v>
      </c>
      <c r="AM112" s="432">
        <v>6.99</v>
      </c>
      <c r="AO112" s="444" t="s">
        <v>827</v>
      </c>
    </row>
    <row r="113" spans="24:41" ht="18.75" thickBot="1" x14ac:dyDescent="0.3">
      <c r="X113" s="1224"/>
      <c r="Y113" s="1222"/>
      <c r="Z113" s="1222"/>
      <c r="AA113" s="1222"/>
      <c r="AB113" s="1228"/>
      <c r="AI113" s="443" t="s">
        <v>826</v>
      </c>
      <c r="AJ113" s="431">
        <v>0.39</v>
      </c>
      <c r="AK113" s="431">
        <v>0.39</v>
      </c>
      <c r="AL113" s="431">
        <v>0.39</v>
      </c>
      <c r="AM113" s="431">
        <v>0.39</v>
      </c>
      <c r="AO113" s="442" t="s">
        <v>827</v>
      </c>
    </row>
    <row r="114" spans="24:41" ht="18" x14ac:dyDescent="0.25">
      <c r="X114" s="430" t="s">
        <v>830</v>
      </c>
      <c r="Y114" s="441">
        <v>0.28000000000000003</v>
      </c>
      <c r="Z114" s="441">
        <v>2.17</v>
      </c>
      <c r="AA114" s="441">
        <v>1.01</v>
      </c>
      <c r="AB114" s="428" t="s">
        <v>825</v>
      </c>
      <c r="AI114" t="s">
        <v>829</v>
      </c>
      <c r="AJ114">
        <f>SUM(AJ111:AJ113)</f>
        <v>16.91</v>
      </c>
      <c r="AK114">
        <f>SUM(AK111:AK113)</f>
        <v>11.120000000000001</v>
      </c>
      <c r="AL114">
        <f>SUM(AL111:AL113)</f>
        <v>13.600000000000001</v>
      </c>
      <c r="AM114">
        <f>SUM(AM111:AM113)</f>
        <v>10</v>
      </c>
      <c r="AN114">
        <v>10.220000000000001</v>
      </c>
    </row>
    <row r="115" spans="24:41" ht="18.75" thickBot="1" x14ac:dyDescent="0.3">
      <c r="X115" s="427" t="s">
        <v>828</v>
      </c>
      <c r="Y115" s="440">
        <v>10.59</v>
      </c>
      <c r="Z115" s="440">
        <v>10.59</v>
      </c>
      <c r="AA115" s="440">
        <v>10.59</v>
      </c>
      <c r="AB115" s="425" t="s">
        <v>827</v>
      </c>
    </row>
    <row r="116" spans="24:41" ht="18.75" thickBot="1" x14ac:dyDescent="0.3">
      <c r="X116" s="439" t="s">
        <v>826</v>
      </c>
      <c r="Y116" s="438">
        <v>0.39</v>
      </c>
      <c r="Z116" s="438">
        <v>0.39</v>
      </c>
      <c r="AA116" s="438">
        <v>0.39</v>
      </c>
      <c r="AB116" s="437" t="s">
        <v>825</v>
      </c>
      <c r="AL116" s="1221" t="s">
        <v>824</v>
      </c>
      <c r="AM116" s="1221" t="s">
        <v>821</v>
      </c>
      <c r="AN116" s="1221" t="s">
        <v>819</v>
      </c>
      <c r="AO116" s="1221" t="s">
        <v>820</v>
      </c>
    </row>
    <row r="117" spans="24:41" ht="18.75" thickBot="1" x14ac:dyDescent="0.3">
      <c r="X117" s="436" t="s">
        <v>278</v>
      </c>
      <c r="Y117" s="435">
        <f>SUM(Y114:Y116)</f>
        <v>11.26</v>
      </c>
      <c r="Z117" s="435">
        <f>SUM(Z114:Z116)</f>
        <v>13.15</v>
      </c>
      <c r="AA117" s="435">
        <f>SUM(AA114:AA116)</f>
        <v>11.99</v>
      </c>
      <c r="AB117" s="434" t="s">
        <v>823</v>
      </c>
      <c r="AL117" s="1222"/>
      <c r="AM117" s="1222"/>
      <c r="AN117" s="1222"/>
      <c r="AO117" s="1222"/>
    </row>
    <row r="118" spans="24:41" ht="15.75" thickBot="1" x14ac:dyDescent="0.3">
      <c r="X118" s="430" t="s">
        <v>818</v>
      </c>
      <c r="Y118" s="429">
        <f>AH104</f>
        <v>0</v>
      </c>
      <c r="Z118" s="429">
        <f>AH104</f>
        <v>0</v>
      </c>
      <c r="AA118" s="429">
        <f>AH104</f>
        <v>0</v>
      </c>
      <c r="AB118" s="428" t="s">
        <v>172</v>
      </c>
      <c r="AL118" s="433">
        <v>2.62</v>
      </c>
      <c r="AM118">
        <v>0.28000000000000003</v>
      </c>
      <c r="AN118">
        <v>1.01</v>
      </c>
      <c r="AO118">
        <v>2.17</v>
      </c>
    </row>
    <row r="119" spans="24:41" ht="15.75" thickBot="1" x14ac:dyDescent="0.3">
      <c r="X119" s="427" t="s">
        <v>817</v>
      </c>
      <c r="Y119" s="426">
        <f>0.4*Y120+0.6*Y118</f>
        <v>0</v>
      </c>
      <c r="Z119" s="426">
        <f>0.4*Z120+0.6*Z118</f>
        <v>1.048</v>
      </c>
      <c r="AA119" s="426">
        <f>0.4*AA120+0.6*AA118</f>
        <v>0.11200000000000002</v>
      </c>
      <c r="AB119" s="425" t="s">
        <v>172</v>
      </c>
      <c r="AL119" s="432">
        <v>10.59</v>
      </c>
      <c r="AM119" s="432">
        <v>10.59</v>
      </c>
      <c r="AN119" s="432">
        <v>10.59</v>
      </c>
      <c r="AO119" s="432">
        <v>10.59</v>
      </c>
    </row>
    <row r="120" spans="24:41" ht="15.75" thickBot="1" x14ac:dyDescent="0.3">
      <c r="X120" s="424" t="s">
        <v>816</v>
      </c>
      <c r="Y120" s="423">
        <f>AK118</f>
        <v>0</v>
      </c>
      <c r="Z120" s="423">
        <f>AL118</f>
        <v>2.62</v>
      </c>
      <c r="AA120" s="423">
        <f>AM118</f>
        <v>0.28000000000000003</v>
      </c>
      <c r="AB120" s="422" t="s">
        <v>172</v>
      </c>
      <c r="AL120" s="431">
        <v>0.39</v>
      </c>
      <c r="AM120" s="431">
        <v>0.39</v>
      </c>
      <c r="AN120" s="431">
        <v>0.39</v>
      </c>
      <c r="AO120" s="431">
        <v>0.39</v>
      </c>
    </row>
    <row r="121" spans="24:41" x14ac:dyDescent="0.25">
      <c r="AL121">
        <f>SUM(AL118:AL120)</f>
        <v>13.600000000000001</v>
      </c>
      <c r="AM121">
        <f>SUM(AM118:AM120)</f>
        <v>11.26</v>
      </c>
      <c r="AN121">
        <f>SUM(AN118:AN120)</f>
        <v>11.99</v>
      </c>
      <c r="AO121">
        <f>SUM(AO118:AO120)</f>
        <v>13.15</v>
      </c>
    </row>
    <row r="124" spans="24:41" ht="15.75" thickBot="1" x14ac:dyDescent="0.3"/>
    <row r="125" spans="24:41" x14ac:dyDescent="0.25">
      <c r="X125" s="1223" t="s">
        <v>822</v>
      </c>
      <c r="Y125" s="1225" t="s">
        <v>821</v>
      </c>
      <c r="Z125" s="1221" t="s">
        <v>820</v>
      </c>
      <c r="AA125" s="1221" t="s">
        <v>819</v>
      </c>
      <c r="AB125" s="1227"/>
    </row>
    <row r="126" spans="24:41" ht="15.75" thickBot="1" x14ac:dyDescent="0.3">
      <c r="X126" s="1224"/>
      <c r="Y126" s="1226"/>
      <c r="Z126" s="1222"/>
      <c r="AA126" s="1222"/>
      <c r="AB126" s="1228"/>
    </row>
    <row r="127" spans="24:41" x14ac:dyDescent="0.25">
      <c r="X127" s="430" t="s">
        <v>818</v>
      </c>
      <c r="Y127" s="429">
        <f>AH113</f>
        <v>0</v>
      </c>
      <c r="Z127" s="429">
        <f>AH113</f>
        <v>0</v>
      </c>
      <c r="AA127" s="429">
        <f>AH113</f>
        <v>0</v>
      </c>
      <c r="AB127" s="428" t="s">
        <v>172</v>
      </c>
    </row>
    <row r="128" spans="24:41" x14ac:dyDescent="0.25">
      <c r="X128" s="427" t="s">
        <v>817</v>
      </c>
      <c r="Y128" s="426">
        <f>0.4*Y129+0.6*Y127</f>
        <v>0</v>
      </c>
      <c r="Z128" s="426">
        <f>0.4*Z129+0.6*Z127</f>
        <v>0</v>
      </c>
      <c r="AA128" s="426">
        <f>0.4*AA129+0.6*AA127</f>
        <v>0</v>
      </c>
      <c r="AB128" s="425" t="s">
        <v>172</v>
      </c>
    </row>
    <row r="129" spans="24:28" ht="15.75" thickBot="1" x14ac:dyDescent="0.3">
      <c r="X129" s="424" t="s">
        <v>816</v>
      </c>
      <c r="Y129" s="423">
        <f>AK127</f>
        <v>0</v>
      </c>
      <c r="Z129" s="423">
        <f>AL127</f>
        <v>0</v>
      </c>
      <c r="AA129" s="423">
        <f>AM127</f>
        <v>0</v>
      </c>
      <c r="AB129" s="422" t="s">
        <v>172</v>
      </c>
    </row>
    <row r="133" spans="24:28" ht="15.75" customHeight="1" x14ac:dyDescent="0.25"/>
    <row r="134" spans="24:28" ht="15.75" customHeight="1" x14ac:dyDescent="0.25"/>
    <row r="170" spans="44:55" ht="15" customHeight="1" x14ac:dyDescent="0.25">
      <c r="AR170" s="1220" t="s">
        <v>1050</v>
      </c>
      <c r="AS170" s="1220"/>
      <c r="AT170" s="1220"/>
      <c r="AU170" s="1220"/>
      <c r="AV170" s="1220"/>
      <c r="AW170" s="1220"/>
      <c r="AX170" s="1220"/>
      <c r="AY170" s="792"/>
      <c r="AZ170" s="791"/>
      <c r="BA170" s="791"/>
      <c r="BB170" s="791"/>
      <c r="BC170" s="791"/>
    </row>
    <row r="171" spans="44:55" x14ac:dyDescent="0.25">
      <c r="AR171" s="1031" t="s">
        <v>1055</v>
      </c>
      <c r="AS171" s="1031"/>
      <c r="AT171" s="1031"/>
      <c r="AU171" s="1031"/>
      <c r="AV171" s="1031"/>
      <c r="AW171" s="1031"/>
      <c r="AX171" s="1031"/>
      <c r="AY171" s="103"/>
      <c r="AZ171" s="102"/>
      <c r="BA171" s="102"/>
      <c r="BB171" s="102"/>
      <c r="BC171" s="102"/>
    </row>
    <row r="172" spans="44:55" x14ac:dyDescent="0.25">
      <c r="AR172" s="623" t="s">
        <v>1056</v>
      </c>
      <c r="AS172" s="615">
        <v>100</v>
      </c>
      <c r="AT172" s="624" t="s">
        <v>62</v>
      </c>
      <c r="AU172" s="583" t="s">
        <v>1342</v>
      </c>
      <c r="AV172" s="584"/>
      <c r="AW172" s="584"/>
      <c r="AX172" s="585"/>
      <c r="AZ172" s="583"/>
      <c r="BA172" s="584"/>
      <c r="BB172" s="584"/>
      <c r="BC172" s="585"/>
    </row>
    <row r="173" spans="44:55" x14ac:dyDescent="0.25">
      <c r="AR173" s="609" t="s">
        <v>1497</v>
      </c>
      <c r="AS173" s="580">
        <v>0.33</v>
      </c>
      <c r="AT173" s="581" t="s">
        <v>105</v>
      </c>
      <c r="AU173" s="741" t="s">
        <v>322</v>
      </c>
      <c r="AV173" s="600" t="s">
        <v>716</v>
      </c>
      <c r="AW173" s="708"/>
      <c r="AX173" s="705"/>
      <c r="AZ173" s="707"/>
      <c r="BA173" s="708"/>
      <c r="BB173" s="708"/>
      <c r="BC173" s="705"/>
    </row>
    <row r="174" spans="44:55" x14ac:dyDescent="0.25">
      <c r="AR174" s="609" t="s">
        <v>1211</v>
      </c>
      <c r="AS174" s="700">
        <v>0.76</v>
      </c>
      <c r="AT174" s="706" t="s">
        <v>105</v>
      </c>
      <c r="AU174" s="616" t="s">
        <v>354</v>
      </c>
      <c r="AV174" s="743">
        <f>FuelProd2!CI134</f>
        <v>0</v>
      </c>
      <c r="AW174" s="708" t="s">
        <v>62</v>
      </c>
      <c r="AX174" s="705"/>
      <c r="AZ174" s="707"/>
      <c r="BA174" s="708"/>
      <c r="BB174" s="708"/>
      <c r="BC174" s="705"/>
    </row>
    <row r="175" spans="44:55" x14ac:dyDescent="0.25">
      <c r="AR175" s="609" t="s">
        <v>1496</v>
      </c>
      <c r="AS175" s="39">
        <v>43.744</v>
      </c>
      <c r="AT175" s="582" t="s">
        <v>59</v>
      </c>
      <c r="AU175" s="616" t="s">
        <v>260</v>
      </c>
      <c r="AV175" s="743">
        <f>FuelProd2!CI135</f>
        <v>0</v>
      </c>
      <c r="AW175" s="708" t="s">
        <v>62</v>
      </c>
      <c r="AX175" s="705"/>
      <c r="AZ175" s="707"/>
      <c r="BA175" s="708"/>
      <c r="BB175" s="708"/>
      <c r="BC175" s="705"/>
    </row>
    <row r="176" spans="44:55" x14ac:dyDescent="0.25">
      <c r="AR176" s="609"/>
      <c r="AS176" s="708"/>
      <c r="AT176" s="582"/>
      <c r="AU176" s="616" t="s">
        <v>112</v>
      </c>
      <c r="AV176" s="743">
        <f>FuelProd2!CI136</f>
        <v>0</v>
      </c>
      <c r="AW176" s="708" t="s">
        <v>62</v>
      </c>
      <c r="AX176" s="705"/>
      <c r="AZ176" s="707"/>
      <c r="BA176" s="708"/>
      <c r="BB176" s="708"/>
      <c r="BC176" s="705"/>
    </row>
    <row r="177" spans="44:55" x14ac:dyDescent="0.25">
      <c r="AR177" s="609" t="s">
        <v>1065</v>
      </c>
      <c r="AS177" s="628">
        <f>((0.077/1000)*1000000)/3.6</f>
        <v>21.388888888888889</v>
      </c>
      <c r="AT177" s="582" t="s">
        <v>167</v>
      </c>
      <c r="AU177" s="616" t="s">
        <v>265</v>
      </c>
      <c r="AV177" s="743">
        <f>FuelProd2!CI137</f>
        <v>0</v>
      </c>
      <c r="AW177" s="708" t="s">
        <v>62</v>
      </c>
      <c r="AX177" s="705"/>
      <c r="AZ177" s="707"/>
      <c r="BA177" s="708"/>
      <c r="BB177" s="708"/>
      <c r="BC177" s="705"/>
    </row>
    <row r="178" spans="44:55" x14ac:dyDescent="0.25">
      <c r="AR178" s="609" t="s">
        <v>563</v>
      </c>
      <c r="AS178" s="628">
        <f>FuelProd3!DT118</f>
        <v>0</v>
      </c>
      <c r="AT178" s="582" t="s">
        <v>167</v>
      </c>
      <c r="AU178" s="616" t="s">
        <v>268</v>
      </c>
      <c r="AV178" s="743">
        <f>FuelProd2!CI138</f>
        <v>0</v>
      </c>
      <c r="AW178" s="708" t="s">
        <v>62</v>
      </c>
      <c r="AX178" s="705"/>
      <c r="AZ178" s="707"/>
      <c r="BA178" s="708"/>
      <c r="BB178" s="708"/>
      <c r="BC178" s="705"/>
    </row>
    <row r="179" spans="44:55" x14ac:dyDescent="0.25">
      <c r="AR179" s="609" t="s">
        <v>568</v>
      </c>
      <c r="AS179" s="628">
        <f>FuelProd3!DT119</f>
        <v>0</v>
      </c>
      <c r="AT179" s="582" t="s">
        <v>167</v>
      </c>
      <c r="AU179" s="616" t="s">
        <v>270</v>
      </c>
      <c r="AV179" s="743">
        <f>FuelProd2!CI139</f>
        <v>0</v>
      </c>
      <c r="AW179" s="708" t="s">
        <v>62</v>
      </c>
      <c r="AX179" s="705"/>
      <c r="AZ179" s="707"/>
      <c r="BA179" s="708"/>
      <c r="BB179" s="708"/>
      <c r="BC179" s="705"/>
    </row>
    <row r="180" spans="44:55" x14ac:dyDescent="0.25">
      <c r="AR180" s="609" t="s">
        <v>583</v>
      </c>
      <c r="AS180" s="628">
        <f>FuelProd3!DT120</f>
        <v>0</v>
      </c>
      <c r="AT180" s="582" t="s">
        <v>167</v>
      </c>
      <c r="AU180" s="616" t="s">
        <v>272</v>
      </c>
      <c r="AV180" s="743">
        <f>FuelProd2!CI140</f>
        <v>0</v>
      </c>
      <c r="AW180" s="708" t="s">
        <v>62</v>
      </c>
      <c r="AX180" s="705"/>
      <c r="AZ180" s="707"/>
      <c r="BA180" s="708"/>
      <c r="BB180" s="708"/>
      <c r="BC180" s="705"/>
    </row>
    <row r="181" spans="44:55" x14ac:dyDescent="0.25">
      <c r="AR181" s="609"/>
      <c r="AS181" s="708"/>
      <c r="AT181" s="582"/>
      <c r="AU181" s="616" t="s">
        <v>274</v>
      </c>
      <c r="AV181" s="743">
        <f>FuelProd2!CI141</f>
        <v>0</v>
      </c>
      <c r="AW181" s="708" t="s">
        <v>62</v>
      </c>
      <c r="AX181" s="705"/>
      <c r="AZ181" s="707"/>
      <c r="BA181" s="708"/>
      <c r="BB181" s="708"/>
      <c r="BC181" s="705"/>
    </row>
    <row r="182" spans="44:55" x14ac:dyDescent="0.25">
      <c r="AR182" s="611" t="s">
        <v>1066</v>
      </c>
      <c r="AS182" s="708"/>
      <c r="AT182" s="582"/>
      <c r="AU182" s="616" t="s">
        <v>276</v>
      </c>
      <c r="AV182" s="743">
        <f>FuelProd2!CI142</f>
        <v>0</v>
      </c>
      <c r="AW182" s="708" t="s">
        <v>62</v>
      </c>
      <c r="AX182" s="705"/>
      <c r="AZ182" s="707"/>
      <c r="BA182" s="708"/>
      <c r="BB182" s="708"/>
      <c r="BC182" s="705"/>
    </row>
    <row r="183" spans="44:55" x14ac:dyDescent="0.25">
      <c r="AR183" s="609" t="s">
        <v>175</v>
      </c>
      <c r="AS183" s="580">
        <v>1</v>
      </c>
      <c r="AT183" s="582"/>
      <c r="AU183" s="616" t="s">
        <v>376</v>
      </c>
      <c r="AV183" s="743">
        <f>FuelProd2!CI143</f>
        <v>0</v>
      </c>
      <c r="AW183" s="708" t="s">
        <v>62</v>
      </c>
      <c r="AX183" s="705"/>
      <c r="AZ183" s="707"/>
      <c r="BA183" s="708"/>
      <c r="BB183" s="708"/>
      <c r="BC183" s="705"/>
    </row>
    <row r="184" spans="44:55" x14ac:dyDescent="0.25">
      <c r="AR184" s="609" t="s">
        <v>290</v>
      </c>
      <c r="AS184" s="580">
        <v>0</v>
      </c>
      <c r="AT184" s="582"/>
      <c r="AU184" s="616" t="s">
        <v>278</v>
      </c>
      <c r="AV184" s="743">
        <f>SUM(AV174:AV183)</f>
        <v>0</v>
      </c>
      <c r="AW184" s="708" t="s">
        <v>62</v>
      </c>
      <c r="AX184" s="705"/>
      <c r="AZ184" s="707"/>
      <c r="BA184" s="708"/>
      <c r="BB184" s="708"/>
      <c r="BC184" s="705"/>
    </row>
    <row r="185" spans="44:55" x14ac:dyDescent="0.25">
      <c r="AR185" s="609" t="s">
        <v>302</v>
      </c>
      <c r="AS185" s="580">
        <v>0</v>
      </c>
      <c r="AT185" s="582"/>
      <c r="AU185" s="707"/>
      <c r="AV185" s="708"/>
      <c r="AW185" s="708"/>
      <c r="AX185" s="705"/>
      <c r="AZ185" s="707"/>
      <c r="BA185" s="708"/>
      <c r="BB185" s="708"/>
      <c r="BC185" s="705"/>
    </row>
    <row r="186" spans="44:55" x14ac:dyDescent="0.25">
      <c r="AR186" s="609" t="s">
        <v>303</v>
      </c>
      <c r="AS186" s="580">
        <v>0</v>
      </c>
      <c r="AT186" s="582"/>
      <c r="AU186" s="707" t="s">
        <v>1343</v>
      </c>
      <c r="AV186" s="742">
        <f>AV175/AS172</f>
        <v>0</v>
      </c>
      <c r="AW186" s="708" t="s">
        <v>1344</v>
      </c>
      <c r="AX186" s="705"/>
      <c r="AZ186" s="707"/>
      <c r="BA186" s="708"/>
      <c r="BB186" s="708"/>
      <c r="BC186" s="705"/>
    </row>
    <row r="187" spans="44:55" x14ac:dyDescent="0.25">
      <c r="AR187" s="609"/>
      <c r="AS187" s="744"/>
      <c r="AT187" s="582"/>
      <c r="AU187" s="707"/>
      <c r="AV187" s="749"/>
      <c r="AW187" s="708" t="s">
        <v>1345</v>
      </c>
      <c r="AX187" s="705"/>
      <c r="AZ187" s="707"/>
      <c r="BA187" s="708"/>
      <c r="BB187" s="708"/>
      <c r="BC187" s="705"/>
    </row>
    <row r="188" spans="44:55" x14ac:dyDescent="0.25">
      <c r="AR188" s="609" t="s">
        <v>1347</v>
      </c>
      <c r="AS188" s="745">
        <v>0</v>
      </c>
      <c r="AT188" s="582"/>
      <c r="AU188" s="707"/>
      <c r="AV188" s="749"/>
      <c r="AW188" s="708"/>
      <c r="AX188" s="705"/>
      <c r="AZ188" s="707"/>
      <c r="BA188" s="708"/>
      <c r="BB188" s="708"/>
      <c r="BC188" s="705"/>
    </row>
    <row r="189" spans="44:55" x14ac:dyDescent="0.25">
      <c r="AR189" s="132"/>
      <c r="AS189" s="586"/>
      <c r="AT189" s="586"/>
      <c r="AU189" s="132"/>
      <c r="AV189" s="586"/>
      <c r="AW189" s="11"/>
      <c r="AX189" s="587"/>
      <c r="AZ189" s="132"/>
      <c r="BA189" s="586"/>
      <c r="BB189" s="586"/>
      <c r="BC189" s="587"/>
    </row>
  </sheetData>
  <mergeCells count="75">
    <mergeCell ref="AT50:AT52"/>
    <mergeCell ref="AS50:AS51"/>
    <mergeCell ref="AM50:AM52"/>
    <mergeCell ref="AO50:AO52"/>
    <mergeCell ref="AP50:AP52"/>
    <mergeCell ref="AQ50:AQ52"/>
    <mergeCell ref="AR50:AR52"/>
    <mergeCell ref="I20:M20"/>
    <mergeCell ref="B2:D2"/>
    <mergeCell ref="E2:G2"/>
    <mergeCell ref="I2:O2"/>
    <mergeCell ref="I3:L3"/>
    <mergeCell ref="M3:O3"/>
    <mergeCell ref="B7:D7"/>
    <mergeCell ref="E8:G8"/>
    <mergeCell ref="I8:O8"/>
    <mergeCell ref="I9:L9"/>
    <mergeCell ref="M9:O9"/>
    <mergeCell ref="I15:L15"/>
    <mergeCell ref="X53:Y53"/>
    <mergeCell ref="X70:X71"/>
    <mergeCell ref="Y70:Y71"/>
    <mergeCell ref="Z70:Z71"/>
    <mergeCell ref="AA70:AA71"/>
    <mergeCell ref="AI70:AK70"/>
    <mergeCell ref="C72:C74"/>
    <mergeCell ref="D72:D74"/>
    <mergeCell ref="E72:E74"/>
    <mergeCell ref="F72:F74"/>
    <mergeCell ref="G72:G74"/>
    <mergeCell ref="AB70:AB71"/>
    <mergeCell ref="H72:H74"/>
    <mergeCell ref="I72:I74"/>
    <mergeCell ref="J72:J74"/>
    <mergeCell ref="K72:K74"/>
    <mergeCell ref="L72:L74"/>
    <mergeCell ref="X78:X79"/>
    <mergeCell ref="AC70:AC71"/>
    <mergeCell ref="AD70:AD71"/>
    <mergeCell ref="AE70:AE71"/>
    <mergeCell ref="AF70:AF71"/>
    <mergeCell ref="Y78:Y79"/>
    <mergeCell ref="Z78:Z79"/>
    <mergeCell ref="AA78:AA79"/>
    <mergeCell ref="AB78:AB79"/>
    <mergeCell ref="AC78:AC79"/>
    <mergeCell ref="AN109:AN110"/>
    <mergeCell ref="AE78:AE79"/>
    <mergeCell ref="AF78:AF79"/>
    <mergeCell ref="AC89:AC90"/>
    <mergeCell ref="AD89:AD90"/>
    <mergeCell ref="AE89:AE90"/>
    <mergeCell ref="AF89:AF90"/>
    <mergeCell ref="AD78:AD79"/>
    <mergeCell ref="AI109:AI110"/>
    <mergeCell ref="AJ109:AJ110"/>
    <mergeCell ref="AK109:AK110"/>
    <mergeCell ref="AL109:AL110"/>
    <mergeCell ref="AM109:AM110"/>
    <mergeCell ref="AL116:AL117"/>
    <mergeCell ref="X112:X113"/>
    <mergeCell ref="Y112:Y113"/>
    <mergeCell ref="Z112:Z113"/>
    <mergeCell ref="AA112:AA113"/>
    <mergeCell ref="AB112:AB113"/>
    <mergeCell ref="X125:X126"/>
    <mergeCell ref="Y125:Y126"/>
    <mergeCell ref="Z125:Z126"/>
    <mergeCell ref="AA125:AA126"/>
    <mergeCell ref="AB125:AB126"/>
    <mergeCell ref="AR171:AX171"/>
    <mergeCell ref="AR170:AX170"/>
    <mergeCell ref="AM116:AM117"/>
    <mergeCell ref="AN116:AN117"/>
    <mergeCell ref="AO116:AO117"/>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7CFBD-4258-40FC-AF10-1031D8E2D750}">
  <dimension ref="A1:N25"/>
  <sheetViews>
    <sheetView topLeftCell="D1" zoomScale="85" zoomScaleNormal="85" workbookViewId="0">
      <selection activeCell="D5" sqref="D5"/>
    </sheetView>
  </sheetViews>
  <sheetFormatPr defaultRowHeight="15" x14ac:dyDescent="0.25"/>
  <cols>
    <col min="2" max="2" width="9.28515625" customWidth="1"/>
    <col min="3" max="3" width="79.140625" customWidth="1"/>
    <col min="4" max="4" width="152.140625" customWidth="1"/>
    <col min="5" max="5" width="114.140625" customWidth="1"/>
  </cols>
  <sheetData>
    <row r="1" spans="1:14" ht="19.5" thickBot="1" x14ac:dyDescent="0.35">
      <c r="A1" s="781" t="s">
        <v>1462</v>
      </c>
      <c r="F1" s="754" t="s">
        <v>333</v>
      </c>
      <c r="G1" s="754" t="s">
        <v>328</v>
      </c>
      <c r="H1" s="754" t="s">
        <v>342</v>
      </c>
      <c r="I1" s="754" t="s">
        <v>333</v>
      </c>
      <c r="J1" s="754" t="s">
        <v>328</v>
      </c>
      <c r="K1" s="754" t="s">
        <v>342</v>
      </c>
      <c r="L1" s="1248" t="s">
        <v>1420</v>
      </c>
      <c r="M1" s="947"/>
      <c r="N1" s="947"/>
    </row>
    <row r="2" spans="1:14" ht="24.75" thickBot="1" x14ac:dyDescent="0.4">
      <c r="A2" s="1245" t="s">
        <v>1421</v>
      </c>
      <c r="B2" s="783">
        <v>1</v>
      </c>
      <c r="C2" s="784" t="s">
        <v>1463</v>
      </c>
      <c r="D2" s="760" t="s">
        <v>1376</v>
      </c>
      <c r="E2" s="761" t="s">
        <v>1377</v>
      </c>
      <c r="F2" s="754">
        <v>57</v>
      </c>
      <c r="G2" s="754">
        <f>104+6</f>
        <v>110</v>
      </c>
      <c r="H2" s="754">
        <v>6</v>
      </c>
      <c r="I2" s="754">
        <f>3+3*18</f>
        <v>57</v>
      </c>
      <c r="J2" s="754">
        <f>8+3*34</f>
        <v>110</v>
      </c>
      <c r="K2" s="754">
        <f>2*3</f>
        <v>6</v>
      </c>
      <c r="L2" s="626">
        <f t="shared" ref="L2:N17" si="0">F2-I2</f>
        <v>0</v>
      </c>
      <c r="M2" s="626">
        <f t="shared" si="0"/>
        <v>0</v>
      </c>
      <c r="N2" s="626">
        <f t="shared" si="0"/>
        <v>0</v>
      </c>
    </row>
    <row r="3" spans="1:14" ht="24.75" thickBot="1" x14ac:dyDescent="0.4">
      <c r="A3" s="1246"/>
      <c r="B3" s="783">
        <v>2</v>
      </c>
      <c r="C3" s="784" t="s">
        <v>1463</v>
      </c>
      <c r="D3" s="760" t="s">
        <v>1378</v>
      </c>
      <c r="E3" s="761" t="s">
        <v>1379</v>
      </c>
      <c r="F3" s="754">
        <v>57</v>
      </c>
      <c r="G3" s="754">
        <f>98+6</f>
        <v>104</v>
      </c>
      <c r="H3" s="754">
        <v>6</v>
      </c>
      <c r="I3" s="754">
        <f>3+3*18</f>
        <v>57</v>
      </c>
      <c r="J3" s="754">
        <f>8+3*32</f>
        <v>104</v>
      </c>
      <c r="K3" s="754">
        <f>3*2</f>
        <v>6</v>
      </c>
      <c r="L3" s="626">
        <f t="shared" si="0"/>
        <v>0</v>
      </c>
      <c r="M3" s="626">
        <f t="shared" si="0"/>
        <v>0</v>
      </c>
      <c r="N3" s="626">
        <f t="shared" si="0"/>
        <v>0</v>
      </c>
    </row>
    <row r="4" spans="1:14" ht="24.75" thickBot="1" x14ac:dyDescent="0.4">
      <c r="A4" s="1247"/>
      <c r="B4" s="783">
        <v>3</v>
      </c>
      <c r="C4" s="784" t="s">
        <v>1463</v>
      </c>
      <c r="D4" s="760" t="s">
        <v>1380</v>
      </c>
      <c r="E4" s="761" t="s">
        <v>1381</v>
      </c>
      <c r="F4" s="754">
        <v>51</v>
      </c>
      <c r="G4" s="754">
        <f>98+6</f>
        <v>104</v>
      </c>
      <c r="H4" s="754">
        <v>6</v>
      </c>
      <c r="I4" s="754">
        <f>3+3*16</f>
        <v>51</v>
      </c>
      <c r="J4" s="754">
        <f>8+3*32</f>
        <v>104</v>
      </c>
      <c r="K4" s="754">
        <f>3*2</f>
        <v>6</v>
      </c>
      <c r="L4" s="626">
        <f t="shared" si="0"/>
        <v>0</v>
      </c>
      <c r="M4" s="626">
        <f t="shared" si="0"/>
        <v>0</v>
      </c>
      <c r="N4" s="626">
        <f t="shared" si="0"/>
        <v>0</v>
      </c>
    </row>
    <row r="5" spans="1:14" ht="24.75" thickBot="1" x14ac:dyDescent="0.4">
      <c r="A5" s="1245" t="s">
        <v>1422</v>
      </c>
      <c r="B5" s="783">
        <v>4</v>
      </c>
      <c r="C5" s="784" t="s">
        <v>1464</v>
      </c>
      <c r="D5" s="760" t="s">
        <v>1382</v>
      </c>
      <c r="E5" s="761" t="s">
        <v>1383</v>
      </c>
      <c r="F5" s="754">
        <v>18</v>
      </c>
      <c r="G5" s="754">
        <f>32+2*2</f>
        <v>36</v>
      </c>
      <c r="H5" s="754">
        <v>2</v>
      </c>
      <c r="I5" s="754">
        <v>18</v>
      </c>
      <c r="J5" s="754">
        <v>36</v>
      </c>
      <c r="K5" s="754">
        <v>2</v>
      </c>
      <c r="L5" s="626">
        <f t="shared" si="0"/>
        <v>0</v>
      </c>
      <c r="M5" s="626">
        <f t="shared" si="0"/>
        <v>0</v>
      </c>
      <c r="N5" s="626">
        <f t="shared" si="0"/>
        <v>0</v>
      </c>
    </row>
    <row r="6" spans="1:14" ht="24.75" thickBot="1" x14ac:dyDescent="0.4">
      <c r="A6" s="1247"/>
      <c r="B6" s="783">
        <v>5</v>
      </c>
      <c r="C6" s="784" t="s">
        <v>1465</v>
      </c>
      <c r="D6" s="760" t="s">
        <v>1384</v>
      </c>
      <c r="E6" s="761" t="s">
        <v>1385</v>
      </c>
      <c r="F6" s="754">
        <v>18</v>
      </c>
      <c r="G6" s="754">
        <f>32+2*2</f>
        <v>36</v>
      </c>
      <c r="H6" s="754">
        <v>2</v>
      </c>
      <c r="I6" s="754">
        <v>18</v>
      </c>
      <c r="J6" s="754">
        <v>36</v>
      </c>
      <c r="K6" s="754">
        <v>2</v>
      </c>
      <c r="L6" s="626">
        <f t="shared" si="0"/>
        <v>0</v>
      </c>
      <c r="M6" s="626">
        <f t="shared" si="0"/>
        <v>0</v>
      </c>
      <c r="N6" s="626">
        <f t="shared" si="0"/>
        <v>0</v>
      </c>
    </row>
    <row r="7" spans="1:14" ht="24.75" thickBot="1" x14ac:dyDescent="0.5">
      <c r="A7" s="1245" t="s">
        <v>1423</v>
      </c>
      <c r="B7" s="783">
        <v>6</v>
      </c>
      <c r="C7" s="784" t="s">
        <v>1466</v>
      </c>
      <c r="D7" s="762" t="s">
        <v>1386</v>
      </c>
      <c r="E7" s="761" t="s">
        <v>1387</v>
      </c>
      <c r="F7" s="754">
        <v>18</v>
      </c>
      <c r="G7" s="754">
        <v>36</v>
      </c>
      <c r="H7" s="754">
        <v>2</v>
      </c>
      <c r="I7" s="754">
        <f>17+1</f>
        <v>18</v>
      </c>
      <c r="J7" s="754">
        <v>36</v>
      </c>
      <c r="K7" s="754">
        <v>2</v>
      </c>
      <c r="L7" s="626">
        <f t="shared" si="0"/>
        <v>0</v>
      </c>
      <c r="M7" s="626">
        <f t="shared" si="0"/>
        <v>0</v>
      </c>
      <c r="N7" s="626">
        <f t="shared" si="0"/>
        <v>0</v>
      </c>
    </row>
    <row r="8" spans="1:14" ht="24.75" thickBot="1" x14ac:dyDescent="0.5">
      <c r="A8" s="1246"/>
      <c r="B8" s="785">
        <v>7</v>
      </c>
      <c r="C8" s="784" t="s">
        <v>1467</v>
      </c>
      <c r="D8" s="762" t="s">
        <v>1388</v>
      </c>
      <c r="E8" s="761" t="s">
        <v>1389</v>
      </c>
      <c r="F8" s="754">
        <f>18</f>
        <v>18</v>
      </c>
      <c r="G8" s="754">
        <v>34</v>
      </c>
      <c r="H8" s="754">
        <v>2</v>
      </c>
      <c r="I8" s="754">
        <f>17+1</f>
        <v>18</v>
      </c>
      <c r="J8" s="754">
        <v>34</v>
      </c>
      <c r="K8" s="754">
        <v>2</v>
      </c>
      <c r="L8" s="626">
        <f t="shared" si="0"/>
        <v>0</v>
      </c>
      <c r="M8" s="626">
        <f t="shared" si="0"/>
        <v>0</v>
      </c>
      <c r="N8" s="626">
        <f t="shared" si="0"/>
        <v>0</v>
      </c>
    </row>
    <row r="9" spans="1:14" ht="24.75" thickBot="1" x14ac:dyDescent="0.5">
      <c r="A9" s="1246"/>
      <c r="B9" s="786">
        <v>8</v>
      </c>
      <c r="C9" s="784" t="s">
        <v>1466</v>
      </c>
      <c r="D9" s="762" t="s">
        <v>1390</v>
      </c>
      <c r="E9" s="761" t="s">
        <v>1391</v>
      </c>
      <c r="F9" s="754">
        <v>16</v>
      </c>
      <c r="G9" s="754">
        <v>32</v>
      </c>
      <c r="H9" s="754">
        <v>2</v>
      </c>
      <c r="I9" s="754">
        <f>15+1</f>
        <v>16</v>
      </c>
      <c r="J9" s="754">
        <v>32</v>
      </c>
      <c r="K9" s="754">
        <v>2</v>
      </c>
      <c r="L9" s="626">
        <f t="shared" si="0"/>
        <v>0</v>
      </c>
      <c r="M9" s="626">
        <f t="shared" si="0"/>
        <v>0</v>
      </c>
      <c r="N9" s="626">
        <f t="shared" si="0"/>
        <v>0</v>
      </c>
    </row>
    <row r="10" spans="1:14" ht="24.75" thickBot="1" x14ac:dyDescent="0.4">
      <c r="A10" s="1246"/>
      <c r="B10" s="786">
        <v>9</v>
      </c>
      <c r="C10" s="784" t="s">
        <v>1468</v>
      </c>
      <c r="D10" s="760" t="s">
        <v>1392</v>
      </c>
      <c r="E10" s="763" t="s">
        <v>1393</v>
      </c>
      <c r="F10" s="754">
        <f>18</f>
        <v>18</v>
      </c>
      <c r="G10" s="754">
        <f>36+2</f>
        <v>38</v>
      </c>
      <c r="H10" s="754">
        <v>2</v>
      </c>
      <c r="I10" s="754">
        <f>17+1</f>
        <v>18</v>
      </c>
      <c r="J10" s="754">
        <f>36+2</f>
        <v>38</v>
      </c>
      <c r="K10" s="754">
        <f>1+1</f>
        <v>2</v>
      </c>
      <c r="L10" s="626">
        <f t="shared" si="0"/>
        <v>0</v>
      </c>
      <c r="M10" s="626">
        <f t="shared" si="0"/>
        <v>0</v>
      </c>
      <c r="N10" s="626">
        <f t="shared" si="0"/>
        <v>0</v>
      </c>
    </row>
    <row r="11" spans="1:14" ht="24.75" thickBot="1" x14ac:dyDescent="0.4">
      <c r="A11" s="1246"/>
      <c r="B11" s="786">
        <v>10</v>
      </c>
      <c r="C11" s="784" t="s">
        <v>1469</v>
      </c>
      <c r="D11" s="760" t="s">
        <v>1394</v>
      </c>
      <c r="E11" s="763" t="s">
        <v>1395</v>
      </c>
      <c r="F11" s="754">
        <v>18</v>
      </c>
      <c r="G11" s="754">
        <f>34+2</f>
        <v>36</v>
      </c>
      <c r="H11" s="754">
        <v>2</v>
      </c>
      <c r="I11" s="754">
        <f>17+1</f>
        <v>18</v>
      </c>
      <c r="J11" s="754">
        <f>34+2</f>
        <v>36</v>
      </c>
      <c r="K11" s="754">
        <f>1+1</f>
        <v>2</v>
      </c>
      <c r="L11" s="626">
        <f t="shared" si="0"/>
        <v>0</v>
      </c>
      <c r="M11" s="626">
        <f t="shared" si="0"/>
        <v>0</v>
      </c>
      <c r="N11" s="626">
        <f t="shared" si="0"/>
        <v>0</v>
      </c>
    </row>
    <row r="12" spans="1:14" ht="24.75" thickBot="1" x14ac:dyDescent="0.4">
      <c r="A12" s="1246"/>
      <c r="B12" s="785">
        <v>11</v>
      </c>
      <c r="C12" s="784" t="s">
        <v>1468</v>
      </c>
      <c r="D12" s="760" t="s">
        <v>1396</v>
      </c>
      <c r="E12" s="763" t="s">
        <v>1397</v>
      </c>
      <c r="F12" s="754">
        <v>16</v>
      </c>
      <c r="G12" s="754">
        <f>32+2</f>
        <v>34</v>
      </c>
      <c r="H12" s="754">
        <v>2</v>
      </c>
      <c r="I12" s="754">
        <f>15+1</f>
        <v>16</v>
      </c>
      <c r="J12" s="754">
        <f>32+2</f>
        <v>34</v>
      </c>
      <c r="K12" s="754">
        <f>1+1</f>
        <v>2</v>
      </c>
      <c r="L12" s="626">
        <f t="shared" si="0"/>
        <v>0</v>
      </c>
      <c r="M12" s="626">
        <f t="shared" si="0"/>
        <v>0</v>
      </c>
      <c r="N12" s="626">
        <f t="shared" si="0"/>
        <v>0</v>
      </c>
    </row>
    <row r="13" spans="1:14" ht="24.75" thickBot="1" x14ac:dyDescent="0.4">
      <c r="A13" s="1246"/>
      <c r="B13" s="786">
        <v>12</v>
      </c>
      <c r="C13" s="784" t="s">
        <v>1470</v>
      </c>
      <c r="D13" s="760" t="s">
        <v>1398</v>
      </c>
      <c r="E13" s="763" t="s">
        <v>1399</v>
      </c>
      <c r="F13" s="754">
        <f>18</f>
        <v>18</v>
      </c>
      <c r="G13" s="754">
        <f>36+3*2</f>
        <v>42</v>
      </c>
      <c r="H13" s="754">
        <v>2</v>
      </c>
      <c r="I13" s="754">
        <v>18</v>
      </c>
      <c r="J13" s="754">
        <f>38+2*2</f>
        <v>42</v>
      </c>
      <c r="K13" s="754">
        <f>2*1</f>
        <v>2</v>
      </c>
      <c r="L13" s="626">
        <f t="shared" si="0"/>
        <v>0</v>
      </c>
      <c r="M13" s="626">
        <f t="shared" si="0"/>
        <v>0</v>
      </c>
      <c r="N13" s="626">
        <f t="shared" si="0"/>
        <v>0</v>
      </c>
    </row>
    <row r="14" spans="1:14" ht="24.75" thickBot="1" x14ac:dyDescent="0.4">
      <c r="A14" s="1246"/>
      <c r="B14" s="786">
        <v>13</v>
      </c>
      <c r="C14" s="784" t="s">
        <v>1471</v>
      </c>
      <c r="D14" s="760" t="s">
        <v>1400</v>
      </c>
      <c r="E14" s="763" t="s">
        <v>1424</v>
      </c>
      <c r="F14" s="754">
        <f>18</f>
        <v>18</v>
      </c>
      <c r="G14" s="754">
        <f>34+3*2</f>
        <v>40</v>
      </c>
      <c r="H14" s="754">
        <v>2</v>
      </c>
      <c r="I14" s="754">
        <v>18</v>
      </c>
      <c r="J14" s="754">
        <f>36+2*2</f>
        <v>40</v>
      </c>
      <c r="K14" s="754">
        <f t="shared" ref="K14:K15" si="1">2*1</f>
        <v>2</v>
      </c>
      <c r="L14" s="626">
        <f t="shared" si="0"/>
        <v>0</v>
      </c>
      <c r="M14" s="626">
        <f t="shared" si="0"/>
        <v>0</v>
      </c>
      <c r="N14" s="626">
        <f t="shared" si="0"/>
        <v>0</v>
      </c>
    </row>
    <row r="15" spans="1:14" ht="24.75" thickBot="1" x14ac:dyDescent="0.4">
      <c r="A15" s="1247"/>
      <c r="B15" s="786">
        <v>14</v>
      </c>
      <c r="C15" s="784" t="s">
        <v>1470</v>
      </c>
      <c r="D15" s="760" t="s">
        <v>1401</v>
      </c>
      <c r="E15" s="763" t="s">
        <v>1402</v>
      </c>
      <c r="F15" s="754">
        <f>16</f>
        <v>16</v>
      </c>
      <c r="G15" s="754">
        <f>32+3*2</f>
        <v>38</v>
      </c>
      <c r="H15" s="754">
        <v>2</v>
      </c>
      <c r="I15" s="754">
        <v>16</v>
      </c>
      <c r="J15" s="754">
        <f>34+2*2</f>
        <v>38</v>
      </c>
      <c r="K15" s="754">
        <f t="shared" si="1"/>
        <v>2</v>
      </c>
      <c r="L15" s="626">
        <f t="shared" si="0"/>
        <v>0</v>
      </c>
      <c r="M15" s="626">
        <f t="shared" si="0"/>
        <v>0</v>
      </c>
      <c r="N15" s="626">
        <f t="shared" si="0"/>
        <v>0</v>
      </c>
    </row>
    <row r="16" spans="1:14" ht="24.75" thickBot="1" x14ac:dyDescent="0.4">
      <c r="A16" s="1246" t="s">
        <v>1425</v>
      </c>
      <c r="B16" s="786">
        <v>15</v>
      </c>
      <c r="C16" s="784" t="s">
        <v>1472</v>
      </c>
      <c r="D16" s="760" t="s">
        <v>1426</v>
      </c>
      <c r="E16" s="763" t="s">
        <v>1427</v>
      </c>
      <c r="F16" s="754">
        <f>17</f>
        <v>17</v>
      </c>
      <c r="G16" s="754">
        <f>34+1*2</f>
        <v>36</v>
      </c>
      <c r="H16" s="754">
        <v>0</v>
      </c>
      <c r="I16" s="754">
        <v>17</v>
      </c>
      <c r="J16" s="754">
        <f>36</f>
        <v>36</v>
      </c>
      <c r="K16" s="754">
        <v>0</v>
      </c>
      <c r="L16" s="626">
        <f t="shared" si="0"/>
        <v>0</v>
      </c>
      <c r="M16" s="626">
        <f t="shared" si="0"/>
        <v>0</v>
      </c>
      <c r="N16" s="626">
        <f t="shared" si="0"/>
        <v>0</v>
      </c>
    </row>
    <row r="17" spans="1:14" ht="24.75" thickBot="1" x14ac:dyDescent="0.4">
      <c r="A17" s="1247"/>
      <c r="B17" s="786">
        <v>16</v>
      </c>
      <c r="C17" s="784" t="s">
        <v>1473</v>
      </c>
      <c r="D17" s="760" t="s">
        <v>1428</v>
      </c>
      <c r="E17" s="763" t="s">
        <v>1429</v>
      </c>
      <c r="F17" s="754">
        <f>18</f>
        <v>18</v>
      </c>
      <c r="G17" s="754">
        <f>36+1*2</f>
        <v>38</v>
      </c>
      <c r="H17" s="754">
        <v>0</v>
      </c>
      <c r="I17" s="754">
        <v>18</v>
      </c>
      <c r="J17" s="754">
        <f>38</f>
        <v>38</v>
      </c>
      <c r="K17" s="754">
        <v>0</v>
      </c>
      <c r="L17" s="626">
        <f t="shared" si="0"/>
        <v>0</v>
      </c>
      <c r="M17" s="626">
        <f t="shared" si="0"/>
        <v>0</v>
      </c>
      <c r="N17" s="626">
        <f t="shared" si="0"/>
        <v>0</v>
      </c>
    </row>
    <row r="18" spans="1:14" ht="24.75" thickBot="1" x14ac:dyDescent="0.4">
      <c r="A18" s="1245" t="s">
        <v>1438</v>
      </c>
      <c r="B18" s="786">
        <v>17</v>
      </c>
      <c r="C18" s="784" t="s">
        <v>1474</v>
      </c>
      <c r="D18" s="760" t="s">
        <v>1431</v>
      </c>
      <c r="E18" s="763" t="s">
        <v>1433</v>
      </c>
      <c r="F18" s="776">
        <f>18</f>
        <v>18</v>
      </c>
      <c r="G18" s="776">
        <f>38+0.9*2</f>
        <v>39.799999999999997</v>
      </c>
      <c r="H18" s="776">
        <v>0</v>
      </c>
      <c r="I18" s="776">
        <f>0.1*18+0.9*(10+8)</f>
        <v>18</v>
      </c>
      <c r="J18" s="776">
        <f>0.1*38+0.9*(22+18)</f>
        <v>39.799999999999997</v>
      </c>
      <c r="K18" s="776">
        <v>0</v>
      </c>
      <c r="L18" s="778">
        <f t="shared" ref="L18" si="2">F18-I18</f>
        <v>0</v>
      </c>
      <c r="M18" s="778">
        <f t="shared" ref="M18" si="3">G18-J18</f>
        <v>0</v>
      </c>
      <c r="N18" s="778">
        <f t="shared" ref="N18" si="4">H18-K18</f>
        <v>0</v>
      </c>
    </row>
    <row r="19" spans="1:14" ht="24.75" thickBot="1" x14ac:dyDescent="0.4">
      <c r="A19" s="1246"/>
      <c r="B19" s="786">
        <v>18</v>
      </c>
      <c r="C19" s="784" t="s">
        <v>1475</v>
      </c>
      <c r="D19" s="760" t="s">
        <v>1439</v>
      </c>
      <c r="E19" s="763" t="s">
        <v>1437</v>
      </c>
      <c r="F19" s="776">
        <f>17</f>
        <v>17</v>
      </c>
      <c r="G19" s="776">
        <f>36+1*2</f>
        <v>38</v>
      </c>
      <c r="H19" s="776">
        <v>0</v>
      </c>
      <c r="I19" s="776">
        <f>0.08*17+0.29*(11+6)+0.23*(8+9)+0.17*(13+4)+0.23*(12+5)</f>
        <v>17</v>
      </c>
      <c r="J19" s="776">
        <f>0.08*38+0.29*(24+14)+0.23*(18+20)+0.17*(28+10)+0.23*(26+12)</f>
        <v>38</v>
      </c>
      <c r="K19" s="776">
        <v>0</v>
      </c>
      <c r="L19" s="778">
        <f t="shared" ref="L19:L23" si="5">F19-I19</f>
        <v>0</v>
      </c>
      <c r="M19" s="778">
        <f t="shared" ref="M19:M23" si="6">G19-J19</f>
        <v>0</v>
      </c>
      <c r="N19" s="778">
        <f t="shared" ref="N19:N23" si="7">H19-K19</f>
        <v>0</v>
      </c>
    </row>
    <row r="20" spans="1:14" ht="24.75" thickBot="1" x14ac:dyDescent="0.4">
      <c r="A20" s="1246"/>
      <c r="B20" s="786">
        <v>19</v>
      </c>
      <c r="C20" s="784" t="s">
        <v>1476</v>
      </c>
      <c r="D20" s="760" t="s">
        <v>1440</v>
      </c>
      <c r="E20" s="763" t="s">
        <v>1434</v>
      </c>
      <c r="F20" s="776">
        <f>16</f>
        <v>16</v>
      </c>
      <c r="G20" s="776">
        <f>34+0.9*2</f>
        <v>35.799999999999997</v>
      </c>
      <c r="H20" s="776">
        <v>0</v>
      </c>
      <c r="I20" s="776">
        <f>0.1*16+0.9*(9+7)</f>
        <v>16</v>
      </c>
      <c r="J20" s="776">
        <f>0.1*34+0.9*(20+16)</f>
        <v>35.799999999999997</v>
      </c>
      <c r="K20" s="776">
        <v>0</v>
      </c>
      <c r="L20" s="778">
        <f t="shared" si="5"/>
        <v>0</v>
      </c>
      <c r="M20" s="778">
        <f t="shared" si="6"/>
        <v>0</v>
      </c>
      <c r="N20" s="778">
        <f t="shared" si="7"/>
        <v>0</v>
      </c>
    </row>
    <row r="21" spans="1:14" ht="24.75" thickBot="1" x14ac:dyDescent="0.4">
      <c r="A21" s="1246"/>
      <c r="B21" s="786">
        <v>20</v>
      </c>
      <c r="C21" s="784" t="s">
        <v>1477</v>
      </c>
      <c r="D21" s="760" t="s">
        <v>1441</v>
      </c>
      <c r="E21" s="763" t="s">
        <v>1435</v>
      </c>
      <c r="F21" s="776">
        <f>15</f>
        <v>15</v>
      </c>
      <c r="G21" s="776">
        <f>32+(2/3)*2</f>
        <v>33.333333333333336</v>
      </c>
      <c r="H21" s="776">
        <v>0</v>
      </c>
      <c r="I21" s="776">
        <f>(1/3)*15+(2/3)*(9+6)</f>
        <v>15</v>
      </c>
      <c r="J21" s="776">
        <f>(1/3)*32+(2/3)*(20+14)</f>
        <v>33.333333333333329</v>
      </c>
      <c r="K21" s="776">
        <v>0</v>
      </c>
      <c r="L21" s="778">
        <f t="shared" si="5"/>
        <v>0</v>
      </c>
      <c r="M21" s="778">
        <f t="shared" si="6"/>
        <v>0</v>
      </c>
      <c r="N21" s="778">
        <f t="shared" si="7"/>
        <v>0</v>
      </c>
    </row>
    <row r="22" spans="1:14" ht="24.75" thickBot="1" x14ac:dyDescent="0.4">
      <c r="A22" s="1246"/>
      <c r="B22" s="786">
        <v>21</v>
      </c>
      <c r="C22" s="784" t="s">
        <v>1478</v>
      </c>
      <c r="D22" s="760" t="s">
        <v>1442</v>
      </c>
      <c r="E22" s="763" t="s">
        <v>1436</v>
      </c>
      <c r="F22" s="776">
        <f>I22</f>
        <v>13.137499999999999</v>
      </c>
      <c r="G22" s="776">
        <f>26+1.1375*2</f>
        <v>28.274999999999999</v>
      </c>
      <c r="H22" s="776">
        <v>0</v>
      </c>
      <c r="I22" s="776">
        <f>0.2125*(11)+0.175*(12)+0.0875*(13)+0.3125*(14)+0.2125*(15)</f>
        <v>13.137499999999999</v>
      </c>
      <c r="J22" s="776">
        <f>0.2125*(24)+0.175*(26)+0.0875*(28)+0.3125*(30)+0.2125*(32)</f>
        <v>28.274999999999999</v>
      </c>
      <c r="K22" s="776">
        <v>0</v>
      </c>
      <c r="L22" s="778">
        <f t="shared" si="5"/>
        <v>0</v>
      </c>
      <c r="M22" s="778">
        <f t="shared" si="6"/>
        <v>0</v>
      </c>
      <c r="N22" s="778">
        <f t="shared" si="7"/>
        <v>0</v>
      </c>
    </row>
    <row r="23" spans="1:14" ht="24.75" thickBot="1" x14ac:dyDescent="0.4">
      <c r="A23" s="1247"/>
      <c r="B23" s="786">
        <v>22</v>
      </c>
      <c r="C23" s="784" t="s">
        <v>1479</v>
      </c>
      <c r="D23" s="760" t="s">
        <v>1443</v>
      </c>
      <c r="E23" s="763" t="s">
        <v>1430</v>
      </c>
      <c r="F23" s="776">
        <f>8</f>
        <v>8</v>
      </c>
      <c r="G23" s="776">
        <f>18+0.5*2</f>
        <v>19</v>
      </c>
      <c r="H23" s="776">
        <v>0</v>
      </c>
      <c r="I23" s="776">
        <f>0.5*8+0.5*(4+4)</f>
        <v>8</v>
      </c>
      <c r="J23" s="776">
        <f>0.5*18+0.5*(10+10)</f>
        <v>19</v>
      </c>
      <c r="K23" s="776">
        <v>0</v>
      </c>
      <c r="L23" s="778">
        <f t="shared" si="5"/>
        <v>0</v>
      </c>
      <c r="M23" s="778">
        <f t="shared" si="6"/>
        <v>0</v>
      </c>
      <c r="N23" s="778">
        <f t="shared" si="7"/>
        <v>0</v>
      </c>
    </row>
    <row r="25" spans="1:14" ht="21" x14ac:dyDescent="0.25">
      <c r="D25" s="782"/>
    </row>
  </sheetData>
  <mergeCells count="6">
    <mergeCell ref="A18:A23"/>
    <mergeCell ref="L1:N1"/>
    <mergeCell ref="A2:A4"/>
    <mergeCell ref="A5:A6"/>
    <mergeCell ref="A7:A15"/>
    <mergeCell ref="A16:A1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7D14-0DFC-4CD2-9885-E702014E6BD2}">
  <dimension ref="F7:AO39"/>
  <sheetViews>
    <sheetView workbookViewId="0">
      <selection activeCell="P42" sqref="P42"/>
    </sheetView>
  </sheetViews>
  <sheetFormatPr defaultRowHeight="15" x14ac:dyDescent="0.25"/>
  <cols>
    <col min="7" max="7" width="12" customWidth="1"/>
  </cols>
  <sheetData>
    <row r="7" spans="6:38" x14ac:dyDescent="0.25">
      <c r="F7" t="s">
        <v>837</v>
      </c>
      <c r="G7">
        <v>0.72</v>
      </c>
    </row>
    <row r="8" spans="6:38" x14ac:dyDescent="0.25">
      <c r="F8" t="s">
        <v>836</v>
      </c>
      <c r="G8">
        <v>0.7</v>
      </c>
      <c r="M8" t="s">
        <v>1691</v>
      </c>
      <c r="Z8">
        <v>0.25963533461662064</v>
      </c>
      <c r="AA8">
        <v>0.68370638115710092</v>
      </c>
      <c r="AB8">
        <v>0.10194137532438745</v>
      </c>
      <c r="AC8">
        <v>0.17092659528927523</v>
      </c>
      <c r="AD8">
        <v>1.4738162273265771</v>
      </c>
      <c r="AE8">
        <v>0.10402181155549739</v>
      </c>
      <c r="AF8">
        <v>0.17092659528927523</v>
      </c>
      <c r="AG8">
        <v>0.17092659528927523</v>
      </c>
      <c r="AH8">
        <v>0.17092659528927523</v>
      </c>
      <c r="AI8">
        <v>0.7393948083273576</v>
      </c>
      <c r="AJ8">
        <v>2.6437224372541017</v>
      </c>
      <c r="AK8">
        <v>5.8743306767070846</v>
      </c>
    </row>
    <row r="9" spans="6:38" x14ac:dyDescent="0.25">
      <c r="F9" t="s">
        <v>915</v>
      </c>
      <c r="G9">
        <v>0.97</v>
      </c>
      <c r="M9" t="s">
        <v>1691</v>
      </c>
      <c r="Z9">
        <f>Z8/Z14</f>
        <v>2.0664568839830613E-2</v>
      </c>
      <c r="AA9">
        <f>AA8/Z14</f>
        <v>5.4416697944887273E-2</v>
      </c>
      <c r="AB9">
        <f>AB8/Z14</f>
        <v>8.1135896665544271E-3</v>
      </c>
      <c r="AC9">
        <f>AC8/Z14</f>
        <v>1.3604174486221818E-2</v>
      </c>
      <c r="AD9">
        <f>AD8/Z14</f>
        <v>0.1173021265838901</v>
      </c>
      <c r="AE9">
        <f>AE8/Z14</f>
        <v>8.2791731291371705E-3</v>
      </c>
      <c r="AF9">
        <f>AF8/Z14</f>
        <v>1.3604174486221818E-2</v>
      </c>
      <c r="AG9">
        <f>AG8/Z14</f>
        <v>1.3604174486221818E-2</v>
      </c>
      <c r="AH9">
        <f>AH8/Z14</f>
        <v>1.3604174486221818E-2</v>
      </c>
      <c r="AI9">
        <f>AI8/Z14</f>
        <v>5.8848981164507236E-2</v>
      </c>
      <c r="AJ9">
        <f>AJ8/Z14</f>
        <v>0.21041582948912266</v>
      </c>
      <c r="AK9">
        <f>AK8/Z14</f>
        <v>0.46754233523718325</v>
      </c>
    </row>
    <row r="10" spans="6:38" x14ac:dyDescent="0.25">
      <c r="F10" t="s">
        <v>1698</v>
      </c>
      <c r="G10">
        <v>0.42</v>
      </c>
      <c r="M10" t="s">
        <v>1691</v>
      </c>
      <c r="Z10">
        <f>Z9*100</f>
        <v>2.066456883983061</v>
      </c>
      <c r="AA10">
        <f t="shared" ref="AA10:AK10" si="0">AA9*100</f>
        <v>5.4416697944887273</v>
      </c>
      <c r="AB10">
        <f t="shared" si="0"/>
        <v>0.81135896665544271</v>
      </c>
      <c r="AC10">
        <f t="shared" si="0"/>
        <v>1.3604174486221818</v>
      </c>
      <c r="AD10">
        <f t="shared" si="0"/>
        <v>11.730212658389009</v>
      </c>
      <c r="AE10">
        <f t="shared" si="0"/>
        <v>0.82791731291371706</v>
      </c>
      <c r="AF10">
        <f t="shared" si="0"/>
        <v>1.3604174486221818</v>
      </c>
      <c r="AG10">
        <f t="shared" si="0"/>
        <v>1.3604174486221818</v>
      </c>
      <c r="AH10">
        <f t="shared" si="0"/>
        <v>1.3604174486221818</v>
      </c>
      <c r="AI10">
        <f t="shared" si="0"/>
        <v>5.8848981164507235</v>
      </c>
      <c r="AJ10">
        <f t="shared" si="0"/>
        <v>21.041582948912264</v>
      </c>
      <c r="AK10">
        <f t="shared" si="0"/>
        <v>46.754233523718327</v>
      </c>
      <c r="AL10">
        <f>SUM(Z10:AK10)</f>
        <v>100</v>
      </c>
    </row>
    <row r="11" spans="6:38" x14ac:dyDescent="0.25">
      <c r="F11" t="s">
        <v>1697</v>
      </c>
      <c r="G11">
        <v>0.49299999999999999</v>
      </c>
    </row>
    <row r="12" spans="6:38" x14ac:dyDescent="0.25">
      <c r="F12" t="s">
        <v>1696</v>
      </c>
      <c r="G12">
        <v>0.42</v>
      </c>
    </row>
    <row r="13" spans="6:38" x14ac:dyDescent="0.25">
      <c r="F13" t="s">
        <v>1695</v>
      </c>
      <c r="G13">
        <v>0.49399999999999999</v>
      </c>
    </row>
    <row r="14" spans="6:38" x14ac:dyDescent="0.25">
      <c r="F14" t="s">
        <v>1694</v>
      </c>
      <c r="G14">
        <v>0.67</v>
      </c>
      <c r="Z14">
        <f>SUM(Z8:AK8)</f>
        <v>12.564275433425829</v>
      </c>
    </row>
    <row r="15" spans="6:38" x14ac:dyDescent="0.25">
      <c r="F15" t="s">
        <v>1699</v>
      </c>
      <c r="G15">
        <v>0.4</v>
      </c>
    </row>
    <row r="16" spans="6:38" x14ac:dyDescent="0.25">
      <c r="F16" t="s">
        <v>1693</v>
      </c>
      <c r="G16">
        <v>0.04</v>
      </c>
    </row>
    <row r="17" spans="6:41" x14ac:dyDescent="0.25">
      <c r="G17">
        <v>0.08</v>
      </c>
      <c r="M17" t="s">
        <v>1692</v>
      </c>
      <c r="N17">
        <v>12.6</v>
      </c>
    </row>
    <row r="18" spans="6:41" x14ac:dyDescent="0.25">
      <c r="G18">
        <v>0.22</v>
      </c>
      <c r="I18" t="s">
        <v>441</v>
      </c>
      <c r="K18" t="s">
        <v>1005</v>
      </c>
      <c r="M18" t="s">
        <v>1689</v>
      </c>
      <c r="N18" t="s">
        <v>252</v>
      </c>
    </row>
    <row r="19" spans="6:41" x14ac:dyDescent="0.25">
      <c r="G19">
        <v>0.54</v>
      </c>
    </row>
    <row r="20" spans="6:41" x14ac:dyDescent="0.25">
      <c r="G20">
        <v>0.44</v>
      </c>
    </row>
    <row r="21" spans="6:41" x14ac:dyDescent="0.25">
      <c r="F21" t="s">
        <v>1690</v>
      </c>
      <c r="G21">
        <v>0.48</v>
      </c>
    </row>
    <row r="22" spans="6:41" x14ac:dyDescent="0.25">
      <c r="G22" t="s">
        <v>1688</v>
      </c>
    </row>
    <row r="24" spans="6:41" x14ac:dyDescent="0.25">
      <c r="G24">
        <f>AVERAGE(G7:G21)</f>
        <v>0.47246666666666665</v>
      </c>
    </row>
    <row r="27" spans="6:41" x14ac:dyDescent="0.25">
      <c r="I27" t="s">
        <v>837</v>
      </c>
      <c r="J27" t="s">
        <v>836</v>
      </c>
      <c r="K27" t="s">
        <v>915</v>
      </c>
      <c r="L27" t="s">
        <v>1698</v>
      </c>
      <c r="M27" t="s">
        <v>1697</v>
      </c>
      <c r="N27" t="s">
        <v>1696</v>
      </c>
      <c r="O27" t="s">
        <v>1695</v>
      </c>
      <c r="P27" t="s">
        <v>1694</v>
      </c>
      <c r="Q27" t="s">
        <v>1699</v>
      </c>
      <c r="R27" t="s">
        <v>1693</v>
      </c>
      <c r="S27" t="s">
        <v>1693</v>
      </c>
      <c r="T27" t="s">
        <v>1693</v>
      </c>
      <c r="U27" t="s">
        <v>1693</v>
      </c>
      <c r="V27" t="s">
        <v>1693</v>
      </c>
      <c r="Y27" t="s">
        <v>1735</v>
      </c>
      <c r="Z27" t="s">
        <v>1735</v>
      </c>
      <c r="AA27" t="s">
        <v>1735</v>
      </c>
      <c r="AB27" t="s">
        <v>1736</v>
      </c>
      <c r="AC27" t="s">
        <v>837</v>
      </c>
      <c r="AD27" t="s">
        <v>836</v>
      </c>
      <c r="AE27" t="s">
        <v>915</v>
      </c>
      <c r="AF27" t="s">
        <v>1734</v>
      </c>
      <c r="AG27" t="s">
        <v>1696</v>
      </c>
      <c r="AJ27" t="s">
        <v>836</v>
      </c>
      <c r="AK27" t="s">
        <v>915</v>
      </c>
      <c r="AL27" t="s">
        <v>838</v>
      </c>
      <c r="AM27" t="s">
        <v>1696</v>
      </c>
      <c r="AN27" t="s">
        <v>1697</v>
      </c>
      <c r="AO27" t="s">
        <v>1734</v>
      </c>
    </row>
    <row r="28" spans="6:41" x14ac:dyDescent="0.25">
      <c r="H28" t="s">
        <v>1343</v>
      </c>
      <c r="I28">
        <v>72</v>
      </c>
      <c r="J28">
        <v>70</v>
      </c>
      <c r="K28">
        <v>97</v>
      </c>
      <c r="L28">
        <v>42</v>
      </c>
      <c r="M28">
        <v>49.3</v>
      </c>
      <c r="N28">
        <v>42</v>
      </c>
      <c r="O28">
        <v>49.4</v>
      </c>
      <c r="P28">
        <v>67</v>
      </c>
      <c r="Q28">
        <v>40</v>
      </c>
      <c r="R28">
        <v>4</v>
      </c>
      <c r="S28">
        <v>8</v>
      </c>
      <c r="T28">
        <v>22</v>
      </c>
      <c r="U28">
        <v>54</v>
      </c>
      <c r="V28">
        <v>44</v>
      </c>
    </row>
    <row r="29" spans="6:41" x14ac:dyDescent="0.25">
      <c r="H29" t="s">
        <v>1729</v>
      </c>
      <c r="Y29">
        <v>5.6000000000000001E-2</v>
      </c>
      <c r="Z29">
        <v>4.8000000000000001E-2</v>
      </c>
      <c r="AA29">
        <v>4.9000000000000002E-2</v>
      </c>
      <c r="AB29">
        <v>0.08</v>
      </c>
      <c r="AC29">
        <v>4.9000000000000002E-2</v>
      </c>
      <c r="AD29">
        <v>5.7000000000000002E-2</v>
      </c>
      <c r="AE29">
        <v>4.3999999999999997E-2</v>
      </c>
      <c r="AF29">
        <v>5.389E-2</v>
      </c>
      <c r="AG29">
        <v>4.4999999999999998E-2</v>
      </c>
    </row>
    <row r="30" spans="6:41" x14ac:dyDescent="0.25">
      <c r="H30" t="s">
        <v>1730</v>
      </c>
      <c r="AJ30">
        <v>0.95</v>
      </c>
      <c r="AK30">
        <v>1</v>
      </c>
      <c r="AL30">
        <v>0.44680999999999998</v>
      </c>
      <c r="AM30">
        <v>0.59574000000000005</v>
      </c>
      <c r="AN30">
        <v>0.98148000000000002</v>
      </c>
      <c r="AO30">
        <v>0.74023000000000005</v>
      </c>
    </row>
    <row r="32" spans="6:41" x14ac:dyDescent="0.25">
      <c r="J32" t="s">
        <v>1731</v>
      </c>
      <c r="K32" t="s">
        <v>1732</v>
      </c>
    </row>
    <row r="33" spans="8:28" x14ac:dyDescent="0.25">
      <c r="H33" t="s">
        <v>1343</v>
      </c>
      <c r="J33">
        <f>AVERAGE(I28:V28)</f>
        <v>47.192857142857143</v>
      </c>
      <c r="K33">
        <f>_xlfn.STDEV.P(I28:V28)</f>
        <v>24.225914822346581</v>
      </c>
      <c r="AB33" t="s">
        <v>1733</v>
      </c>
    </row>
    <row r="34" spans="8:28" x14ac:dyDescent="0.25">
      <c r="J34">
        <f>(I28-J33)^2</f>
        <v>615.39433673469387</v>
      </c>
      <c r="K34">
        <f>(J28-J33)^2</f>
        <v>520.16576530612247</v>
      </c>
      <c r="L34">
        <f>(K28-J33)^2</f>
        <v>2480.7514795918369</v>
      </c>
      <c r="M34">
        <f>(L28-J33)^2</f>
        <v>26.965765306122449</v>
      </c>
      <c r="N34">
        <f>(M28-J33)^2</f>
        <v>4.4400510204081503</v>
      </c>
      <c r="O34">
        <f>(N28-J33)^2</f>
        <v>26.965765306122449</v>
      </c>
      <c r="P34">
        <f>(O28-J33)^2</f>
        <v>4.871479591836728</v>
      </c>
      <c r="Q34">
        <f>(P28-J33)^2</f>
        <v>392.32290816326531</v>
      </c>
      <c r="R34">
        <f>(Q28-J33)^2</f>
        <v>51.737193877551022</v>
      </c>
      <c r="S34">
        <f>(R28-J33)^2</f>
        <v>1865.6229081632653</v>
      </c>
      <c r="T34">
        <f>(S28-J33)^2</f>
        <v>1536.0800510204083</v>
      </c>
      <c r="U34">
        <f>(T28-J33)^2</f>
        <v>634.6800510204082</v>
      </c>
      <c r="V34">
        <f>(U28-J33)^2</f>
        <v>46.337193877551016</v>
      </c>
      <c r="W34">
        <f>(V28-J33)^2</f>
        <v>10.194336734693879</v>
      </c>
      <c r="AA34">
        <f>SUM(J34:W34)/14</f>
        <v>586.89494897959196</v>
      </c>
      <c r="AB34">
        <f>SQRT(AA34)</f>
        <v>24.225914822346585</v>
      </c>
    </row>
    <row r="38" spans="8:28" x14ac:dyDescent="0.25">
      <c r="H38" t="s">
        <v>1729</v>
      </c>
      <c r="J38">
        <f>AVERAGE(Y29:AG29)</f>
        <v>5.3543333333333332E-2</v>
      </c>
      <c r="K38">
        <f>_xlfn.STDEV.P(Y29:AG29)</f>
        <v>1.0296359658744546E-2</v>
      </c>
    </row>
    <row r="39" spans="8:28" x14ac:dyDescent="0.25">
      <c r="H39" t="s">
        <v>1730</v>
      </c>
      <c r="J39">
        <f>AVERAGE(AJ30:AO30)</f>
        <v>0.78571000000000002</v>
      </c>
      <c r="K39">
        <f>_xlfn.STDEV.P(AJ30:AO30)</f>
        <v>0.20986008926584043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75</vt:i4>
      </vt:variant>
    </vt:vector>
  </HeadingPairs>
  <TitlesOfParts>
    <vt:vector size="86" baseType="lpstr">
      <vt:lpstr>TCD Internal</vt:lpstr>
      <vt:lpstr>Fish Definition &amp; Particulars</vt:lpstr>
      <vt:lpstr>Data &amp; References</vt:lpstr>
      <vt:lpstr>Assumptions</vt:lpstr>
      <vt:lpstr>Fuel Production</vt:lpstr>
      <vt:lpstr>FuelProd1</vt:lpstr>
      <vt:lpstr>FuelProd2</vt:lpstr>
      <vt:lpstr>FuelProd3</vt:lpstr>
      <vt:lpstr>FuelProd4</vt:lpstr>
      <vt:lpstr>FuelProd5</vt:lpstr>
      <vt:lpstr>Sheet1</vt:lpstr>
      <vt:lpstr>Diesel_CH4EmissionFactor</vt:lpstr>
      <vt:lpstr>Diesel_CO2eEmissionsFactor</vt:lpstr>
      <vt:lpstr>Diesel_CO2EmissionFactor</vt:lpstr>
      <vt:lpstr>Diesel_Density</vt:lpstr>
      <vt:lpstr>Diesel_EmissionFactor</vt:lpstr>
      <vt:lpstr>Diesel_EnergyDensity</vt:lpstr>
      <vt:lpstr>Diesel_N2OEmissionFactor</vt:lpstr>
      <vt:lpstr>ElecCO2e_Belgium</vt:lpstr>
      <vt:lpstr>ElecCO2e_China</vt:lpstr>
      <vt:lpstr>ElecCO2e_Finland</vt:lpstr>
      <vt:lpstr>ElecCO2e_Germany</vt:lpstr>
      <vt:lpstr>ElecCO2e_Indonesia</vt:lpstr>
      <vt:lpstr>ElecCO2e_Netherlands</vt:lpstr>
      <vt:lpstr>ElecCO2e_USA</vt:lpstr>
      <vt:lpstr>GWP_CH4</vt:lpstr>
      <vt:lpstr>GWP_CO2</vt:lpstr>
      <vt:lpstr>GWP_N2O</vt:lpstr>
      <vt:lpstr>Jet_CH4EmissionFactor</vt:lpstr>
      <vt:lpstr>Jet_CO2eEmissionFactor</vt:lpstr>
      <vt:lpstr>Jet_CO2EmissionFactor</vt:lpstr>
      <vt:lpstr>Jet_Density</vt:lpstr>
      <vt:lpstr>Jet_DynVis</vt:lpstr>
      <vt:lpstr>Jet_EnergyDensity</vt:lpstr>
      <vt:lpstr>Jet_KinVis</vt:lpstr>
      <vt:lpstr>Jet_LCA89</vt:lpstr>
      <vt:lpstr>Jet_N2OEmissionFactor</vt:lpstr>
      <vt:lpstr>MarineFuel_CH4EmissionFactor</vt:lpstr>
      <vt:lpstr>MarineFuel_CO2eEmissionsFactor</vt:lpstr>
      <vt:lpstr>MarineFuel_CO2EmissionFactor</vt:lpstr>
      <vt:lpstr>MarineFuel_Density</vt:lpstr>
      <vt:lpstr>MarineFuel_EnergyDensity</vt:lpstr>
      <vt:lpstr>MarineFuel_N2OEmissionFactor</vt:lpstr>
      <vt:lpstr>neatHEFASAF_Density</vt:lpstr>
      <vt:lpstr>neatHEFASAF_DynVis</vt:lpstr>
      <vt:lpstr>neatHEFASAF_EnergyDensity</vt:lpstr>
      <vt:lpstr>neatHEFASAF_KinVis</vt:lpstr>
      <vt:lpstr>Pumping_kecf_Aircraft</vt:lpstr>
      <vt:lpstr>Pumping_kecf_BlendingFacility</vt:lpstr>
      <vt:lpstr>Pumping_kecf_CollectionReservoir</vt:lpstr>
      <vt:lpstr>Pumping_kecf_Refinery</vt:lpstr>
      <vt:lpstr>Pumping_kecf_Ship</vt:lpstr>
      <vt:lpstr>Pumping_kecf_StorageTank</vt:lpstr>
      <vt:lpstr>Pumping_kecf_Truck</vt:lpstr>
      <vt:lpstr>Pumping_Loss_Elbow</vt:lpstr>
      <vt:lpstr>Pumping_Loss_Entrance</vt:lpstr>
      <vt:lpstr>Pumping_Loss_Exit</vt:lpstr>
      <vt:lpstr>Pumping_Loss_Valve</vt:lpstr>
      <vt:lpstr>Pumping_p_Aircraft</vt:lpstr>
      <vt:lpstr>Pumping_p_BlendingFacility</vt:lpstr>
      <vt:lpstr>Pumping_p_CollectionReservoir</vt:lpstr>
      <vt:lpstr>Pumping_p_Refinery</vt:lpstr>
      <vt:lpstr>Pumping_p_Ship</vt:lpstr>
      <vt:lpstr>Pumping_p_StorageTank</vt:lpstr>
      <vt:lpstr>Pumping_p_Truck</vt:lpstr>
      <vt:lpstr>Pumping_v_Aircraft</vt:lpstr>
      <vt:lpstr>Pumping_v_BlendingFacility</vt:lpstr>
      <vt:lpstr>Pumping_v_CollectionReservoir</vt:lpstr>
      <vt:lpstr>Pumping_v_Refinery</vt:lpstr>
      <vt:lpstr>Pumping_v_Ship</vt:lpstr>
      <vt:lpstr>Pumping_v_StorageTank</vt:lpstr>
      <vt:lpstr>Pumping_v_Truck</vt:lpstr>
      <vt:lpstr>Pumping_z_Aircraft</vt:lpstr>
      <vt:lpstr>Pumping_z_BlendingFacility</vt:lpstr>
      <vt:lpstr>Pumping_z_CollectionReservoir</vt:lpstr>
      <vt:lpstr>Pumping_z_Refinery</vt:lpstr>
      <vt:lpstr>Pumping_z_Ship</vt:lpstr>
      <vt:lpstr>Pumping_z_StorageTank</vt:lpstr>
      <vt:lpstr>Pumping_z_Truck</vt:lpstr>
      <vt:lpstr>SAFYield</vt:lpstr>
      <vt:lpstr>Tanker_SAFTransported_kg</vt:lpstr>
      <vt:lpstr>Tanker_SAFTransported_MJ</vt:lpstr>
      <vt:lpstr>Tanker_UCOSAFeTransported_MJ</vt:lpstr>
      <vt:lpstr>UCO_Density</vt:lpstr>
      <vt:lpstr>UCO_DynVis</vt:lpstr>
      <vt:lpstr>UCO_KinVis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Liam Mannion</cp:lastModifiedBy>
  <dcterms:created xsi:type="dcterms:W3CDTF">2015-06-05T18:17:20Z</dcterms:created>
  <dcterms:modified xsi:type="dcterms:W3CDTF">2023-05-17T16:04:51Z</dcterms:modified>
</cp:coreProperties>
</file>