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angible Benefits" sheetId="2" r:id="rId5"/>
    <sheet state="visible" name="Onetime Costs" sheetId="3" r:id="rId6"/>
    <sheet state="visible" name="Recurring Costs" sheetId="4" r:id="rId7"/>
    <sheet state="visible" name="Tangible Costs" sheetId="5" r:id="rId8"/>
    <sheet state="visible" name="Breakeven Chart" sheetId="6" r:id="rId9"/>
  </sheets>
  <definedNames/>
  <calcPr/>
  <extLst>
    <ext uri="GoogleSheetsCustomDataVersion2">
      <go:sheetsCustomData xmlns:go="http://customooxmlschemas.google.com/" r:id="rId10" roundtripDataChecksum="eRrVSYHk0J4jWN7VL5u10bxcjy38q8psJv6pFwX+7M0="/>
    </ext>
  </extLst>
</workbook>
</file>

<file path=xl/sharedStrings.xml><?xml version="1.0" encoding="utf-8"?>
<sst xmlns="http://schemas.openxmlformats.org/spreadsheetml/2006/main" count="116" uniqueCount="69">
  <si>
    <t>Spielcraft Games - Account System</t>
  </si>
  <si>
    <t>Economic Feasibility Analysis</t>
  </si>
  <si>
    <t>Summary Sheet</t>
  </si>
  <si>
    <t>Year 0</t>
  </si>
  <si>
    <t>Year 1</t>
  </si>
  <si>
    <t>Year 2</t>
  </si>
  <si>
    <t>Year 3</t>
  </si>
  <si>
    <t>Year 4</t>
  </si>
  <si>
    <t>Year 5</t>
  </si>
  <si>
    <t>Net Economic Benefit</t>
  </si>
  <si>
    <t>Discount Rate (10%)</t>
  </si>
  <si>
    <t>PV of Benefits</t>
  </si>
  <si>
    <t>NPV of all Benefits</t>
  </si>
  <si>
    <t>Onetime Costs</t>
  </si>
  <si>
    <t>Recurring Costs</t>
  </si>
  <si>
    <t>PV of Recurring Costs</t>
  </si>
  <si>
    <t>NPV of all Costs</t>
  </si>
  <si>
    <t>Overall NPV</t>
  </si>
  <si>
    <t>ROI (Overall NPV/NPV of Costs)</t>
  </si>
  <si>
    <t>Break-even Analysis</t>
  </si>
  <si>
    <t>Annual NPV Cash Flow</t>
  </si>
  <si>
    <t>Overall NPV Cash Flow</t>
  </si>
  <si>
    <t>Last year negative Overall NPV Cash Flow</t>
  </si>
  <si>
    <t>Use the first year positive PV cash flow to calculate the breakeven fraction</t>
  </si>
  <si>
    <t>Actual breakeven occurred at</t>
  </si>
  <si>
    <t>Tangible Benefits</t>
  </si>
  <si>
    <t>Justification</t>
  </si>
  <si>
    <t>User revenue</t>
  </si>
  <si>
    <t>Estimated to aquisition 12000 users for first year. Each year after that to net grow of 25% per year and each user average spending $10. Without the account system the user would not be able to purchase items; so the benefit of the account system would be 25% of each user revenue. Thus it would mean account system would provide revenue of $2.5 per month per user. (10000 user first year * user growth of 25% (1+25/100) ^ year * $2.5/month/user * 12 months/year )</t>
  </si>
  <si>
    <t>Personalized user data revenue</t>
  </si>
  <si>
    <t xml:space="preserve">Personalized user data revenue = Total revenue per year * Percentage of revenue from personalized user data (1%). </t>
  </si>
  <si>
    <t>User support reduction cost</t>
  </si>
  <si>
    <t>Customer support cost reduction = (first year users 12,000 * user growth rate 25% (1 + 0.25) year ^ each support ticket cost $10) * support ticket reduction 15% (15 / 100)</t>
  </si>
  <si>
    <t>TOTAL Benefits</t>
  </si>
  <si>
    <t>Time for requirements gathering</t>
  </si>
  <si>
    <t>Need to work with different stakeholders to understand their needs ($50/hour/person * 7 persons * 10 hours/person)</t>
  </si>
  <si>
    <t>Design &amp; create the database</t>
  </si>
  <si>
    <t>Need to work with database developer to design and create account system database ($50/hour/developer * 1 developer * 20 hours/developer)</t>
  </si>
  <si>
    <t>Develop backend of account system</t>
  </si>
  <si>
    <t>Need to work with backend developers to create the backend of the account system ($58/hour/developer * 2 developer * 40 hours/developer)</t>
  </si>
  <si>
    <t>Develop frontend of account system</t>
  </si>
  <si>
    <t>Need to work with frontend developers to create the frontend of the account system ($70/hour/developer * 2 developer * 40 hours/developer)</t>
  </si>
  <si>
    <t>Design user interface</t>
  </si>
  <si>
    <t>Need to work with website designer to create the design for registration, login, profile, home and about pages ($32/hour/designer * 1 designer * 20 hours/designer)</t>
  </si>
  <si>
    <t>Develop technical support manual</t>
  </si>
  <si>
    <t>Need to work with a technical writer to provide account system technical manual ($22/hour/person * 1 person * 20 hours)</t>
  </si>
  <si>
    <t>Time to set up onboarding process</t>
  </si>
  <si>
    <t>Need to provide a good onboarding experience ($58/hour/developer * 2 developers * 40 hours)</t>
  </si>
  <si>
    <t>Infrastructure cost</t>
  </si>
  <si>
    <t>SUM</t>
  </si>
  <si>
    <t>Operation infrastructure maintenance cost</t>
  </si>
  <si>
    <t>Cost for infrastructure and engineers maintaining the service ($10/customer/year * 12000 customers/year first * customer growth 25% ^ year)</t>
  </si>
  <si>
    <t>Security cost</t>
  </si>
  <si>
    <t>Cost for protecting the account system and users ($0.50/customer/year * 12000 customers/year first * customer growth 25% ^ year)</t>
  </si>
  <si>
    <t>Insurance cost</t>
  </si>
  <si>
    <t>Cost for insurance ($3000/year)</t>
  </si>
  <si>
    <t>Scalability cost</t>
  </si>
  <si>
    <t>Cost for scalabiliting the account system and infrastructure ($1000/year)</t>
  </si>
  <si>
    <t>Failure or down time cost</t>
  </si>
  <si>
    <t>Cost of users not able to access the game and customer loss cost ($5/customer/year  * 12000 customers/year first * customer growth 25% ^ year)</t>
  </si>
  <si>
    <t>Support per customer</t>
  </si>
  <si>
    <t>Cost to support users ($25/hour/support tech * 1 tech * 0.25 hour/customer * 12000 customers/year first * customer growth 25% ^ year))</t>
  </si>
  <si>
    <t>Tangible Costs</t>
  </si>
  <si>
    <t>Total Onetime Costs</t>
  </si>
  <si>
    <t>Total Recurring Costs</t>
  </si>
  <si>
    <t>Total Tangible Costs</t>
  </si>
  <si>
    <t>Breakeven Chart</t>
  </si>
  <si>
    <t>NPV of Total Benefits</t>
  </si>
  <si>
    <t>NPV of Total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</si>
</sst>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0.000000"/>
    <numFmt numFmtId="166" formatCode="0.0%"/>
  </numFmts>
  <fonts count="4">
    <font>
      <sz val="12.0"/>
      <color theme="1"/>
      <name val="Calibri"/>
      <scheme val="minor"/>
    </font>
    <font>
      <color theme="1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0" fontId="3" numFmtId="2" xfId="0" applyFont="1" applyNumberFormat="1"/>
    <xf borderId="0" fillId="0" fontId="3" numFmtId="0" xfId="0" applyAlignment="1" applyFont="1">
      <alignment shrinkToFit="0" wrapText="1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NPV of Total Benefits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'Breakeven Chart'!$C$25:$H$25</c:f>
            </c:strRef>
          </c:cat>
          <c:val>
            <c:numRef>
              <c:f>'Breakeven Chart'!$C$26:$H$26</c:f>
              <c:numCache/>
            </c:numRef>
          </c:val>
          <c:smooth val="0"/>
        </c:ser>
        <c:ser>
          <c:idx val="1"/>
          <c:order val="1"/>
          <c:tx>
            <c:v>NPV of Total Costs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'Breakeven Chart'!$C$25:$H$25</c:f>
            </c:strRef>
          </c:cat>
          <c:val>
            <c:numRef>
              <c:f>'Breakeven Chart'!$C$27:$H$27</c:f>
              <c:numCache/>
            </c:numRef>
          </c:val>
          <c:smooth val="0"/>
        </c:ser>
        <c:axId val="1965033475"/>
        <c:axId val="387394153"/>
      </c:lineChart>
      <c:catAx>
        <c:axId val="19650334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87394153"/>
      </c:catAx>
      <c:valAx>
        <c:axId val="3873941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6503347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3</xdr:row>
      <xdr:rowOff>38100</xdr:rowOff>
    </xdr:from>
    <xdr:ext cx="8458200" cy="3733800"/>
    <xdr:graphicFrame>
      <xdr:nvGraphicFramePr>
        <xdr:cNvPr id="69133189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67"/>
    <col customWidth="1" min="6" max="6" width="12.11"/>
    <col customWidth="1" min="7" max="8" width="12.44"/>
    <col customWidth="1" min="9" max="9" width="13.44"/>
    <col customWidth="1" min="10" max="11" width="14.11"/>
    <col customWidth="1" min="12" max="12" width="10.67"/>
    <col customWidth="1" min="13" max="13" width="14.11"/>
    <col customWidth="1" min="14" max="26" width="10.6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9"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</row>
    <row r="10">
      <c r="A10" s="1" t="s">
        <v>9</v>
      </c>
      <c r="G10" s="3">
        <f>'Tangible Benefits'!G13</f>
        <v>381600</v>
      </c>
      <c r="H10" s="3">
        <f>'Tangible Benefits'!H13</f>
        <v>477000</v>
      </c>
      <c r="I10" s="3">
        <f>'Tangible Benefits'!I13</f>
        <v>596250</v>
      </c>
      <c r="J10" s="3">
        <f>'Tangible Benefits'!J13</f>
        <v>745312.5</v>
      </c>
      <c r="K10" s="3">
        <f>'Tangible Benefits'!K13</f>
        <v>931640.625</v>
      </c>
    </row>
    <row r="11">
      <c r="A11" s="1" t="s">
        <v>10</v>
      </c>
      <c r="G11" s="4">
        <f>1/1.1^1</f>
        <v>0.9090909091</v>
      </c>
      <c r="H11" s="4">
        <f>1/1.1^2</f>
        <v>0.826446281</v>
      </c>
      <c r="I11" s="4">
        <f>1/1.1^3</f>
        <v>0.7513148009</v>
      </c>
      <c r="J11" s="4">
        <f>1/1.1^4</f>
        <v>0.6830134554</v>
      </c>
      <c r="K11" s="4">
        <f>1/1.1^5</f>
        <v>0.6209213231</v>
      </c>
    </row>
    <row r="12">
      <c r="A12" s="1" t="s">
        <v>11</v>
      </c>
      <c r="G12" s="3">
        <f t="shared" ref="G12:K12" si="1">G10*G11</f>
        <v>346909.0909</v>
      </c>
      <c r="H12" s="3">
        <f t="shared" si="1"/>
        <v>394214.876</v>
      </c>
      <c r="I12" s="3">
        <f t="shared" si="1"/>
        <v>447971.45</v>
      </c>
      <c r="J12" s="3">
        <f t="shared" si="1"/>
        <v>509058.466</v>
      </c>
      <c r="K12" s="3">
        <f t="shared" si="1"/>
        <v>578475.5295</v>
      </c>
    </row>
    <row r="14">
      <c r="A14" s="1" t="s">
        <v>12</v>
      </c>
      <c r="G14" s="3">
        <f>G12</f>
        <v>346909.0909</v>
      </c>
      <c r="H14" s="3">
        <f t="shared" ref="H14:K14" si="2">G14+H12</f>
        <v>741123.9669</v>
      </c>
      <c r="I14" s="3">
        <f t="shared" si="2"/>
        <v>1189095.417</v>
      </c>
      <c r="J14" s="3">
        <f t="shared" si="2"/>
        <v>1698153.883</v>
      </c>
      <c r="K14" s="3">
        <f t="shared" si="2"/>
        <v>2276629.412</v>
      </c>
      <c r="M14" s="3">
        <f>K14</f>
        <v>2276629.412</v>
      </c>
    </row>
    <row r="17">
      <c r="A17" s="1" t="s">
        <v>13</v>
      </c>
      <c r="F17" s="3">
        <f>'Onetime Costs'!F18</f>
        <v>-25420</v>
      </c>
    </row>
    <row r="20">
      <c r="A20" s="1" t="s">
        <v>14</v>
      </c>
      <c r="G20" s="3">
        <f>'Recurring Costs'!G16</f>
        <v>-265000</v>
      </c>
      <c r="H20" s="3">
        <f>'Recurring Costs'!H16</f>
        <v>-330250</v>
      </c>
      <c r="I20" s="3">
        <f>'Recurring Costs'!I16</f>
        <v>-411812.5</v>
      </c>
      <c r="J20" s="3">
        <f>'Recurring Costs'!J16</f>
        <v>-513765.625</v>
      </c>
      <c r="K20" s="3">
        <f>'Recurring Costs'!K16</f>
        <v>-641207.0313</v>
      </c>
    </row>
    <row r="21">
      <c r="A21" s="1" t="s">
        <v>10</v>
      </c>
      <c r="G21" s="4">
        <f>1/1.1^1</f>
        <v>0.9090909091</v>
      </c>
      <c r="H21" s="4">
        <f>1/1.1^2</f>
        <v>0.826446281</v>
      </c>
      <c r="I21" s="4">
        <f>1/1.1^3</f>
        <v>0.7513148009</v>
      </c>
      <c r="J21" s="4">
        <f>1/1.1^4</f>
        <v>0.6830134554</v>
      </c>
      <c r="K21" s="4">
        <f>1/1.1^5</f>
        <v>0.6209213231</v>
      </c>
    </row>
    <row r="22">
      <c r="A22" s="1" t="s">
        <v>15</v>
      </c>
      <c r="G22" s="3">
        <f t="shared" ref="G22:K22" si="3">G20*G21</f>
        <v>-240909.0909</v>
      </c>
      <c r="H22" s="3">
        <f t="shared" si="3"/>
        <v>-272933.8843</v>
      </c>
      <c r="I22" s="3">
        <f t="shared" si="3"/>
        <v>-309400.8264</v>
      </c>
      <c r="J22" s="3">
        <f t="shared" si="3"/>
        <v>-350908.8348</v>
      </c>
      <c r="K22" s="3">
        <f t="shared" si="3"/>
        <v>-398139.1182</v>
      </c>
    </row>
    <row r="24">
      <c r="A24" s="1" t="s">
        <v>16</v>
      </c>
      <c r="F24" s="3">
        <f>F17</f>
        <v>-25420</v>
      </c>
      <c r="G24" s="3">
        <f t="shared" ref="G24:K24" si="4">F24+G22</f>
        <v>-266329.0909</v>
      </c>
      <c r="H24" s="3">
        <f t="shared" si="4"/>
        <v>-539262.9752</v>
      </c>
      <c r="I24" s="3">
        <f t="shared" si="4"/>
        <v>-848663.8017</v>
      </c>
      <c r="J24" s="3">
        <f t="shared" si="4"/>
        <v>-1199572.636</v>
      </c>
      <c r="K24" s="3">
        <f t="shared" si="4"/>
        <v>-1597711.755</v>
      </c>
      <c r="M24" s="3">
        <f>K24</f>
        <v>-1597711.755</v>
      </c>
    </row>
    <row r="26">
      <c r="A26" s="1" t="s">
        <v>17</v>
      </c>
      <c r="F26" s="3"/>
      <c r="G26" s="3"/>
      <c r="H26" s="3"/>
      <c r="I26" s="3"/>
      <c r="J26" s="3"/>
      <c r="K26" s="3"/>
      <c r="M26" s="3">
        <f>M24+M14</f>
        <v>678917.6578</v>
      </c>
    </row>
    <row r="29">
      <c r="A29" s="1" t="s">
        <v>18</v>
      </c>
      <c r="M29" s="5">
        <f>ABS(M26/M24)</f>
        <v>0.424931253</v>
      </c>
    </row>
    <row r="32">
      <c r="A32" s="1" t="s">
        <v>19</v>
      </c>
    </row>
    <row r="33">
      <c r="A33" s="1" t="s">
        <v>20</v>
      </c>
      <c r="F33" s="3">
        <f>F12+F17</f>
        <v>-25420</v>
      </c>
      <c r="G33" s="3">
        <f t="shared" ref="G33:K33" si="5">G12+G22</f>
        <v>106000</v>
      </c>
      <c r="H33" s="3">
        <f t="shared" si="5"/>
        <v>121280.9917</v>
      </c>
      <c r="I33" s="3">
        <f t="shared" si="5"/>
        <v>138570.6236</v>
      </c>
      <c r="J33" s="3">
        <f t="shared" si="5"/>
        <v>158149.6312</v>
      </c>
      <c r="K33" s="3">
        <f t="shared" si="5"/>
        <v>180336.4113</v>
      </c>
    </row>
    <row r="34">
      <c r="A34" s="1" t="s">
        <v>21</v>
      </c>
      <c r="F34" s="3">
        <f>F33</f>
        <v>-25420</v>
      </c>
      <c r="G34" s="3">
        <f t="shared" ref="G34:K34" si="6">G33+F34</f>
        <v>80580</v>
      </c>
      <c r="H34" s="3">
        <f t="shared" si="6"/>
        <v>201860.9917</v>
      </c>
      <c r="I34" s="3">
        <f t="shared" si="6"/>
        <v>340431.6153</v>
      </c>
      <c r="J34" s="3">
        <f t="shared" si="6"/>
        <v>498581.2465</v>
      </c>
      <c r="K34" s="3">
        <f t="shared" si="6"/>
        <v>678917.6578</v>
      </c>
    </row>
    <row r="38">
      <c r="A38" s="1" t="s">
        <v>22</v>
      </c>
      <c r="G38" s="1">
        <v>0.0</v>
      </c>
    </row>
    <row r="39">
      <c r="A39" s="1" t="s">
        <v>23</v>
      </c>
      <c r="G39" s="6">
        <f>ABS(F34)/G33</f>
        <v>0.2398113208</v>
      </c>
    </row>
    <row r="40">
      <c r="A40" s="1" t="s">
        <v>24</v>
      </c>
      <c r="G40" s="6">
        <f>G38+G39</f>
        <v>0.2398113208</v>
      </c>
    </row>
  </sheetData>
  <conditionalFormatting sqref="F17">
    <cfRule type="cellIs" dxfId="0" priority="1" operator="lessThan">
      <formula>0</formula>
    </cfRule>
  </conditionalFormatting>
  <conditionalFormatting sqref="F33">
    <cfRule type="cellIs" dxfId="0" priority="2" operator="lessThan">
      <formula>0</formula>
    </cfRule>
  </conditionalFormatting>
  <conditionalFormatting sqref="F10:M40">
    <cfRule type="cellIs" dxfId="0" priority="3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67"/>
    <col customWidth="1" min="7" max="11" width="13.44"/>
    <col customWidth="1" min="12" max="12" width="113.0"/>
    <col customWidth="1" min="13" max="26" width="10.67"/>
  </cols>
  <sheetData>
    <row r="1">
      <c r="A1" s="1" t="s">
        <v>0</v>
      </c>
    </row>
    <row r="2">
      <c r="A2" s="1" t="s">
        <v>1</v>
      </c>
    </row>
    <row r="3">
      <c r="A3" s="1" t="s">
        <v>25</v>
      </c>
    </row>
    <row r="9"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26</v>
      </c>
    </row>
    <row r="10">
      <c r="A10" s="1" t="s">
        <v>27</v>
      </c>
      <c r="G10" s="3">
        <f>12000*2.5*12</f>
        <v>360000</v>
      </c>
      <c r="H10" s="3">
        <f>(12000*(1+25/100))^1*2.5*12</f>
        <v>450000</v>
      </c>
      <c r="I10" s="3">
        <f>(12000*(1+25/100)^2)*2.5*12</f>
        <v>562500</v>
      </c>
      <c r="J10" s="3">
        <f>(12000*(1+25/100)^3)*2.5*12</f>
        <v>703125</v>
      </c>
      <c r="K10" s="3">
        <f>(12000*(1+25/100)^4)*2.5*12</f>
        <v>878906.25</v>
      </c>
      <c r="L10" s="7" t="s">
        <v>28</v>
      </c>
    </row>
    <row r="11">
      <c r="A11" s="1" t="s">
        <v>29</v>
      </c>
      <c r="G11" s="3">
        <f t="shared" ref="G11:K11" si="1">G10*(1/100)</f>
        <v>3600</v>
      </c>
      <c r="H11" s="3">
        <f t="shared" si="1"/>
        <v>4500</v>
      </c>
      <c r="I11" s="3">
        <f t="shared" si="1"/>
        <v>5625</v>
      </c>
      <c r="J11" s="3">
        <f t="shared" si="1"/>
        <v>7031.25</v>
      </c>
      <c r="K11" s="3">
        <f t="shared" si="1"/>
        <v>8789.0625</v>
      </c>
      <c r="L11" s="1" t="s">
        <v>30</v>
      </c>
    </row>
    <row r="12">
      <c r="A12" s="1" t="s">
        <v>31</v>
      </c>
      <c r="G12" s="3">
        <f>(12000 * 10) * (15 / 100)</f>
        <v>18000</v>
      </c>
      <c r="H12" s="3">
        <f> (12000 * (1 + 0.25)^1 * 10) * (15 / 100)</f>
        <v>22500</v>
      </c>
      <c r="I12" s="3">
        <f> (12000 * (1 + 0.25)^2 * 10) * (15 / 100)</f>
        <v>28125</v>
      </c>
      <c r="J12" s="3">
        <f> (12000 * (1 + 0.25)^3 * 10) * (15 / 100)</f>
        <v>35156.25</v>
      </c>
      <c r="K12" s="3">
        <f> (12000 * (1 + 0.25)^4 * 10) * (15 / 100)</f>
        <v>43945.3125</v>
      </c>
      <c r="L12" s="1" t="s">
        <v>32</v>
      </c>
    </row>
    <row r="13">
      <c r="E13" s="8" t="s">
        <v>33</v>
      </c>
      <c r="G13" s="9">
        <f t="shared" ref="G13:K13" si="2">SUM(G10:G12)</f>
        <v>381600</v>
      </c>
      <c r="H13" s="9">
        <f t="shared" si="2"/>
        <v>477000</v>
      </c>
      <c r="I13" s="9">
        <f t="shared" si="2"/>
        <v>596250</v>
      </c>
      <c r="J13" s="9">
        <f t="shared" si="2"/>
        <v>745312.5</v>
      </c>
      <c r="K13" s="9">
        <f t="shared" si="2"/>
        <v>931640.625</v>
      </c>
      <c r="L13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67"/>
    <col customWidth="1" min="6" max="6" width="12.11"/>
    <col customWidth="1" min="7" max="11" width="10.67"/>
    <col customWidth="1" min="12" max="12" width="100.0"/>
    <col customWidth="1" min="13" max="26" width="10.67"/>
  </cols>
  <sheetData>
    <row r="1">
      <c r="A1" s="1" t="s">
        <v>0</v>
      </c>
    </row>
    <row r="2">
      <c r="A2" s="1" t="s">
        <v>1</v>
      </c>
    </row>
    <row r="3">
      <c r="A3" s="1" t="s">
        <v>13</v>
      </c>
    </row>
    <row r="9"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26</v>
      </c>
    </row>
    <row r="10">
      <c r="A10" s="1" t="s">
        <v>34</v>
      </c>
      <c r="F10" s="3">
        <f>-50*7*10</f>
        <v>-3500</v>
      </c>
      <c r="L10" s="1" t="s">
        <v>35</v>
      </c>
    </row>
    <row r="11">
      <c r="A11" s="1" t="s">
        <v>36</v>
      </c>
      <c r="F11" s="3">
        <f>-48*1*20</f>
        <v>-960</v>
      </c>
      <c r="L11" s="1" t="s">
        <v>37</v>
      </c>
    </row>
    <row r="12">
      <c r="A12" s="1" t="s">
        <v>38</v>
      </c>
      <c r="F12" s="3">
        <f>-58*2*40</f>
        <v>-4640</v>
      </c>
      <c r="L12" s="1" t="s">
        <v>39</v>
      </c>
    </row>
    <row r="13">
      <c r="A13" s="1" t="s">
        <v>40</v>
      </c>
      <c r="F13" s="3">
        <f>-70*2*40</f>
        <v>-5600</v>
      </c>
      <c r="L13" s="1" t="s">
        <v>41</v>
      </c>
    </row>
    <row r="14">
      <c r="A14" s="1" t="s">
        <v>42</v>
      </c>
      <c r="F14" s="3">
        <f>-32*1*20</f>
        <v>-640</v>
      </c>
      <c r="L14" s="1" t="s">
        <v>43</v>
      </c>
    </row>
    <row r="15">
      <c r="A15" s="1" t="s">
        <v>44</v>
      </c>
      <c r="F15" s="3">
        <f>-22*1*20</f>
        <v>-440</v>
      </c>
      <c r="L15" s="1" t="s">
        <v>45</v>
      </c>
    </row>
    <row r="16">
      <c r="A16" s="1" t="s">
        <v>46</v>
      </c>
      <c r="F16" s="3">
        <f>-58*2*40</f>
        <v>-4640</v>
      </c>
      <c r="L16" s="1" t="s">
        <v>47</v>
      </c>
    </row>
    <row r="17">
      <c r="A17" s="1" t="s">
        <v>48</v>
      </c>
      <c r="F17" s="3">
        <f>-5000</f>
        <v>-5000</v>
      </c>
    </row>
    <row r="18">
      <c r="E18" s="8" t="s">
        <v>49</v>
      </c>
      <c r="F18" s="9">
        <f>SUM(F10:F17)</f>
        <v>-25420</v>
      </c>
    </row>
  </sheetData>
  <conditionalFormatting sqref="F10:F18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67"/>
    <col customWidth="1" min="7" max="7" width="15.11"/>
    <col customWidth="1" min="8" max="11" width="12.44"/>
    <col customWidth="1" min="12" max="12" width="109.0"/>
    <col customWidth="1" min="13" max="26" width="10.67"/>
  </cols>
  <sheetData>
    <row r="1">
      <c r="A1" s="1" t="s">
        <v>0</v>
      </c>
    </row>
    <row r="2">
      <c r="A2" s="1" t="s">
        <v>1</v>
      </c>
    </row>
    <row r="3">
      <c r="A3" s="1" t="s">
        <v>14</v>
      </c>
    </row>
    <row r="9"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26</v>
      </c>
    </row>
    <row r="10">
      <c r="A10" s="1" t="s">
        <v>50</v>
      </c>
      <c r="F10" s="3"/>
      <c r="G10" s="3">
        <f>-10*12000</f>
        <v>-120000</v>
      </c>
      <c r="H10" s="3">
        <f>-10*(12000 * (1 + 0.25)^1)</f>
        <v>-150000</v>
      </c>
      <c r="I10" s="3">
        <f>-10*(12000 * (1 + 0.25)^2)</f>
        <v>-187500</v>
      </c>
      <c r="J10" s="3">
        <f>-10*(12000 * (1 + 0.25)^3)</f>
        <v>-234375</v>
      </c>
      <c r="K10" s="3">
        <f>-10*(12000 * (1 + 0.25)^4)</f>
        <v>-292968.75</v>
      </c>
      <c r="L10" s="1" t="s">
        <v>51</v>
      </c>
    </row>
    <row r="11">
      <c r="A11" s="1" t="s">
        <v>52</v>
      </c>
      <c r="F11" s="3"/>
      <c r="G11" s="3">
        <f>-0.5*12000</f>
        <v>-6000</v>
      </c>
      <c r="H11" s="3">
        <f>-0.5*(12000 * (1 + 0.25)^1)</f>
        <v>-7500</v>
      </c>
      <c r="I11" s="3">
        <f>-0.5*(12000 * (1 + 0.25)^2)</f>
        <v>-9375</v>
      </c>
      <c r="J11" s="3">
        <f>-0.5*(12000 * (1 + 0.25)^3)</f>
        <v>-11718.75</v>
      </c>
      <c r="K11" s="3">
        <f>-0.5*(12000 * (1 + 0.25)^4)</f>
        <v>-14648.4375</v>
      </c>
      <c r="L11" s="1" t="s">
        <v>53</v>
      </c>
    </row>
    <row r="12">
      <c r="A12" s="1" t="s">
        <v>54</v>
      </c>
      <c r="F12" s="3"/>
      <c r="G12" s="3">
        <v>-3000.0</v>
      </c>
      <c r="H12" s="3">
        <v>-3000.0</v>
      </c>
      <c r="I12" s="3">
        <v>-3000.0</v>
      </c>
      <c r="J12" s="3">
        <v>-3000.0</v>
      </c>
      <c r="K12" s="3">
        <v>-3000.0</v>
      </c>
      <c r="L12" s="1" t="s">
        <v>55</v>
      </c>
    </row>
    <row r="13">
      <c r="A13" s="1" t="s">
        <v>56</v>
      </c>
      <c r="F13" s="3"/>
      <c r="G13" s="3">
        <v>-1000.0</v>
      </c>
      <c r="H13" s="3">
        <v>-1000.0</v>
      </c>
      <c r="I13" s="3">
        <v>-1000.0</v>
      </c>
      <c r="J13" s="3">
        <v>-1000.0</v>
      </c>
      <c r="K13" s="3">
        <v>-1000.0</v>
      </c>
      <c r="L13" s="1" t="s">
        <v>57</v>
      </c>
    </row>
    <row r="14">
      <c r="A14" s="1" t="s">
        <v>58</v>
      </c>
      <c r="F14" s="3"/>
      <c r="G14" s="3">
        <f>-5*12000</f>
        <v>-60000</v>
      </c>
      <c r="H14" s="3">
        <f>-5*(12000 * (1 + 0.25)^1)</f>
        <v>-75000</v>
      </c>
      <c r="I14" s="3">
        <f>-5*(12000 * (1 + 0.25)^2)</f>
        <v>-93750</v>
      </c>
      <c r="J14" s="3">
        <f>-5*(12000 * (1 + 0.25)^3)</f>
        <v>-117187.5</v>
      </c>
      <c r="K14" s="3">
        <f>-5*(12000 * (1 + 0.25)^4)</f>
        <v>-146484.375</v>
      </c>
      <c r="L14" s="1" t="s">
        <v>59</v>
      </c>
    </row>
    <row r="15">
      <c r="A15" s="1" t="s">
        <v>60</v>
      </c>
      <c r="F15" s="3"/>
      <c r="G15" s="3">
        <f>-25*0.25*(12000*1)</f>
        <v>-75000</v>
      </c>
      <c r="H15" s="3">
        <f>-25*1*0.25*(12000*(1+0.25)^1)</f>
        <v>-93750</v>
      </c>
      <c r="I15" s="3">
        <f>-25*1*0.25*(12000*(1+0.25)^2)</f>
        <v>-117187.5</v>
      </c>
      <c r="J15" s="3">
        <f>-25*1*0.25*(12000*(1+0.25)^3)</f>
        <v>-146484.375</v>
      </c>
      <c r="K15" s="3">
        <f>-25*1*0.25*(12000*(1+0.25)^4)</f>
        <v>-183105.4688</v>
      </c>
      <c r="L15" s="1" t="s">
        <v>61</v>
      </c>
    </row>
    <row r="16">
      <c r="E16" s="8" t="s">
        <v>49</v>
      </c>
      <c r="F16" s="9"/>
      <c r="G16" s="9">
        <f t="shared" ref="G16:K16" si="1">SUM(G10:G15)</f>
        <v>-265000</v>
      </c>
      <c r="H16" s="9">
        <f t="shared" si="1"/>
        <v>-330250</v>
      </c>
      <c r="I16" s="9">
        <f t="shared" si="1"/>
        <v>-411812.5</v>
      </c>
      <c r="J16" s="9">
        <f t="shared" si="1"/>
        <v>-513765.625</v>
      </c>
      <c r="K16" s="9">
        <f t="shared" si="1"/>
        <v>-641207.0313</v>
      </c>
    </row>
  </sheetData>
  <conditionalFormatting sqref="F10:K16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67"/>
    <col customWidth="1" min="6" max="6" width="12.11"/>
    <col customWidth="1" min="7" max="11" width="12.44"/>
    <col customWidth="1" min="12" max="26" width="10.67"/>
  </cols>
  <sheetData>
    <row r="1">
      <c r="A1" s="1" t="s">
        <v>0</v>
      </c>
    </row>
    <row r="2">
      <c r="A2" s="1" t="s">
        <v>1</v>
      </c>
    </row>
    <row r="3">
      <c r="A3" s="1" t="s">
        <v>62</v>
      </c>
    </row>
    <row r="9"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</row>
    <row r="10">
      <c r="A10" s="1" t="s">
        <v>63</v>
      </c>
      <c r="F10" s="3">
        <f>'Onetime Costs'!F18</f>
        <v>-25420</v>
      </c>
    </row>
    <row r="11">
      <c r="A11" s="1" t="s">
        <v>64</v>
      </c>
      <c r="G11" s="3">
        <f>'Recurring Costs'!G16</f>
        <v>-265000</v>
      </c>
      <c r="H11" s="3">
        <f>'Recurring Costs'!H16</f>
        <v>-330250</v>
      </c>
      <c r="I11" s="3">
        <f>'Recurring Costs'!I16</f>
        <v>-411812.5</v>
      </c>
      <c r="J11" s="3">
        <f>'Recurring Costs'!J16</f>
        <v>-513765.625</v>
      </c>
      <c r="K11" s="3">
        <f>'Recurring Costs'!K16</f>
        <v>-641207.0313</v>
      </c>
    </row>
    <row r="12">
      <c r="A12" s="8" t="s">
        <v>65</v>
      </c>
      <c r="E12" s="8" t="s">
        <v>49</v>
      </c>
      <c r="F12" s="9">
        <f t="shared" ref="F12:K12" si="1">SUM(F10:F11)</f>
        <v>-25420</v>
      </c>
      <c r="G12" s="9">
        <f t="shared" si="1"/>
        <v>-265000</v>
      </c>
      <c r="H12" s="9">
        <f t="shared" si="1"/>
        <v>-330250</v>
      </c>
      <c r="I12" s="9">
        <f t="shared" si="1"/>
        <v>-411812.5</v>
      </c>
      <c r="J12" s="9">
        <f t="shared" si="1"/>
        <v>-513765.625</v>
      </c>
      <c r="K12" s="9">
        <f t="shared" si="1"/>
        <v>-641207.0313</v>
      </c>
    </row>
  </sheetData>
  <conditionalFormatting sqref="F10:K12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3" width="12.33"/>
    <col customWidth="1" min="4" max="6" width="13.44"/>
    <col customWidth="1" min="7" max="8" width="14.44"/>
    <col customWidth="1" min="9" max="26" width="10.67"/>
  </cols>
  <sheetData>
    <row r="1">
      <c r="A1" s="1" t="s">
        <v>0</v>
      </c>
    </row>
    <row r="2">
      <c r="A2" s="1" t="s">
        <v>1</v>
      </c>
    </row>
    <row r="3">
      <c r="A3" s="1" t="s">
        <v>66</v>
      </c>
    </row>
    <row r="25"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</row>
    <row r="26">
      <c r="A26" s="1" t="s">
        <v>67</v>
      </c>
      <c r="C26" s="3" t="str">
        <f>Summary!F14</f>
        <v/>
      </c>
      <c r="D26" s="3">
        <f>Summary!G14</f>
        <v>346909.0909</v>
      </c>
      <c r="E26" s="3">
        <f>Summary!H14</f>
        <v>741123.9669</v>
      </c>
      <c r="F26" s="3">
        <f>Summary!I14</f>
        <v>1189095.417</v>
      </c>
      <c r="G26" s="3">
        <f>Summary!J14</f>
        <v>1698153.883</v>
      </c>
      <c r="H26" s="3">
        <f>Summary!K14</f>
        <v>2276629.412</v>
      </c>
    </row>
    <row r="27">
      <c r="A27" s="1" t="s">
        <v>68</v>
      </c>
      <c r="C27" s="3">
        <f>ABS(Summary!F24)</f>
        <v>25420</v>
      </c>
      <c r="D27" s="3">
        <f>ABS(Summary!G24)</f>
        <v>266329.0909</v>
      </c>
      <c r="E27" s="3">
        <f>ABS(Summary!H24)</f>
        <v>539262.9752</v>
      </c>
      <c r="F27" s="3">
        <f>ABS(Summary!I24)</f>
        <v>848663.8017</v>
      </c>
      <c r="G27" s="3">
        <f>ABS(Summary!J24)</f>
        <v>1199572.636</v>
      </c>
      <c r="H27" s="3">
        <f>ABS(Summary!K24)</f>
        <v>1597711.755</v>
      </c>
    </row>
  </sheetData>
  <conditionalFormatting sqref="C26:H27">
    <cfRule type="cellIs" dxfId="0" priority="1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2023-09-23T22:06:49Z</dcterms:created>
  <dc:creator>Georg Link</dc:creator>
</cp:coreProperties>
</file>