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conradnaleway/Desktop/Chem 280/"/>
    </mc:Choice>
  </mc:AlternateContent>
  <xr:revisionPtr revIDLastSave="0" documentId="13_ncr:1_{05263C24-F58C-9642-A5A6-AF7368EE2CC9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I16" i="1"/>
  <c r="B30" i="1"/>
  <c r="F18" i="1"/>
  <c r="F19" i="1"/>
  <c r="F20" i="1"/>
  <c r="F21" i="1"/>
  <c r="F22" i="1"/>
  <c r="B29" i="1"/>
  <c r="B25" i="1"/>
  <c r="B26" i="1"/>
  <c r="D18" i="1"/>
  <c r="D19" i="1"/>
  <c r="D20" i="1"/>
  <c r="D21" i="1"/>
  <c r="D22" i="1"/>
  <c r="B28" i="1"/>
  <c r="H30" i="1"/>
  <c r="H31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J23" i="1"/>
  <c r="C35" i="1"/>
  <c r="M36" i="1"/>
  <c r="M37" i="1"/>
  <c r="L30" i="1"/>
  <c r="M30" i="1"/>
  <c r="L31" i="1"/>
  <c r="M31" i="1"/>
  <c r="M19" i="1"/>
  <c r="N19" i="1"/>
  <c r="O19" i="1"/>
  <c r="M20" i="1"/>
  <c r="N20" i="1"/>
  <c r="O20" i="1"/>
  <c r="M21" i="1"/>
  <c r="N21" i="1"/>
  <c r="O21" i="1"/>
  <c r="M22" i="1"/>
  <c r="N22" i="1"/>
  <c r="O22" i="1"/>
  <c r="M18" i="1"/>
  <c r="N18" i="1"/>
  <c r="O18" i="1"/>
  <c r="N31" i="1"/>
  <c r="N30" i="1"/>
  <c r="J31" i="1"/>
  <c r="J30" i="1"/>
  <c r="K19" i="1"/>
  <c r="K20" i="1"/>
  <c r="K21" i="1"/>
  <c r="K22" i="1"/>
  <c r="K18" i="1"/>
  <c r="E19" i="1"/>
  <c r="E20" i="1"/>
  <c r="E21" i="1"/>
  <c r="E22" i="1"/>
  <c r="E18" i="1"/>
  <c r="B27" i="1"/>
  <c r="E2" i="2"/>
  <c r="F2" i="2"/>
  <c r="G2" i="2"/>
  <c r="E3" i="2"/>
  <c r="F3" i="2"/>
  <c r="G3" i="2"/>
  <c r="E4" i="2"/>
  <c r="F4" i="2"/>
  <c r="G4" i="2"/>
  <c r="E5" i="2"/>
  <c r="F5" i="2"/>
  <c r="G5" i="2"/>
  <c r="B7" i="2"/>
  <c r="B11" i="2"/>
  <c r="B8" i="2"/>
  <c r="B10" i="2"/>
  <c r="E7" i="2"/>
  <c r="F16" i="2"/>
  <c r="F14" i="2"/>
  <c r="B9" i="2"/>
  <c r="F15" i="2"/>
  <c r="I15" i="2"/>
  <c r="I16" i="2"/>
  <c r="D19" i="2"/>
  <c r="C21" i="2"/>
  <c r="C22" i="2"/>
  <c r="C1" i="3"/>
  <c r="C2" i="3"/>
  <c r="C3" i="3"/>
  <c r="C4" i="3"/>
  <c r="C5" i="3"/>
  <c r="C6" i="3"/>
  <c r="B7" i="3"/>
  <c r="D9" i="3"/>
  <c r="F9" i="3"/>
  <c r="F10" i="3"/>
  <c r="F11" i="3"/>
  <c r="F12" i="3"/>
  <c r="F13" i="3"/>
  <c r="C44" i="1"/>
  <c r="C43" i="1"/>
  <c r="C45" i="1"/>
  <c r="G6" i="2"/>
  <c r="C14" i="2"/>
  <c r="C23" i="2"/>
  <c r="D12" i="3"/>
  <c r="D10" i="3"/>
  <c r="E8" i="2"/>
  <c r="D13" i="3"/>
  <c r="D11" i="3"/>
  <c r="H43" i="1"/>
  <c r="H44" i="1"/>
  <c r="C17" i="2"/>
  <c r="C15" i="2"/>
  <c r="C16" i="2"/>
  <c r="C36" i="1"/>
  <c r="C37" i="1"/>
</calcChain>
</file>

<file path=xl/sharedStrings.xml><?xml version="1.0" encoding="utf-8"?>
<sst xmlns="http://schemas.openxmlformats.org/spreadsheetml/2006/main" count="65" uniqueCount="64">
  <si>
    <r>
      <rPr>
        <sz val="11"/>
        <color indexed="8"/>
        <rFont val="Symbol"/>
        <family val="1"/>
      </rPr>
      <t>S</t>
    </r>
    <r>
      <rPr>
        <sz val="11"/>
        <color theme="1"/>
        <rFont val="Calibri"/>
        <family val="2"/>
        <scheme val="minor"/>
      </rPr>
      <t>x</t>
    </r>
  </si>
  <si>
    <r>
      <rPr>
        <sz val="11"/>
        <color indexed="8"/>
        <rFont val="Symbol"/>
        <family val="1"/>
      </rPr>
      <t>S</t>
    </r>
    <r>
      <rPr>
        <sz val="11"/>
        <color theme="1"/>
        <rFont val="Calibri"/>
        <family val="2"/>
        <scheme val="minor"/>
      </rPr>
      <t>y</t>
    </r>
  </si>
  <si>
    <r>
      <rPr>
        <sz val="11"/>
        <color indexed="8"/>
        <rFont val="Symbol"/>
        <family val="1"/>
      </rPr>
      <t>S</t>
    </r>
    <r>
      <rPr>
        <sz val="11"/>
        <color theme="1"/>
        <rFont val="Calibri"/>
        <family val="2"/>
        <scheme val="minor"/>
      </rPr>
      <t>xy</t>
    </r>
  </si>
  <si>
    <t>m=</t>
  </si>
  <si>
    <t>R=</t>
  </si>
  <si>
    <t>b=</t>
  </si>
  <si>
    <t>d</t>
  </si>
  <si>
    <t>sy=</t>
  </si>
  <si>
    <t>sm</t>
  </si>
  <si>
    <t>sb</t>
  </si>
  <si>
    <t>sxx</t>
  </si>
  <si>
    <t>syy</t>
  </si>
  <si>
    <t>sxy</t>
  </si>
  <si>
    <r>
      <rPr>
        <sz val="11"/>
        <color indexed="8"/>
        <rFont val="Symbol"/>
        <family val="1"/>
      </rPr>
      <t>S</t>
    </r>
    <r>
      <rPr>
        <sz val="11"/>
        <color theme="1"/>
        <rFont val="Calibri"/>
        <family val="2"/>
        <scheme val="minor"/>
      </rPr>
      <t>y</t>
    </r>
    <r>
      <rPr>
        <vertAlign val="superscript"/>
        <sz val="11"/>
        <color indexed="8"/>
        <rFont val="Calibri"/>
        <family val="2"/>
      </rPr>
      <t>2</t>
    </r>
  </si>
  <si>
    <r>
      <rPr>
        <sz val="11"/>
        <color indexed="8"/>
        <rFont val="Symbol"/>
        <family val="1"/>
      </rPr>
      <t>S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indexed="8"/>
        <rFont val="Calibri"/>
        <family val="2"/>
      </rPr>
      <t>2</t>
    </r>
  </si>
  <si>
    <t>r=</t>
  </si>
  <si>
    <t>r2</t>
  </si>
  <si>
    <t>=SQRT(4/(4*B24-B21*B21))*G20</t>
  </si>
  <si>
    <r>
      <t>(y</t>
    </r>
    <r>
      <rPr>
        <vertAlign val="subscript"/>
        <sz val="11"/>
        <color indexed="8"/>
        <rFont val="Calibri"/>
        <family val="2"/>
      </rPr>
      <t xml:space="preserve">i </t>
    </r>
    <r>
      <rPr>
        <sz val="11"/>
        <color theme="1"/>
        <rFont val="Calibri"/>
        <family val="2"/>
        <scheme val="minor"/>
      </rPr>
      <t>-y)</t>
    </r>
    <r>
      <rPr>
        <vertAlign val="superscript"/>
        <sz val="11"/>
        <color indexed="8"/>
        <rFont val="Calibri"/>
        <family val="2"/>
      </rPr>
      <t>2</t>
    </r>
  </si>
  <si>
    <r>
      <t>y</t>
    </r>
    <r>
      <rPr>
        <vertAlign val="subscript"/>
        <sz val="11"/>
        <color indexed="8"/>
        <rFont val="Calibri"/>
        <family val="2"/>
      </rPr>
      <t xml:space="preserve">i </t>
    </r>
    <r>
      <rPr>
        <sz val="11"/>
        <color theme="1"/>
        <rFont val="Calibri"/>
        <family val="2"/>
        <scheme val="minor"/>
      </rPr>
      <t>-y</t>
    </r>
  </si>
  <si>
    <r>
      <t>S</t>
    </r>
    <r>
      <rPr>
        <sz val="11"/>
        <color theme="1"/>
        <rFont val="Calibri"/>
        <family val="2"/>
        <scheme val="minor"/>
      </rPr>
      <t>(y</t>
    </r>
    <r>
      <rPr>
        <vertAlign val="subscript"/>
        <sz val="11"/>
        <color indexed="8"/>
        <rFont val="Calibri"/>
        <family val="2"/>
      </rPr>
      <t xml:space="preserve">i </t>
    </r>
    <r>
      <rPr>
        <sz val="11"/>
        <color theme="1"/>
        <rFont val="Calibri"/>
        <family val="2"/>
        <scheme val="minor"/>
      </rPr>
      <t>-y)</t>
    </r>
    <r>
      <rPr>
        <vertAlign val="superscript"/>
        <sz val="11"/>
        <color indexed="8"/>
        <rFont val="Calibri"/>
        <family val="2"/>
      </rPr>
      <t>2</t>
    </r>
  </si>
  <si>
    <t xml:space="preserve"> </t>
  </si>
  <si>
    <t>SLOPE m=</t>
  </si>
  <si>
    <t>INTERCEPT b=</t>
  </si>
  <si>
    <r>
      <rPr>
        <sz val="14"/>
        <color indexed="39"/>
        <rFont val="Symbol"/>
        <family val="1"/>
      </rPr>
      <t>S</t>
    </r>
    <r>
      <rPr>
        <sz val="14"/>
        <color indexed="39"/>
        <rFont val="Cambria"/>
        <family val="1"/>
      </rPr>
      <t>x</t>
    </r>
  </si>
  <si>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y</t>
    </r>
  </si>
  <si>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y</t>
    </r>
    <r>
      <rPr>
        <vertAlign val="superscript"/>
        <sz val="14"/>
        <color indexed="39"/>
        <rFont val="Calibri"/>
        <family val="2"/>
      </rPr>
      <t>2</t>
    </r>
  </si>
  <si>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</t>
    </r>
    <r>
      <rPr>
        <vertAlign val="superscript"/>
        <sz val="14"/>
        <color indexed="39"/>
        <rFont val="Calibri"/>
        <family val="2"/>
      </rPr>
      <t>2</t>
    </r>
  </si>
  <si>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xy</t>
    </r>
  </si>
  <si>
    <r>
      <t>D= n*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</t>
    </r>
    <r>
      <rPr>
        <vertAlign val="superscript"/>
        <sz val="14"/>
        <color indexed="39"/>
        <rFont val="Calibri"/>
        <family val="2"/>
      </rPr>
      <t>2</t>
    </r>
    <r>
      <rPr>
        <sz val="14"/>
        <color indexed="39"/>
        <rFont val="Calibri"/>
        <family val="2"/>
      </rPr>
      <t xml:space="preserve"> - [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 ]</t>
    </r>
    <r>
      <rPr>
        <vertAlign val="superscript"/>
        <sz val="14"/>
        <color indexed="39"/>
        <rFont val="Calibri"/>
        <family val="2"/>
      </rPr>
      <t>2</t>
    </r>
  </si>
  <si>
    <r>
      <t xml:space="preserve">m = {n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 xml:space="preserve">xy -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 xml:space="preserve">x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y} / D</t>
    </r>
  </si>
  <si>
    <r>
      <t xml:space="preserve"> from the predicted fitted function </t>
    </r>
    <r>
      <rPr>
        <b/>
        <sz val="18"/>
        <color indexed="10"/>
        <rFont val="Calibri"/>
        <family val="2"/>
      </rPr>
      <t xml:space="preserve"> Y=Mx</t>
    </r>
    <r>
      <rPr>
        <b/>
        <vertAlign val="subscript"/>
        <sz val="18"/>
        <color indexed="10"/>
        <rFont val="Calibri"/>
        <family val="2"/>
      </rPr>
      <t>i</t>
    </r>
    <r>
      <rPr>
        <b/>
        <sz val="18"/>
        <color indexed="10"/>
        <rFont val="Calibri"/>
        <family val="2"/>
      </rPr>
      <t>+b</t>
    </r>
  </si>
  <si>
    <r>
      <rPr>
        <b/>
        <sz val="12"/>
        <color indexed="10"/>
        <rFont val="Calibri"/>
        <family val="2"/>
      </rPr>
      <t>METHOD looks for the smallest square of variation of the dependent variable (</t>
    </r>
    <r>
      <rPr>
        <b/>
        <sz val="18"/>
        <color indexed="10"/>
        <rFont val="Calibri"/>
        <family val="2"/>
      </rPr>
      <t>Yi</t>
    </r>
    <r>
      <rPr>
        <b/>
        <sz val="11"/>
        <color indexed="10"/>
        <rFont val="Calibri"/>
        <family val="2"/>
      </rPr>
      <t xml:space="preserve">) </t>
    </r>
  </si>
  <si>
    <t>CORRELATION COEFFICEIENT</t>
  </si>
  <si>
    <r>
      <t>S</t>
    </r>
    <r>
      <rPr>
        <vertAlign val="subscript"/>
        <sz val="14"/>
        <color indexed="39"/>
        <rFont val="Times New Roman"/>
        <family val="1"/>
      </rPr>
      <t>m</t>
    </r>
    <r>
      <rPr>
        <sz val="14"/>
        <color indexed="39"/>
        <rFont val="Times New Roman"/>
        <family val="1"/>
      </rPr>
      <t xml:space="preserve"> = S</t>
    </r>
    <r>
      <rPr>
        <vertAlign val="subscript"/>
        <sz val="14"/>
        <color indexed="39"/>
        <rFont val="Times New Roman"/>
        <family val="1"/>
      </rPr>
      <t>y</t>
    </r>
    <r>
      <rPr>
        <sz val="14"/>
        <color indexed="39"/>
        <rFont val="Times New Roman"/>
        <family val="1"/>
      </rPr>
      <t xml:space="preserve">*{ n/ [n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</t>
    </r>
    <r>
      <rPr>
        <vertAlign val="superscript"/>
        <sz val="14"/>
        <color indexed="39"/>
        <rFont val="Calibri"/>
        <family val="2"/>
      </rPr>
      <t xml:space="preserve">2 </t>
    </r>
    <r>
      <rPr>
        <sz val="14"/>
        <color indexed="39"/>
        <rFont val="Calibri"/>
        <family val="2"/>
      </rPr>
      <t xml:space="preserve"> -(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x)</t>
    </r>
    <r>
      <rPr>
        <vertAlign val="superscript"/>
        <sz val="14"/>
        <color indexed="39"/>
        <rFont val="Calibri"/>
        <family val="2"/>
      </rPr>
      <t>2</t>
    </r>
    <r>
      <rPr>
        <sz val="14"/>
        <color indexed="39"/>
        <rFont val="Calibri"/>
        <family val="2"/>
      </rPr>
      <t xml:space="preserve"> ] }</t>
    </r>
    <r>
      <rPr>
        <vertAlign val="superscript"/>
        <sz val="14"/>
        <color indexed="39"/>
        <rFont val="Calibri"/>
        <family val="2"/>
      </rPr>
      <t>1/2</t>
    </r>
  </si>
  <si>
    <r>
      <t>S</t>
    </r>
    <r>
      <rPr>
        <vertAlign val="subscript"/>
        <sz val="14"/>
        <color indexed="39"/>
        <rFont val="Times New Roman"/>
        <family val="1"/>
      </rPr>
      <t>b</t>
    </r>
    <r>
      <rPr>
        <sz val="14"/>
        <color indexed="39"/>
        <rFont val="Times New Roman"/>
        <family val="1"/>
      </rPr>
      <t xml:space="preserve"> = S</t>
    </r>
    <r>
      <rPr>
        <vertAlign val="subscript"/>
        <sz val="14"/>
        <color indexed="39"/>
        <rFont val="Times New Roman"/>
        <family val="1"/>
      </rPr>
      <t>y</t>
    </r>
    <r>
      <rPr>
        <sz val="14"/>
        <color indexed="39"/>
        <rFont val="Times New Roman"/>
        <family val="1"/>
      </rPr>
      <t xml:space="preserve">*{ </t>
    </r>
    <r>
      <rPr>
        <sz val="14"/>
        <color indexed="39"/>
        <rFont val="Symbol"/>
        <family val="1"/>
      </rPr>
      <t>S</t>
    </r>
    <r>
      <rPr>
        <sz val="14"/>
        <color indexed="39"/>
        <rFont val="Times New Roman"/>
        <family val="1"/>
      </rPr>
      <t>x</t>
    </r>
    <r>
      <rPr>
        <vertAlign val="superscript"/>
        <sz val="14"/>
        <color indexed="39"/>
        <rFont val="Times New Roman"/>
        <family val="1"/>
      </rPr>
      <t>2</t>
    </r>
    <r>
      <rPr>
        <sz val="14"/>
        <color indexed="39"/>
        <rFont val="Times New Roman"/>
        <family val="1"/>
      </rPr>
      <t xml:space="preserve">/ [n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</t>
    </r>
    <r>
      <rPr>
        <vertAlign val="superscript"/>
        <sz val="14"/>
        <color indexed="39"/>
        <rFont val="Calibri"/>
        <family val="2"/>
      </rPr>
      <t xml:space="preserve">2 </t>
    </r>
    <r>
      <rPr>
        <sz val="14"/>
        <color indexed="39"/>
        <rFont val="Calibri"/>
        <family val="2"/>
      </rPr>
      <t xml:space="preserve"> -(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x)</t>
    </r>
    <r>
      <rPr>
        <vertAlign val="superscript"/>
        <sz val="14"/>
        <color indexed="39"/>
        <rFont val="Calibri"/>
        <family val="2"/>
      </rPr>
      <t>2</t>
    </r>
    <r>
      <rPr>
        <sz val="14"/>
        <color indexed="39"/>
        <rFont val="Calibri"/>
        <family val="2"/>
      </rPr>
      <t xml:space="preserve"> ] }</t>
    </r>
    <r>
      <rPr>
        <vertAlign val="superscript"/>
        <sz val="14"/>
        <color indexed="39"/>
        <rFont val="Calibri"/>
        <family val="2"/>
      </rPr>
      <t>1/2</t>
    </r>
  </si>
  <si>
    <r>
      <t>S</t>
    </r>
    <r>
      <rPr>
        <vertAlign val="subscript"/>
        <sz val="14"/>
        <color indexed="39"/>
        <rFont val="Calibri"/>
        <family val="2"/>
      </rPr>
      <t>xx</t>
    </r>
    <r>
      <rPr>
        <sz val="14"/>
        <color indexed="39"/>
        <rFont val="Calibri"/>
        <family val="2"/>
      </rPr>
      <t xml:space="preserve">=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</t>
    </r>
    <r>
      <rPr>
        <vertAlign val="superscript"/>
        <sz val="14"/>
        <color indexed="39"/>
        <rFont val="Calibri"/>
        <family val="2"/>
      </rPr>
      <t xml:space="preserve">2 </t>
    </r>
    <r>
      <rPr>
        <sz val="14"/>
        <color indexed="39"/>
        <rFont val="Calibri"/>
        <family val="2"/>
      </rPr>
      <t>-(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x)</t>
    </r>
    <r>
      <rPr>
        <vertAlign val="superscript"/>
        <sz val="14"/>
        <color indexed="39"/>
        <rFont val="Calibri"/>
        <family val="2"/>
      </rPr>
      <t>2</t>
    </r>
    <r>
      <rPr>
        <sz val="14"/>
        <color indexed="39"/>
        <rFont val="Calibri"/>
        <family val="2"/>
      </rPr>
      <t>/n</t>
    </r>
  </si>
  <si>
    <r>
      <t>S</t>
    </r>
    <r>
      <rPr>
        <vertAlign val="subscript"/>
        <sz val="14"/>
        <color indexed="39"/>
        <rFont val="Calibri"/>
        <family val="2"/>
      </rPr>
      <t>yy</t>
    </r>
    <r>
      <rPr>
        <sz val="14"/>
        <color indexed="39"/>
        <rFont val="Calibri"/>
        <family val="2"/>
      </rPr>
      <t xml:space="preserve">= </t>
    </r>
    <r>
      <rPr>
        <sz val="14"/>
        <color indexed="39"/>
        <rFont val="Symbol"/>
        <family val="1"/>
      </rPr>
      <t>S</t>
    </r>
    <r>
      <rPr>
        <sz val="14"/>
        <color indexed="39"/>
        <rFont val="Times New Roman"/>
        <family val="1"/>
      </rPr>
      <t>y</t>
    </r>
    <r>
      <rPr>
        <vertAlign val="superscript"/>
        <sz val="14"/>
        <color indexed="39"/>
        <rFont val="Calibri"/>
        <family val="2"/>
      </rPr>
      <t xml:space="preserve">2 </t>
    </r>
    <r>
      <rPr>
        <sz val="14"/>
        <color indexed="39"/>
        <rFont val="Calibri"/>
        <family val="2"/>
      </rPr>
      <t>-(</t>
    </r>
    <r>
      <rPr>
        <sz val="14"/>
        <color indexed="39"/>
        <rFont val="Symbol"/>
        <family val="1"/>
      </rPr>
      <t>S</t>
    </r>
    <r>
      <rPr>
        <sz val="14"/>
        <color indexed="39"/>
        <rFont val="Times New Roman"/>
        <family val="1"/>
      </rPr>
      <t>y</t>
    </r>
    <r>
      <rPr>
        <sz val="14"/>
        <color indexed="39"/>
        <rFont val="Calibri"/>
        <family val="2"/>
      </rPr>
      <t>)</t>
    </r>
    <r>
      <rPr>
        <vertAlign val="superscript"/>
        <sz val="14"/>
        <color indexed="39"/>
        <rFont val="Calibri"/>
        <family val="2"/>
      </rPr>
      <t>2</t>
    </r>
    <r>
      <rPr>
        <sz val="14"/>
        <color indexed="39"/>
        <rFont val="Calibri"/>
        <family val="2"/>
      </rPr>
      <t>/n</t>
    </r>
  </si>
  <si>
    <r>
      <t>S</t>
    </r>
    <r>
      <rPr>
        <vertAlign val="subscript"/>
        <sz val="14"/>
        <color indexed="39"/>
        <rFont val="Calibri"/>
        <family val="2"/>
      </rPr>
      <t>xy</t>
    </r>
    <r>
      <rPr>
        <sz val="14"/>
        <color indexed="39"/>
        <rFont val="Calibri"/>
        <family val="2"/>
      </rPr>
      <t xml:space="preserve">= </t>
    </r>
    <r>
      <rPr>
        <sz val="14"/>
        <color indexed="39"/>
        <rFont val="Symbol"/>
        <family val="1"/>
      </rPr>
      <t>S</t>
    </r>
    <r>
      <rPr>
        <sz val="14"/>
        <color indexed="39"/>
        <rFont val="Times New Roman"/>
        <family val="1"/>
      </rPr>
      <t>xy</t>
    </r>
    <r>
      <rPr>
        <vertAlign val="superscript"/>
        <sz val="14"/>
        <color indexed="39"/>
        <rFont val="Calibri"/>
        <family val="2"/>
      </rPr>
      <t xml:space="preserve"> </t>
    </r>
    <r>
      <rPr>
        <sz val="14"/>
        <color indexed="39"/>
        <rFont val="Calibri"/>
        <family val="2"/>
      </rPr>
      <t>-</t>
    </r>
    <r>
      <rPr>
        <sz val="14"/>
        <color indexed="39"/>
        <rFont val="Symbol"/>
        <family val="1"/>
      </rPr>
      <t>S</t>
    </r>
    <r>
      <rPr>
        <sz val="14"/>
        <color indexed="39"/>
        <rFont val="Times New Roman"/>
        <family val="1"/>
      </rPr>
      <t>x</t>
    </r>
    <r>
      <rPr>
        <sz val="14"/>
        <color indexed="39"/>
        <rFont val="Symbol"/>
        <family val="1"/>
      </rPr>
      <t>S</t>
    </r>
    <r>
      <rPr>
        <sz val="14"/>
        <color indexed="39"/>
        <rFont val="Times New Roman"/>
        <family val="1"/>
      </rPr>
      <t>y</t>
    </r>
    <r>
      <rPr>
        <sz val="14"/>
        <color indexed="39"/>
        <rFont val="Calibri"/>
        <family val="2"/>
      </rPr>
      <t>)/n</t>
    </r>
  </si>
  <si>
    <r>
      <t>R</t>
    </r>
    <r>
      <rPr>
        <vertAlign val="superscript"/>
        <sz val="14"/>
        <color indexed="39"/>
        <rFont val="Calibri"/>
        <family val="2"/>
      </rPr>
      <t xml:space="preserve">2 = </t>
    </r>
  </si>
  <si>
    <t>STANDARD DEVIATIONS</t>
  </si>
  <si>
    <r>
      <t>x</t>
    </r>
    <r>
      <rPr>
        <vertAlign val="subscript"/>
        <sz val="14"/>
        <color indexed="8"/>
        <rFont val="Calibri"/>
        <family val="2"/>
      </rPr>
      <t>i</t>
    </r>
  </si>
  <si>
    <r>
      <t>y</t>
    </r>
    <r>
      <rPr>
        <vertAlign val="subscript"/>
        <sz val="14"/>
        <color indexed="8"/>
        <rFont val="Calibri"/>
        <family val="2"/>
      </rPr>
      <t>i</t>
    </r>
  </si>
  <si>
    <t>N=</t>
  </si>
  <si>
    <r>
      <t>R=S</t>
    </r>
    <r>
      <rPr>
        <vertAlign val="subscript"/>
        <sz val="14"/>
        <color indexed="39"/>
        <rFont val="Calibri"/>
        <family val="2"/>
      </rPr>
      <t>xy</t>
    </r>
    <r>
      <rPr>
        <sz val="14"/>
        <color indexed="39"/>
        <rFont val="Calibri"/>
        <family val="2"/>
      </rPr>
      <t>/</t>
    </r>
    <r>
      <rPr>
        <sz val="14"/>
        <color indexed="39"/>
        <rFont val="Calibri"/>
        <family val="2"/>
      </rPr>
      <t>Sqrt</t>
    </r>
    <r>
      <rPr>
        <sz val="14"/>
        <color indexed="39"/>
        <rFont val="Calibri"/>
        <family val="2"/>
      </rPr>
      <t>(S</t>
    </r>
    <r>
      <rPr>
        <vertAlign val="subscript"/>
        <sz val="14"/>
        <color indexed="39"/>
        <rFont val="Calibri"/>
        <family val="2"/>
      </rPr>
      <t>xx</t>
    </r>
    <r>
      <rPr>
        <sz val="14"/>
        <color indexed="39"/>
        <rFont val="Calibri"/>
        <family val="2"/>
      </rPr>
      <t>S</t>
    </r>
    <r>
      <rPr>
        <vertAlign val="subscript"/>
        <sz val="14"/>
        <color indexed="39"/>
        <rFont val="Calibri"/>
        <family val="2"/>
      </rPr>
      <t>yy</t>
    </r>
    <r>
      <rPr>
        <sz val="14"/>
        <color indexed="39"/>
        <rFont val="Calibri"/>
        <family val="2"/>
      </rPr>
      <t xml:space="preserve">)= </t>
    </r>
  </si>
  <si>
    <r>
      <t>x</t>
    </r>
    <r>
      <rPr>
        <vertAlign val="superscript"/>
        <sz val="14"/>
        <color indexed="8"/>
        <rFont val="Calibri"/>
        <family val="2"/>
      </rPr>
      <t>2</t>
    </r>
    <r>
      <rPr>
        <vertAlign val="subscript"/>
        <sz val="14"/>
        <color indexed="8"/>
        <rFont val="Calibri"/>
        <family val="2"/>
      </rPr>
      <t>i</t>
    </r>
  </si>
  <si>
    <r>
      <t>y</t>
    </r>
    <r>
      <rPr>
        <vertAlign val="superscript"/>
        <sz val="14"/>
        <color indexed="8"/>
        <rFont val="Calibri"/>
        <family val="2"/>
      </rPr>
      <t>2</t>
    </r>
    <r>
      <rPr>
        <vertAlign val="subscript"/>
        <sz val="14"/>
        <color indexed="8"/>
        <rFont val="Calibri"/>
        <family val="2"/>
      </rPr>
      <t>i</t>
    </r>
  </si>
  <si>
    <t>xy</t>
  </si>
  <si>
    <t>y(predicted)</t>
  </si>
  <si>
    <t>%ERROR</t>
  </si>
  <si>
    <r>
      <t>S</t>
    </r>
    <r>
      <rPr>
        <vertAlign val="subscript"/>
        <sz val="16"/>
        <color indexed="39"/>
        <rFont val="Calibri"/>
        <family val="2"/>
      </rPr>
      <t>y</t>
    </r>
    <r>
      <rPr>
        <sz val="16"/>
        <color indexed="39"/>
        <rFont val="Calibri"/>
        <family val="2"/>
      </rPr>
      <t xml:space="preserve">={ </t>
    </r>
    <r>
      <rPr>
        <sz val="16"/>
        <color indexed="39"/>
        <rFont val="Symbol"/>
        <family val="1"/>
      </rPr>
      <t>S</t>
    </r>
    <r>
      <rPr>
        <sz val="16"/>
        <color indexed="39"/>
        <rFont val="Calibri"/>
        <family val="2"/>
      </rPr>
      <t>(y</t>
    </r>
    <r>
      <rPr>
        <vertAlign val="subscript"/>
        <sz val="16"/>
        <color indexed="39"/>
        <rFont val="Calibri"/>
        <family val="2"/>
      </rPr>
      <t>i</t>
    </r>
    <r>
      <rPr>
        <sz val="16"/>
        <color indexed="39"/>
        <rFont val="Calibri"/>
        <family val="2"/>
      </rPr>
      <t xml:space="preserve"> -y)</t>
    </r>
    <r>
      <rPr>
        <vertAlign val="superscript"/>
        <sz val="16"/>
        <color indexed="39"/>
        <rFont val="Calibri"/>
        <family val="2"/>
      </rPr>
      <t>2</t>
    </r>
    <r>
      <rPr>
        <sz val="16"/>
        <color indexed="39"/>
        <rFont val="Calibri"/>
        <family val="2"/>
      </rPr>
      <t>/(n-2)} ^0.5</t>
    </r>
  </si>
  <si>
    <r>
      <t>b =  {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</t>
    </r>
    <r>
      <rPr>
        <vertAlign val="superscript"/>
        <sz val="14"/>
        <color indexed="39"/>
        <rFont val="Calibri"/>
        <family val="2"/>
      </rPr>
      <t>2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 xml:space="preserve">y - </t>
    </r>
    <r>
      <rPr>
        <sz val="14"/>
        <color indexed="39"/>
        <rFont val="Symbol"/>
        <family val="1"/>
      </rPr>
      <t>S</t>
    </r>
    <r>
      <rPr>
        <sz val="14"/>
        <color indexed="39"/>
        <rFont val="Calibri"/>
        <family val="2"/>
      </rPr>
      <t>xy*</t>
    </r>
    <r>
      <rPr>
        <sz val="14"/>
        <color indexed="39"/>
        <rFont val="Symbol"/>
        <family val="1"/>
        <charset val="2"/>
      </rPr>
      <t>S</t>
    </r>
    <r>
      <rPr>
        <sz val="14"/>
        <color indexed="39"/>
        <rFont val="Calibri"/>
        <family val="2"/>
      </rPr>
      <t>x }  / D</t>
    </r>
  </si>
  <si>
    <t>y=f(x)</t>
  </si>
  <si>
    <t>x=f(y)</t>
  </si>
  <si>
    <t>x(predicted)</t>
  </si>
  <si>
    <r>
      <t>x</t>
    </r>
    <r>
      <rPr>
        <vertAlign val="subscript"/>
        <sz val="11"/>
        <color indexed="8"/>
        <rFont val="Calibri"/>
        <family val="2"/>
      </rPr>
      <t>i</t>
    </r>
    <r>
      <rPr>
        <sz val="11"/>
        <color theme="1"/>
        <rFont val="Calibri"/>
        <family val="2"/>
        <scheme val="minor"/>
      </rPr>
      <t>-x</t>
    </r>
  </si>
  <si>
    <t>Invert Fit</t>
  </si>
  <si>
    <t>Limit of Quantification = 10 Sy/m</t>
  </si>
  <si>
    <r>
      <t>Blank Detection Limit = y</t>
    </r>
    <r>
      <rPr>
        <b/>
        <vertAlign val="subscript"/>
        <sz val="16"/>
        <color indexed="30"/>
        <rFont val="Calibri"/>
        <family val="2"/>
      </rPr>
      <t>blank</t>
    </r>
    <r>
      <rPr>
        <b/>
        <sz val="16"/>
        <color indexed="30"/>
        <rFont val="Calibri"/>
        <family val="2"/>
      </rPr>
      <t xml:space="preserve"> + 3S</t>
    </r>
    <r>
      <rPr>
        <b/>
        <vertAlign val="subscript"/>
        <sz val="16"/>
        <color indexed="30"/>
        <rFont val="Calibri"/>
        <family val="2"/>
      </rPr>
      <t>y</t>
    </r>
    <r>
      <rPr>
        <b/>
        <sz val="16"/>
        <color indexed="30"/>
        <rFont val="Calibri"/>
        <family val="2"/>
      </rPr>
      <t>(blank alone)</t>
    </r>
  </si>
  <si>
    <r>
      <t>Signal Detection Limit (LOD) = 3.3 S</t>
    </r>
    <r>
      <rPr>
        <b/>
        <vertAlign val="subscript"/>
        <sz val="16"/>
        <color indexed="30"/>
        <rFont val="Calibri"/>
        <family val="2"/>
      </rPr>
      <t>y/</t>
    </r>
    <r>
      <rPr>
        <b/>
        <sz val="16"/>
        <color indexed="30"/>
        <rFont val="Calibri"/>
        <family val="2"/>
      </rPr>
      <t>m</t>
    </r>
  </si>
  <si>
    <t>Eurachem Link</t>
  </si>
  <si>
    <t>Chromatography Site LOD</t>
  </si>
  <si>
    <t>n</t>
  </si>
  <si>
    <t xml:space="preserve">"Correlation is not causation"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</si>
</sst>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0"/>
    <numFmt numFmtId="167" formatCode="0.0000"/>
  </numFmts>
  <fonts count="50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Symbol"/>
      <family val="1"/>
    </font>
    <font>
      <vertAlign val="superscript"/>
      <sz val="11"/>
      <color indexed="8"/>
      <name val="Calibri"/>
      <family val="2"/>
    </font>
    <font>
      <u/>
      <sz val="11"/>
      <color indexed="12"/>
      <name val="Calibri"/>
      <family val="2"/>
    </font>
    <font>
      <vertAlign val="subscript"/>
      <sz val="11"/>
      <color indexed="8"/>
      <name val="Calibri"/>
      <family val="2"/>
    </font>
    <font>
      <sz val="14"/>
      <color indexed="39"/>
      <name val="Calibri"/>
      <family val="2"/>
    </font>
    <font>
      <sz val="14"/>
      <color indexed="39"/>
      <name val="Symbol"/>
      <family val="1"/>
    </font>
    <font>
      <sz val="14"/>
      <color indexed="39"/>
      <name val="Cambria"/>
      <family val="1"/>
    </font>
    <font>
      <vertAlign val="superscript"/>
      <sz val="14"/>
      <color indexed="39"/>
      <name val="Calibri"/>
      <family val="2"/>
    </font>
    <font>
      <b/>
      <sz val="12"/>
      <color indexed="10"/>
      <name val="Calibri"/>
      <family val="2"/>
    </font>
    <font>
      <b/>
      <sz val="11"/>
      <color indexed="10"/>
      <name val="Calibri"/>
      <family val="2"/>
    </font>
    <font>
      <b/>
      <sz val="18"/>
      <color indexed="10"/>
      <name val="Calibri"/>
      <family val="2"/>
    </font>
    <font>
      <b/>
      <vertAlign val="subscript"/>
      <sz val="18"/>
      <color indexed="10"/>
      <name val="Calibri"/>
      <family val="2"/>
    </font>
    <font>
      <vertAlign val="subscript"/>
      <sz val="14"/>
      <color indexed="39"/>
      <name val="Calibri"/>
      <family val="2"/>
    </font>
    <font>
      <vertAlign val="subscript"/>
      <sz val="14"/>
      <color indexed="39"/>
      <name val="Times New Roman"/>
      <family val="1"/>
    </font>
    <font>
      <sz val="14"/>
      <color indexed="39"/>
      <name val="Times New Roman"/>
      <family val="1"/>
    </font>
    <font>
      <vertAlign val="superscript"/>
      <sz val="14"/>
      <color indexed="39"/>
      <name val="Times New Roman"/>
      <family val="1"/>
    </font>
    <font>
      <vertAlign val="subscript"/>
      <sz val="14"/>
      <color indexed="8"/>
      <name val="Calibri"/>
      <family val="2"/>
    </font>
    <font>
      <vertAlign val="superscript"/>
      <sz val="14"/>
      <color indexed="8"/>
      <name val="Calibri"/>
      <family val="2"/>
    </font>
    <font>
      <vertAlign val="subscript"/>
      <sz val="16"/>
      <color indexed="39"/>
      <name val="Calibri"/>
      <family val="2"/>
    </font>
    <font>
      <sz val="16"/>
      <color indexed="39"/>
      <name val="Calibri"/>
      <family val="2"/>
    </font>
    <font>
      <sz val="16"/>
      <color indexed="39"/>
      <name val="Symbol"/>
      <family val="1"/>
    </font>
    <font>
      <vertAlign val="superscript"/>
      <sz val="16"/>
      <color indexed="39"/>
      <name val="Calibri"/>
      <family val="2"/>
    </font>
    <font>
      <sz val="14"/>
      <color indexed="39"/>
      <name val="Symbol"/>
      <family val="1"/>
      <charset val="2"/>
    </font>
    <font>
      <b/>
      <sz val="16"/>
      <color indexed="30"/>
      <name val="Calibri"/>
      <family val="2"/>
    </font>
    <font>
      <b/>
      <vertAlign val="subscript"/>
      <sz val="16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0000FF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</font>
    <font>
      <sz val="16"/>
      <color rgb="FFFF0000"/>
      <name val="Calibri"/>
      <family val="2"/>
      <scheme val="minor"/>
    </font>
    <font>
      <b/>
      <sz val="16"/>
      <color rgb="FF3366FF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sz val="16"/>
      <color rgb="FF0000FF"/>
      <name val="Calibri"/>
      <family val="2"/>
    </font>
    <font>
      <b/>
      <sz val="16"/>
      <color rgb="FF0070C0"/>
      <name val="Calibri"/>
      <family val="2"/>
      <scheme val="minor"/>
    </font>
    <font>
      <b/>
      <sz val="16"/>
      <color rgb="FF0070C0"/>
      <name val="Calibri"/>
      <family val="2"/>
    </font>
    <font>
      <sz val="11"/>
      <color rgb="FF161616"/>
      <name val="Verdana,Italic"/>
    </font>
    <font>
      <sz val="14"/>
      <color rgb="FF0070C0"/>
      <name val="Calibri"/>
      <family val="2"/>
      <scheme val="minor"/>
    </font>
    <font>
      <sz val="18"/>
      <color rgb="FF001D35"/>
      <name val="Helvetica Neue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29" fillId="2" borderId="0" xfId="0" applyFont="1" applyFill="1"/>
    <xf numFmtId="0" fontId="30" fillId="0" borderId="0" xfId="0" applyFont="1"/>
    <xf numFmtId="0" fontId="31" fillId="0" borderId="0" xfId="0" applyFont="1"/>
    <xf numFmtId="166" fontId="31" fillId="0" borderId="0" xfId="0" quotePrefix="1" applyNumberFormat="1" applyFont="1"/>
    <xf numFmtId="0" fontId="32" fillId="0" borderId="0" xfId="0" applyFont="1"/>
    <xf numFmtId="0" fontId="33" fillId="0" borderId="0" xfId="0" applyFont="1"/>
    <xf numFmtId="167" fontId="29" fillId="2" borderId="0" xfId="0" applyNumberFormat="1" applyFont="1" applyFill="1"/>
    <xf numFmtId="167" fontId="29" fillId="2" borderId="0" xfId="0" quotePrefix="1" applyNumberFormat="1" applyFont="1" applyFill="1"/>
    <xf numFmtId="0" fontId="33" fillId="3" borderId="0" xfId="0" applyFont="1" applyFill="1"/>
    <xf numFmtId="0" fontId="30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34" fillId="0" borderId="0" xfId="0" applyFont="1"/>
    <xf numFmtId="0" fontId="33" fillId="4" borderId="0" xfId="0" applyFont="1" applyFill="1"/>
    <xf numFmtId="0" fontId="29" fillId="4" borderId="0" xfId="0" applyFont="1" applyFill="1"/>
    <xf numFmtId="167" fontId="29" fillId="4" borderId="0" xfId="0" quotePrefix="1" applyNumberFormat="1" applyFont="1" applyFill="1"/>
    <xf numFmtId="0" fontId="33" fillId="4" borderId="0" xfId="0" applyFont="1" applyFill="1" applyAlignment="1">
      <alignment horizontal="center"/>
    </xf>
    <xf numFmtId="167" fontId="29" fillId="4" borderId="0" xfId="0" applyNumberFormat="1" applyFont="1" applyFill="1"/>
    <xf numFmtId="0" fontId="0" fillId="4" borderId="0" xfId="0" applyFill="1"/>
    <xf numFmtId="166" fontId="33" fillId="4" borderId="0" xfId="0" quotePrefix="1" applyNumberFormat="1" applyFont="1" applyFill="1"/>
    <xf numFmtId="0" fontId="35" fillId="3" borderId="0" xfId="0" applyFont="1" applyFill="1" applyAlignment="1">
      <alignment horizontal="left"/>
    </xf>
    <xf numFmtId="0" fontId="36" fillId="0" borderId="0" xfId="0" applyFont="1" applyAlignment="1">
      <alignment horizontal="center"/>
    </xf>
    <xf numFmtId="166" fontId="36" fillId="0" borderId="0" xfId="0" quotePrefix="1" applyNumberFormat="1" applyFont="1" applyAlignment="1">
      <alignment horizontal="center"/>
    </xf>
    <xf numFmtId="166" fontId="37" fillId="4" borderId="0" xfId="0" applyNumberFormat="1" applyFont="1" applyFill="1"/>
    <xf numFmtId="0" fontId="38" fillId="3" borderId="0" xfId="0" quotePrefix="1" applyFont="1" applyFill="1"/>
    <xf numFmtId="0" fontId="38" fillId="3" borderId="0" xfId="0" applyFont="1" applyFill="1"/>
    <xf numFmtId="0" fontId="40" fillId="5" borderId="4" xfId="0" applyFont="1" applyFill="1" applyBorder="1" applyAlignment="1">
      <alignment horizontal="center" vertical="center"/>
    </xf>
    <xf numFmtId="0" fontId="40" fillId="5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40" fillId="5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167" fontId="0" fillId="2" borderId="4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28" fillId="2" borderId="5" xfId="0" applyFont="1" applyFill="1" applyBorder="1" applyAlignment="1">
      <alignment horizontal="center" vertical="center"/>
    </xf>
    <xf numFmtId="165" fontId="28" fillId="0" borderId="0" xfId="0" applyNumberFormat="1" applyFont="1"/>
    <xf numFmtId="2" fontId="28" fillId="2" borderId="0" xfId="0" applyNumberFormat="1" applyFont="1" applyFill="1" applyAlignment="1">
      <alignment horizontal="center"/>
    </xf>
    <xf numFmtId="2" fontId="41" fillId="5" borderId="4" xfId="0" applyNumberFormat="1" applyFont="1" applyFill="1" applyBorder="1" applyAlignment="1">
      <alignment horizontal="center"/>
    </xf>
    <xf numFmtId="164" fontId="41" fillId="5" borderId="4" xfId="0" applyNumberFormat="1" applyFont="1" applyFill="1" applyBorder="1" applyAlignment="1">
      <alignment horizontal="center"/>
    </xf>
    <xf numFmtId="0" fontId="42" fillId="0" borderId="0" xfId="0" applyFont="1"/>
    <xf numFmtId="0" fontId="43" fillId="3" borderId="0" xfId="0" applyFont="1" applyFill="1"/>
    <xf numFmtId="0" fontId="6" fillId="2" borderId="0" xfId="0" applyFont="1" applyFill="1"/>
    <xf numFmtId="167" fontId="32" fillId="0" borderId="0" xfId="0" applyNumberFormat="1" applyFont="1"/>
    <xf numFmtId="0" fontId="0" fillId="5" borderId="4" xfId="0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4" fillId="0" borderId="0" xfId="1" applyAlignment="1" applyProtection="1"/>
    <xf numFmtId="0" fontId="46" fillId="0" borderId="0" xfId="0" applyFont="1"/>
    <xf numFmtId="0" fontId="44" fillId="5" borderId="0" xfId="0" applyFont="1" applyFill="1"/>
    <xf numFmtId="0" fontId="27" fillId="5" borderId="0" xfId="0" applyFont="1" applyFill="1"/>
    <xf numFmtId="0" fontId="0" fillId="5" borderId="0" xfId="0" applyFill="1"/>
    <xf numFmtId="167" fontId="39" fillId="5" borderId="0" xfId="0" applyNumberFormat="1" applyFont="1" applyFill="1"/>
    <xf numFmtId="0" fontId="45" fillId="5" borderId="0" xfId="0" applyFont="1" applyFill="1"/>
    <xf numFmtId="167" fontId="39" fillId="5" borderId="0" xfId="0" quotePrefix="1" applyNumberFormat="1" applyFont="1" applyFill="1"/>
    <xf numFmtId="0" fontId="44" fillId="5" borderId="0" xfId="0" quotePrefix="1" applyFont="1" applyFill="1"/>
    <xf numFmtId="167" fontId="47" fillId="2" borderId="0" xfId="0" applyNumberFormat="1" applyFont="1" applyFill="1"/>
    <xf numFmtId="0" fontId="47" fillId="2" borderId="0" xfId="0" applyFont="1" applyFill="1" applyAlignment="1">
      <alignment horizontal="right"/>
    </xf>
    <xf numFmtId="0" fontId="48" fillId="0" borderId="0" xfId="0" applyFont="1"/>
    <xf numFmtId="0" fontId="4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260922653058E-2"/>
          <c:y val="8.2250937455888948E-2"/>
          <c:w val="0.87064570865677882"/>
          <c:h val="0.787877122486466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991303325890234"/>
                  <c:y val="6.095888013998250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Sheet1!$B$18:$B$22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Sheet1!$C$18:$C$22</c:f>
              <c:numCache>
                <c:formatCode>0.000</c:formatCode>
                <c:ptCount val="5"/>
                <c:pt idx="0">
                  <c:v>0.08</c:v>
                </c:pt>
                <c:pt idx="1">
                  <c:v>0.161</c:v>
                </c:pt>
                <c:pt idx="2">
                  <c:v>0.36799999999999999</c:v>
                </c:pt>
                <c:pt idx="3">
                  <c:v>0.73499999999999999</c:v>
                </c:pt>
                <c:pt idx="4">
                  <c:v>1.448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6-474B-8505-61048EEC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2991"/>
        <c:axId val="1"/>
      </c:scatterChart>
      <c:valAx>
        <c:axId val="9125299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1252991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6D9F1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3645391261949"/>
          <c:y val="0.12426017552096501"/>
          <c:w val="0.54913314171345151"/>
          <c:h val="0.674555238542381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4.0399999999999998E-2</c:v>
                </c:pt>
                <c:pt idx="1">
                  <c:v>0.32840000000000003</c:v>
                </c:pt>
                <c:pt idx="2">
                  <c:v>0.6754</c:v>
                </c:pt>
                <c:pt idx="3">
                  <c:v>1.4283999999999999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AD4B-9433-3A93A5C5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9183"/>
        <c:axId val="1"/>
      </c:scatterChart>
      <c:valAx>
        <c:axId val="3818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189183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55386646033413"/>
          <c:y val="0.3867542030219196"/>
          <c:w val="0.28035569614491829"/>
          <c:h val="0.14917684613747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25400</xdr:rowOff>
    </xdr:from>
    <xdr:to>
      <xdr:col>5</xdr:col>
      <xdr:colOff>88900</xdr:colOff>
      <xdr:row>11</xdr:row>
      <xdr:rowOff>139700</xdr:rowOff>
    </xdr:to>
    <xdr:graphicFrame macro="">
      <xdr:nvGraphicFramePr>
        <xdr:cNvPr id="1093" name="Chart 5">
          <a:extLst>
            <a:ext uri="{FF2B5EF4-FFF2-40B4-BE49-F238E27FC236}">
              <a16:creationId xmlns:a16="http://schemas.microsoft.com/office/drawing/2014/main" id="{EB8C555F-759B-4D78-595C-697C8B5D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445762</xdr:colOff>
      <xdr:row>42</xdr:row>
      <xdr:rowOff>67283</xdr:rowOff>
    </xdr:from>
    <xdr:to>
      <xdr:col>11</xdr:col>
      <xdr:colOff>585462</xdr:colOff>
      <xdr:row>48</xdr:row>
      <xdr:rowOff>105383</xdr:rowOff>
    </xdr:to>
    <xdr:pic>
      <xdr:nvPicPr>
        <xdr:cNvPr id="2" name="rimg_e6qOZ8j9MYnaptQP3v7T2Ac_1" descr="Correlation is not causation. The profound implications of ...">
          <a:extLst>
            <a:ext uri="{FF2B5EF4-FFF2-40B4-BE49-F238E27FC236}">
              <a16:creationId xmlns:a16="http://schemas.microsoft.com/office/drawing/2014/main" id="{B722BE71-0793-9254-5E5E-30A649F31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444" y="9831985"/>
          <a:ext cx="1796588" cy="1442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660470</xdr:colOff>
      <xdr:row>4</xdr:row>
      <xdr:rowOff>319601</xdr:rowOff>
    </xdr:from>
    <xdr:to>
      <xdr:col>10</xdr:col>
      <xdr:colOff>377080</xdr:colOff>
      <xdr:row>13</xdr:row>
      <xdr:rowOff>84106</xdr:rowOff>
    </xdr:to>
    <xdr:pic>
      <xdr:nvPicPr>
        <xdr:cNvPr id="5" name="Picture 4" descr="slide6">
          <a:extLst>
            <a:ext uri="{FF2B5EF4-FFF2-40B4-BE49-F238E27FC236}">
              <a16:creationId xmlns:a16="http://schemas.microsoft.com/office/drawing/2014/main" id="{CE7FD0D7-DC39-85E7-633E-434F9AE2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7622" y="1202714"/>
          <a:ext cx="2172504" cy="164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63500</xdr:rowOff>
    </xdr:from>
    <xdr:to>
      <xdr:col>14</xdr:col>
      <xdr:colOff>0</xdr:colOff>
      <xdr:row>13</xdr:row>
      <xdr:rowOff>25400</xdr:rowOff>
    </xdr:to>
    <xdr:graphicFrame macro="">
      <xdr:nvGraphicFramePr>
        <xdr:cNvPr id="5185" name="Chart 1">
          <a:extLst>
            <a:ext uri="{FF2B5EF4-FFF2-40B4-BE49-F238E27FC236}">
              <a16:creationId xmlns:a16="http://schemas.microsoft.com/office/drawing/2014/main" id="{173B15C9-6598-3EB7-CFE3-C52C1FC4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flm.eu/files/efcc/Zagreb-Theodorsson_2.pdf" TargetMode="External"/><Relationship Id="rId1" Type="http://schemas.openxmlformats.org/officeDocument/2006/relationships/hyperlink" Target="https://www.sepscience.com/hplc-solutions-126-chromatographic-measurements-part-5-determining-lod-and-loq-based-on-the-calibration-curv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5"/>
  <sheetViews>
    <sheetView tabSelected="1" topLeftCell="B1" zoomScale="151" zoomScaleNormal="152" workbookViewId="0">
      <selection activeCell="I16" sqref="I16"/>
    </sheetView>
  </sheetViews>
  <sheetFormatPr baseColWidth="10" defaultColWidth="8.6640625" defaultRowHeight="15"/>
  <cols>
    <col min="1" max="1" width="8.6640625" customWidth="1"/>
    <col min="2" max="2" width="25.33203125" customWidth="1"/>
    <col min="3" max="3" width="11.1640625" customWidth="1"/>
    <col min="4" max="5" width="6.83203125" customWidth="1"/>
    <col min="6" max="6" width="8.6640625" customWidth="1"/>
    <col min="7" max="7" width="23.5" customWidth="1"/>
    <col min="8" max="8" width="13.5" customWidth="1"/>
    <col min="9" max="9" width="8.6640625" customWidth="1"/>
    <col min="10" max="10" width="10" customWidth="1"/>
    <col min="11" max="11" width="11.6640625" customWidth="1"/>
    <col min="13" max="13" width="11.5" customWidth="1"/>
    <col min="14" max="14" width="11.83203125" customWidth="1"/>
    <col min="15" max="15" width="9.1640625" bestFit="1" customWidth="1"/>
  </cols>
  <sheetData>
    <row r="4" spans="8:16" ht="24">
      <c r="H4" s="13" t="s">
        <v>32</v>
      </c>
      <c r="L4" s="13"/>
      <c r="M4" s="13"/>
      <c r="N4" s="13"/>
      <c r="O4" s="13"/>
      <c r="P4" s="13"/>
    </row>
    <row r="5" spans="8:16" ht="26">
      <c r="H5" s="11" t="s">
        <v>31</v>
      </c>
      <c r="L5" s="13"/>
      <c r="M5" s="13"/>
      <c r="N5" s="13"/>
      <c r="O5" s="13"/>
      <c r="P5" s="13"/>
    </row>
    <row r="16" spans="8:16">
      <c r="H16" s="37" t="s">
        <v>43</v>
      </c>
      <c r="I16" s="47">
        <f>B30</f>
        <v>5</v>
      </c>
    </row>
    <row r="17" spans="1:15" ht="22">
      <c r="B17" s="35" t="s">
        <v>41</v>
      </c>
      <c r="C17" s="35" t="s">
        <v>42</v>
      </c>
      <c r="D17" s="35" t="s">
        <v>45</v>
      </c>
      <c r="E17" s="35" t="s">
        <v>46</v>
      </c>
      <c r="F17" s="35" t="s">
        <v>47</v>
      </c>
      <c r="G17" s="5"/>
      <c r="H17" s="39" t="s">
        <v>48</v>
      </c>
      <c r="I17" s="39" t="s">
        <v>19</v>
      </c>
      <c r="J17" s="39" t="s">
        <v>18</v>
      </c>
      <c r="K17" s="42" t="s">
        <v>49</v>
      </c>
      <c r="M17" s="51" t="s">
        <v>54</v>
      </c>
      <c r="N17" s="51" t="s">
        <v>55</v>
      </c>
      <c r="O17" s="52" t="s">
        <v>49</v>
      </c>
    </row>
    <row r="18" spans="1:15" ht="19">
      <c r="B18" s="45">
        <v>1</v>
      </c>
      <c r="C18" s="46">
        <v>0.08</v>
      </c>
      <c r="D18" s="36">
        <f>B18*B18</f>
        <v>1</v>
      </c>
      <c r="E18" s="38">
        <f>C18*C18</f>
        <v>6.4000000000000003E-3</v>
      </c>
      <c r="F18" s="38">
        <f>B18*C18</f>
        <v>0.08</v>
      </c>
      <c r="H18" s="40">
        <f>H$30*B18+H$31</f>
        <v>8.4119402985074712E-2</v>
      </c>
      <c r="I18" s="40">
        <f>C18-H18</f>
        <v>-4.1194029850747105E-3</v>
      </c>
      <c r="J18" s="41">
        <f>I18^2</f>
        <v>1.6969480953442436E-5</v>
      </c>
      <c r="K18" s="44">
        <f>100*(C18-H18)/C18</f>
        <v>-5.1492537313433884</v>
      </c>
      <c r="M18" s="54">
        <f>M$30*C18+M$31</f>
        <v>0.9426751592356688</v>
      </c>
      <c r="N18" s="53">
        <f>B18-M18</f>
        <v>5.7324840764331197E-2</v>
      </c>
      <c r="O18" s="53">
        <f>100*N18/B18</f>
        <v>5.7324840764331197</v>
      </c>
    </row>
    <row r="19" spans="1:15" ht="19">
      <c r="B19" s="45">
        <v>2</v>
      </c>
      <c r="C19" s="46">
        <v>0.161</v>
      </c>
      <c r="D19" s="36">
        <f t="shared" ref="D19:E22" si="0">B19*B19</f>
        <v>4</v>
      </c>
      <c r="E19" s="38">
        <f t="shared" si="0"/>
        <v>2.5921000000000003E-2</v>
      </c>
      <c r="F19" s="38">
        <f>B19*C19</f>
        <v>0.32200000000000001</v>
      </c>
      <c r="H19" s="40">
        <f>H$30*B19+H$31</f>
        <v>0.15598009950248765</v>
      </c>
      <c r="I19" s="40">
        <f>C19-H19</f>
        <v>5.0199004975123585E-3</v>
      </c>
      <c r="J19" s="41">
        <f>I19^2</f>
        <v>2.5199401004924823E-5</v>
      </c>
      <c r="K19" s="44">
        <f>100*(C19-H19)/C19</f>
        <v>3.1179506195728934</v>
      </c>
      <c r="M19" s="54">
        <f>M$30*C19+M$31</f>
        <v>2.0698559955690943</v>
      </c>
      <c r="N19" s="53">
        <f>B19-M19</f>
        <v>-6.9855995569094276E-2</v>
      </c>
      <c r="O19" s="53">
        <f>100*N19/B19</f>
        <v>-3.4927997784547138</v>
      </c>
    </row>
    <row r="20" spans="1:15" ht="19">
      <c r="B20" s="45">
        <v>5</v>
      </c>
      <c r="C20" s="46">
        <v>0.36799999999999999</v>
      </c>
      <c r="D20" s="36">
        <f t="shared" si="0"/>
        <v>25</v>
      </c>
      <c r="E20" s="38">
        <f>C20*C20</f>
        <v>0.13542399999999999</v>
      </c>
      <c r="F20" s="38">
        <f>B20*C20</f>
        <v>1.8399999999999999</v>
      </c>
      <c r="H20" s="40">
        <f>H$30*B20+H$31</f>
        <v>0.37156218905472649</v>
      </c>
      <c r="I20" s="40">
        <f>C20-H20</f>
        <v>-3.5621890547264945E-3</v>
      </c>
      <c r="J20" s="41">
        <f>I20^2</f>
        <v>1.2689190861613237E-5</v>
      </c>
      <c r="K20" s="44">
        <f>100*(C20-H20)/C20</f>
        <v>-0.96798615617567785</v>
      </c>
      <c r="M20" s="54">
        <f>M$30*C20+M$31</f>
        <v>4.9504292439767372</v>
      </c>
      <c r="N20" s="53">
        <f>B20-M20</f>
        <v>4.9570756023262774E-2</v>
      </c>
      <c r="O20" s="53">
        <f>100*N20/B20</f>
        <v>0.99141512046525548</v>
      </c>
    </row>
    <row r="21" spans="1:15" ht="19">
      <c r="B21" s="45">
        <v>10</v>
      </c>
      <c r="C21" s="46">
        <v>0.73499999999999999</v>
      </c>
      <c r="D21" s="36">
        <f t="shared" si="0"/>
        <v>100</v>
      </c>
      <c r="E21" s="38">
        <f t="shared" si="0"/>
        <v>0.54022499999999996</v>
      </c>
      <c r="F21" s="38">
        <f>B21*C21</f>
        <v>7.35</v>
      </c>
      <c r="H21" s="40">
        <f>H$30*B21+H$31</f>
        <v>0.73086567164179117</v>
      </c>
      <c r="I21" s="40">
        <f>C21-H21</f>
        <v>4.1343283582088164E-3</v>
      </c>
      <c r="J21" s="41">
        <f>I21^2</f>
        <v>1.7092670973489607E-5</v>
      </c>
      <c r="K21" s="44">
        <f>100*(C21-H21)/C21</f>
        <v>0.56249365417807029</v>
      </c>
      <c r="M21" s="54">
        <f>M$30*C21+M$31</f>
        <v>10.057532539462752</v>
      </c>
      <c r="N21" s="53">
        <f>B21-M21</f>
        <v>-5.7532539462751942E-2</v>
      </c>
      <c r="O21" s="53">
        <f>100*N21/B21</f>
        <v>-0.57532539462751942</v>
      </c>
    </row>
    <row r="22" spans="1:15" ht="19">
      <c r="B22" s="45">
        <v>20</v>
      </c>
      <c r="C22" s="46">
        <v>1.448</v>
      </c>
      <c r="D22" s="36">
        <f t="shared" si="0"/>
        <v>400</v>
      </c>
      <c r="E22" s="38">
        <f t="shared" si="0"/>
        <v>2.0967039999999999</v>
      </c>
      <c r="F22" s="38">
        <f>B22*C22</f>
        <v>28.96</v>
      </c>
      <c r="H22" s="40">
        <f>H$30*B22+H$31</f>
        <v>1.4494726368159205</v>
      </c>
      <c r="I22" s="40">
        <f>C22-H22</f>
        <v>-1.4726368159205805E-3</v>
      </c>
      <c r="J22" s="41">
        <f>I22^2</f>
        <v>2.1686591916047057E-6</v>
      </c>
      <c r="K22" s="44">
        <f>100*(C22-H22)/C22</f>
        <v>-0.101701437563576</v>
      </c>
      <c r="M22" s="54">
        <f>M$30*C22+M$31</f>
        <v>19.979507061755747</v>
      </c>
      <c r="N22" s="53">
        <f>B22-M22</f>
        <v>2.0492938244252912E-2</v>
      </c>
      <c r="O22" s="53">
        <f>100*N22/B22</f>
        <v>0.10246469122126456</v>
      </c>
    </row>
    <row r="23" spans="1:15" ht="17">
      <c r="B23" s="8"/>
      <c r="C23" s="8"/>
      <c r="D23" s="8"/>
      <c r="E23" s="8"/>
      <c r="F23" s="8"/>
      <c r="J23" s="43">
        <f>SUM(J18:J22)</f>
        <v>7.4119402985074807E-5</v>
      </c>
      <c r="K23" s="6" t="s">
        <v>20</v>
      </c>
    </row>
    <row r="24" spans="1:15">
      <c r="B24" s="8"/>
      <c r="C24" s="8"/>
      <c r="D24" s="8"/>
      <c r="E24" s="8"/>
      <c r="F24" s="8"/>
      <c r="J24" s="7"/>
      <c r="K24" s="6"/>
    </row>
    <row r="25" spans="1:15" ht="22">
      <c r="A25" s="49" t="s">
        <v>24</v>
      </c>
      <c r="B25" s="15">
        <f>SUM(B18:B22)</f>
        <v>38</v>
      </c>
      <c r="C25" s="8"/>
      <c r="D25" s="8"/>
      <c r="E25" s="8"/>
      <c r="F25" s="8"/>
      <c r="G25" s="9" t="s">
        <v>29</v>
      </c>
      <c r="J25" s="7"/>
      <c r="K25" s="6"/>
    </row>
    <row r="26" spans="1:15" ht="19">
      <c r="A26" s="9" t="s">
        <v>25</v>
      </c>
      <c r="B26" s="16">
        <f>SUM(C18:C22)</f>
        <v>2.7919999999999998</v>
      </c>
      <c r="C26" s="8"/>
      <c r="D26" s="8"/>
      <c r="E26" s="8"/>
      <c r="F26" s="8"/>
      <c r="G26" s="10" t="s">
        <v>21</v>
      </c>
      <c r="J26" s="7">
        <f>C35/H30</f>
        <v>6.9169383769697529E-2</v>
      </c>
      <c r="K26" s="6"/>
    </row>
    <row r="27" spans="1:15" ht="22">
      <c r="A27" s="9" t="s">
        <v>26</v>
      </c>
      <c r="B27" s="16">
        <f>SUM(E18:E22)</f>
        <v>2.8046739999999999</v>
      </c>
      <c r="C27" s="8"/>
      <c r="D27" s="8"/>
      <c r="E27" s="8"/>
      <c r="F27" s="8"/>
      <c r="G27" s="9" t="s">
        <v>30</v>
      </c>
      <c r="J27" s="7">
        <f>J26*3.3</f>
        <v>0.22825896644000182</v>
      </c>
      <c r="K27" s="6"/>
    </row>
    <row r="28" spans="1:15" ht="22">
      <c r="A28" s="9" t="s">
        <v>27</v>
      </c>
      <c r="B28" s="15">
        <f>SUM(D18:D22)</f>
        <v>530</v>
      </c>
      <c r="C28" s="8"/>
      <c r="D28" s="8"/>
      <c r="E28" s="8"/>
      <c r="F28" s="8"/>
      <c r="G28" s="9" t="s">
        <v>51</v>
      </c>
      <c r="J28" s="7"/>
      <c r="K28" s="6"/>
    </row>
    <row r="29" spans="1:15" ht="19">
      <c r="A29" s="9" t="s">
        <v>28</v>
      </c>
      <c r="B29" s="64">
        <f>SUM(F18:F22)</f>
        <v>38.552</v>
      </c>
      <c r="C29" s="8"/>
      <c r="D29" s="8"/>
      <c r="E29" s="8"/>
      <c r="F29" s="8"/>
      <c r="J29" s="7"/>
      <c r="K29" s="6"/>
      <c r="L29" s="8" t="s">
        <v>52</v>
      </c>
      <c r="M29" s="8" t="s">
        <v>53</v>
      </c>
      <c r="N29" s="8" t="s">
        <v>56</v>
      </c>
    </row>
    <row r="30" spans="1:15" ht="21">
      <c r="A30" s="9" t="s">
        <v>62</v>
      </c>
      <c r="B30" s="65">
        <f>COUNT(B18:B22)</f>
        <v>5</v>
      </c>
      <c r="C30" s="8"/>
      <c r="D30" s="8"/>
      <c r="E30" s="8"/>
      <c r="F30" s="8"/>
      <c r="G30" s="30" t="s">
        <v>22</v>
      </c>
      <c r="H30" s="31">
        <f>((I16*B29-B25*B26)/(I16*B28-B25*B25))</f>
        <v>7.1860696517412934E-2</v>
      </c>
      <c r="J30" s="7">
        <f>SLOPE(C18:C22,B18:B22)</f>
        <v>7.1860696517412934E-2</v>
      </c>
      <c r="K30" s="6"/>
      <c r="L30" s="50">
        <f>SLOPE(C18:C22,B18:B22)</f>
        <v>7.1860696517412934E-2</v>
      </c>
      <c r="M30" s="50">
        <f>1/L30</f>
        <v>13.915812794239823</v>
      </c>
      <c r="N30" s="50">
        <f>SLOPE(B18:B22,C18:C22)</f>
        <v>13.914984748172236</v>
      </c>
    </row>
    <row r="31" spans="1:15" ht="21">
      <c r="B31" s="8"/>
      <c r="C31" s="8"/>
      <c r="D31" s="8"/>
      <c r="E31" s="8"/>
      <c r="F31" s="8"/>
      <c r="G31" s="30" t="s">
        <v>23</v>
      </c>
      <c r="H31" s="31">
        <f>((B26*B28-B29*B25)/(I16*B28-B25*B25))</f>
        <v>1.2258706467661779E-2</v>
      </c>
      <c r="J31" s="7">
        <f>INTERCEPT(C18:C22,B18:B22)</f>
        <v>1.2258706467661695E-2</v>
      </c>
      <c r="L31" s="50">
        <f>INTERCEPT(C18:C22,B18:B22)</f>
        <v>1.2258706467661695E-2</v>
      </c>
      <c r="M31" s="50">
        <f>-L31/L30</f>
        <v>-0.17058986430351708</v>
      </c>
      <c r="N31" s="50">
        <f>INTERCEPT(B18:B22,C18:C22)</f>
        <v>-0.17012748337937733</v>
      </c>
    </row>
    <row r="32" spans="1:15" ht="16">
      <c r="B32" s="8"/>
      <c r="C32" s="8"/>
      <c r="D32" s="8"/>
      <c r="E32" s="8"/>
      <c r="F32" s="8"/>
      <c r="G32" s="11"/>
      <c r="H32" s="12"/>
      <c r="J32" s="7"/>
    </row>
    <row r="33" spans="1:13" ht="19">
      <c r="A33" s="19"/>
      <c r="B33" s="29" t="s">
        <v>40</v>
      </c>
      <c r="C33" s="20"/>
      <c r="D33" s="20"/>
      <c r="E33" s="20"/>
      <c r="F33" s="20"/>
      <c r="G33" s="11"/>
      <c r="H33" s="12"/>
      <c r="J33" s="7"/>
    </row>
    <row r="34" spans="1:13">
      <c r="A34" s="19"/>
      <c r="B34" s="19"/>
      <c r="C34" s="19"/>
      <c r="D34" s="19"/>
      <c r="E34" s="19"/>
      <c r="F34" s="19"/>
    </row>
    <row r="35" spans="1:13" ht="26">
      <c r="A35" s="48" t="s">
        <v>50</v>
      </c>
      <c r="B35" s="18"/>
      <c r="C35" s="34">
        <f>SQRT(J23/(I16-2))</f>
        <v>4.9705600953707024E-3</v>
      </c>
      <c r="D35" s="34"/>
      <c r="E35" s="34"/>
      <c r="F35" s="34"/>
      <c r="H35" s="57" t="s">
        <v>58</v>
      </c>
      <c r="I35" s="58"/>
      <c r="J35" s="58"/>
      <c r="K35" s="58"/>
      <c r="L35" s="59"/>
      <c r="M35" s="60"/>
    </row>
    <row r="36" spans="1:13" ht="25">
      <c r="A36" s="17" t="s">
        <v>34</v>
      </c>
      <c r="B36" s="18"/>
      <c r="C36" s="33">
        <f>SQRT(I16/(I16*B28-B25*B25))*C35</f>
        <v>3.2004914929931042E-4</v>
      </c>
      <c r="D36" s="33"/>
      <c r="E36" s="33"/>
      <c r="F36" s="33"/>
      <c r="H36" s="61" t="s">
        <v>59</v>
      </c>
      <c r="I36" s="59"/>
      <c r="J36" s="59"/>
      <c r="K36" s="59"/>
      <c r="L36" s="59"/>
      <c r="M36" s="62">
        <f>3.3*C35/H30</f>
        <v>0.22825896644000188</v>
      </c>
    </row>
    <row r="37" spans="1:13" ht="22">
      <c r="A37" s="17" t="s">
        <v>35</v>
      </c>
      <c r="B37" s="18"/>
      <c r="C37" s="33">
        <f>SQRT(B28/(I16*B28-B25*B25))*C35</f>
        <v>3.2951076681232293E-3</v>
      </c>
      <c r="D37" s="33"/>
      <c r="E37" s="33"/>
      <c r="F37" s="33"/>
      <c r="H37" s="63" t="s">
        <v>57</v>
      </c>
      <c r="I37" s="59"/>
      <c r="J37" s="59"/>
      <c r="K37" s="59"/>
      <c r="L37" s="59"/>
      <c r="M37" s="62">
        <f>10*C35/H30</f>
        <v>0.69169383769697534</v>
      </c>
    </row>
    <row r="38" spans="1:13">
      <c r="H38" s="55" t="s">
        <v>61</v>
      </c>
    </row>
    <row r="39" spans="1:13">
      <c r="H39" s="55" t="s">
        <v>60</v>
      </c>
    </row>
    <row r="40" spans="1:13">
      <c r="H40" s="55"/>
    </row>
    <row r="41" spans="1:13" ht="19">
      <c r="G41" s="21" t="s">
        <v>33</v>
      </c>
      <c r="I41" s="55"/>
    </row>
    <row r="42" spans="1:13" ht="21">
      <c r="G42" s="14"/>
      <c r="H42" s="14"/>
      <c r="J42" s="67" t="s">
        <v>63</v>
      </c>
    </row>
    <row r="43" spans="1:13" ht="20" customHeight="1">
      <c r="A43" s="22" t="s">
        <v>36</v>
      </c>
      <c r="B43" s="23"/>
      <c r="C43" s="24">
        <f>B28-B25*B25/I16</f>
        <v>241.2</v>
      </c>
      <c r="D43" s="24"/>
      <c r="E43" s="24"/>
      <c r="F43" s="24"/>
      <c r="G43" s="25" t="s">
        <v>44</v>
      </c>
      <c r="H43" s="28">
        <f>C45/SQRT(C43*C44)</f>
        <v>0.99997024757381414</v>
      </c>
      <c r="J43" s="66"/>
    </row>
    <row r="44" spans="1:13" ht="23">
      <c r="A44" s="22" t="s">
        <v>37</v>
      </c>
      <c r="B44" s="23"/>
      <c r="C44" s="26">
        <f>B27-B26*B26/I16</f>
        <v>1.2456212000000002</v>
      </c>
      <c r="D44" s="26"/>
      <c r="E44" s="26"/>
      <c r="F44" s="26"/>
      <c r="G44" s="25" t="s">
        <v>39</v>
      </c>
      <c r="H44" s="32">
        <f>H43*H43</f>
        <v>0.99994049603283519</v>
      </c>
      <c r="J44" s="66"/>
    </row>
    <row r="45" spans="1:13" ht="22">
      <c r="A45" s="22" t="s">
        <v>38</v>
      </c>
      <c r="B45" s="23"/>
      <c r="C45" s="26">
        <f>B29-B25*B26/I16</f>
        <v>17.332800000000002</v>
      </c>
      <c r="D45" s="26"/>
      <c r="E45" s="26"/>
      <c r="F45" s="26"/>
      <c r="G45" s="27"/>
      <c r="H45" s="27"/>
      <c r="J45" s="56"/>
    </row>
  </sheetData>
  <hyperlinks>
    <hyperlink ref="H38" r:id="rId1" location=":~:text=The%20ICH%20indicates%20that%20LOD,slope%20of%20the%20calibration%20curve." xr:uid="{00000000-0004-0000-0000-000000000000}"/>
    <hyperlink ref="H39" r:id="rId2" xr:uid="{00000000-0004-0000-0000-000001000000}"/>
  </hyperlinks>
  <pageMargins left="0.75" right="0.75" top="1" bottom="1" header="0.3" footer="0.3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3"/>
  <sheetViews>
    <sheetView zoomScale="150" workbookViewId="0">
      <selection activeCell="E2" sqref="E2"/>
    </sheetView>
  </sheetViews>
  <sheetFormatPr baseColWidth="10" defaultColWidth="8.6640625" defaultRowHeight="15"/>
  <sheetData>
    <row r="2" spans="1:9">
      <c r="B2">
        <v>1</v>
      </c>
      <c r="C2">
        <v>4.0399999999999998E-2</v>
      </c>
      <c r="E2">
        <f>E$21*B2+E$22</f>
        <v>0</v>
      </c>
      <c r="F2">
        <f>C2-E2</f>
        <v>4.0399999999999998E-2</v>
      </c>
      <c r="G2">
        <f>F2^2</f>
        <v>1.6321599999999999E-3</v>
      </c>
    </row>
    <row r="3" spans="1:9">
      <c r="B3">
        <v>5</v>
      </c>
      <c r="C3">
        <v>0.32840000000000003</v>
      </c>
      <c r="E3">
        <f>E$21*B3+E$22</f>
        <v>0</v>
      </c>
      <c r="F3">
        <f>C3-E3</f>
        <v>0.32840000000000003</v>
      </c>
      <c r="G3">
        <f>F3^2</f>
        <v>0.10784656000000002</v>
      </c>
    </row>
    <row r="4" spans="1:9">
      <c r="B4">
        <v>10</v>
      </c>
      <c r="C4">
        <v>0.6754</v>
      </c>
      <c r="E4">
        <f>E$21*B4+E$22</f>
        <v>0</v>
      </c>
      <c r="F4">
        <f>C4-E4</f>
        <v>0.6754</v>
      </c>
      <c r="G4">
        <f>F4^2</f>
        <v>0.45616516000000001</v>
      </c>
    </row>
    <row r="5" spans="1:9">
      <c r="B5">
        <v>20</v>
      </c>
      <c r="C5">
        <v>1.4283999999999999</v>
      </c>
      <c r="E5">
        <f>E$21*B5+E$22</f>
        <v>0</v>
      </c>
      <c r="F5">
        <f>C5-E5</f>
        <v>1.4283999999999999</v>
      </c>
      <c r="G5">
        <f>F5^2</f>
        <v>2.0403265599999996</v>
      </c>
    </row>
    <row r="6" spans="1:9">
      <c r="G6">
        <f>SUM(G2:G5)</f>
        <v>2.6059704399999997</v>
      </c>
      <c r="H6" t="s">
        <v>6</v>
      </c>
    </row>
    <row r="7" spans="1:9">
      <c r="A7" t="s">
        <v>0</v>
      </c>
      <c r="B7">
        <f>SUM(B2:B5)</f>
        <v>36</v>
      </c>
      <c r="D7" t="s">
        <v>3</v>
      </c>
      <c r="E7" s="4">
        <f>((4*B11-B7*B8)/(4*B10-B7*B7))</f>
        <v>7.3024752475247506E-2</v>
      </c>
    </row>
    <row r="8" spans="1:9">
      <c r="A8" t="s">
        <v>1</v>
      </c>
      <c r="B8" s="4">
        <f>SUM(C2:C5)</f>
        <v>2.4725999999999999</v>
      </c>
      <c r="C8" s="4"/>
      <c r="D8" t="s">
        <v>5</v>
      </c>
      <c r="E8" s="4">
        <f>((B8*B10-B11*B7)/(4*B10-B7*B7))</f>
        <v>-3.9072772277227677E-2</v>
      </c>
    </row>
    <row r="9" spans="1:9" ht="17">
      <c r="A9" t="s">
        <v>13</v>
      </c>
      <c r="B9" s="4">
        <f>SUM(C2*C2+C3*C3+C4*C4+C5*C5)</f>
        <v>2.6059704399999997</v>
      </c>
      <c r="C9" s="4"/>
      <c r="E9" s="4"/>
    </row>
    <row r="10" spans="1:9" ht="17">
      <c r="A10" t="s">
        <v>14</v>
      </c>
      <c r="B10">
        <f>SUM(B2^2+B3^2+B4^2+B5^2)</f>
        <v>526</v>
      </c>
    </row>
    <row r="11" spans="1:9">
      <c r="A11" t="s">
        <v>2</v>
      </c>
      <c r="B11">
        <f>SUM(B2*C2+B3*C3+B4*C4+B5*C5)</f>
        <v>37.004399999999997</v>
      </c>
    </row>
    <row r="12" spans="1:9">
      <c r="A12" t="s">
        <v>4</v>
      </c>
    </row>
    <row r="14" spans="1:9">
      <c r="B14" t="s">
        <v>7</v>
      </c>
      <c r="C14">
        <f>SQRT(G6/(4-2))</f>
        <v>1.141483779998647</v>
      </c>
      <c r="E14" t="s">
        <v>10</v>
      </c>
      <c r="F14">
        <f>B10-B7*B7/4</f>
        <v>202</v>
      </c>
    </row>
    <row r="15" spans="1:9">
      <c r="B15" t="s">
        <v>8</v>
      </c>
      <c r="C15" s="4">
        <f>SQRT(4/(4*B10-B7*B7))*C14</f>
        <v>8.0314518495650064E-2</v>
      </c>
      <c r="E15" t="s">
        <v>11</v>
      </c>
      <c r="F15">
        <f>B9-B8*B8/4</f>
        <v>1.0775327499999998</v>
      </c>
      <c r="H15" t="s">
        <v>15</v>
      </c>
      <c r="I15">
        <f>F16/SQRT(F14*F15)</f>
        <v>0.99984007270433373</v>
      </c>
    </row>
    <row r="16" spans="1:9">
      <c r="B16" t="s">
        <v>9</v>
      </c>
      <c r="C16" s="4">
        <f>SQRT(B10/(4*B10-B7*B7))*C14</f>
        <v>0.9209942873743775</v>
      </c>
      <c r="E16" t="s">
        <v>12</v>
      </c>
      <c r="F16">
        <f>B11-B7*B8/4</f>
        <v>14.750999999999998</v>
      </c>
      <c r="H16" t="s">
        <v>16</v>
      </c>
      <c r="I16">
        <f>I15*I15</f>
        <v>0.9996801709854074</v>
      </c>
    </row>
    <row r="17" spans="3:4">
      <c r="C17" s="4">
        <f>SQRT(527/(4*526-B7*B7))*C14</f>
        <v>0.92186934152651723</v>
      </c>
    </row>
    <row r="18" spans="3:4">
      <c r="C18" s="4" t="s">
        <v>17</v>
      </c>
    </row>
    <row r="19" spans="3:4">
      <c r="D19">
        <f>1+25+100+400</f>
        <v>526</v>
      </c>
    </row>
    <row r="21" spans="3:4">
      <c r="C21">
        <f>B7^2</f>
        <v>1296</v>
      </c>
    </row>
    <row r="22" spans="3:4">
      <c r="C22">
        <f>4/(4*526-1296)</f>
        <v>4.9504950495049506E-3</v>
      </c>
    </row>
    <row r="23" spans="3:4">
      <c r="C23">
        <f>SQRT(C22)*C14</f>
        <v>8.0314518495650064E-2</v>
      </c>
    </row>
  </sheetData>
  <pageMargins left="0.75" right="0.75" top="1" bottom="1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3"/>
  <sheetViews>
    <sheetView workbookViewId="0">
      <selection sqref="A1:F13"/>
    </sheetView>
  </sheetViews>
  <sheetFormatPr baseColWidth="10" defaultColWidth="8.6640625" defaultRowHeight="15"/>
  <sheetData>
    <row r="1" spans="2:6" ht="16" thickBot="1">
      <c r="B1" s="1">
        <v>3.3000000000000002E-2</v>
      </c>
      <c r="C1">
        <f t="shared" ref="C1:C6" si="0">B1+0.02</f>
        <v>5.3000000000000005E-2</v>
      </c>
    </row>
    <row r="2" spans="2:6" ht="16" thickBot="1">
      <c r="B2" s="2">
        <v>2.6000000000000002E-2</v>
      </c>
      <c r="C2">
        <f t="shared" si="0"/>
        <v>4.5999999999999999E-2</v>
      </c>
    </row>
    <row r="3" spans="2:6" ht="16" thickBot="1">
      <c r="B3" s="2">
        <v>3.1E-2</v>
      </c>
      <c r="C3">
        <f t="shared" si="0"/>
        <v>5.1000000000000004E-2</v>
      </c>
    </row>
    <row r="4" spans="2:6" ht="16" thickBot="1">
      <c r="B4" s="2">
        <v>2.8000000000000001E-2</v>
      </c>
      <c r="C4">
        <f t="shared" si="0"/>
        <v>4.8000000000000001E-2</v>
      </c>
    </row>
    <row r="5" spans="2:6" ht="16" thickBot="1">
      <c r="B5" s="2">
        <v>3.3000000000000002E-2</v>
      </c>
      <c r="C5">
        <f t="shared" si="0"/>
        <v>5.3000000000000005E-2</v>
      </c>
    </row>
    <row r="6" spans="2:6" ht="16" thickBot="1">
      <c r="B6" s="2">
        <v>3.0600000000000002E-2</v>
      </c>
      <c r="C6">
        <f t="shared" si="0"/>
        <v>5.0600000000000006E-2</v>
      </c>
    </row>
    <row r="7" spans="2:6">
      <c r="B7">
        <f>AVERAGE(B1:B6)</f>
        <v>3.0266666666666664E-2</v>
      </c>
    </row>
    <row r="9" spans="2:6" ht="16" thickBot="1">
      <c r="B9" s="2">
        <v>1</v>
      </c>
      <c r="C9" s="3">
        <v>7.1300000000000002E-2</v>
      </c>
      <c r="D9">
        <f>C9-B$7</f>
        <v>4.1033333333333338E-2</v>
      </c>
      <c r="F9">
        <f>C9*5</f>
        <v>0.35650000000000004</v>
      </c>
    </row>
    <row r="10" spans="2:6" ht="16" thickBot="1">
      <c r="B10" s="2">
        <v>5</v>
      </c>
      <c r="C10" s="3">
        <v>0.36969999999999997</v>
      </c>
      <c r="D10">
        <f>C10-B$7</f>
        <v>0.33943333333333331</v>
      </c>
      <c r="F10">
        <f>C10*5</f>
        <v>1.8484999999999998</v>
      </c>
    </row>
    <row r="11" spans="2:6" ht="16" thickBot="1">
      <c r="B11" s="2">
        <v>10</v>
      </c>
      <c r="C11">
        <v>0.68500000000000005</v>
      </c>
      <c r="D11">
        <f>C11-B$7</f>
        <v>0.65473333333333339</v>
      </c>
      <c r="F11">
        <f>C11*5</f>
        <v>3.4250000000000003</v>
      </c>
    </row>
    <row r="12" spans="2:6" ht="16" thickBot="1">
      <c r="B12" s="2">
        <v>20</v>
      </c>
      <c r="C12" s="3">
        <v>1.5529999999999999</v>
      </c>
      <c r="D12">
        <f>C12-B$7</f>
        <v>1.5227333333333333</v>
      </c>
      <c r="F12">
        <f>C12*5</f>
        <v>7.7649999999999997</v>
      </c>
    </row>
    <row r="13" spans="2:6" ht="16" thickBot="1">
      <c r="B13" s="2">
        <v>50</v>
      </c>
      <c r="C13" s="3">
        <v>2.5309999999999997</v>
      </c>
      <c r="D13">
        <f>C13-B$7</f>
        <v>2.5007333333333328</v>
      </c>
      <c r="F13">
        <f>C13*5</f>
        <v>12.654999999999998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University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Naleway, Conrad</cp:lastModifiedBy>
  <dcterms:created xsi:type="dcterms:W3CDTF">2010-06-10T20:58:06Z</dcterms:created>
  <dcterms:modified xsi:type="dcterms:W3CDTF">2025-01-22T13:40:55Z</dcterms:modified>
</cp:coreProperties>
</file>