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nalewa\Documents\"/>
    </mc:Choice>
  </mc:AlternateContent>
  <bookViews>
    <workbookView xWindow="0" yWindow="0" windowWidth="19200" windowHeight="8300" tabRatio="500"/>
  </bookViews>
  <sheets>
    <sheet name="Fixed Volume" sheetId="1" r:id="rId1"/>
    <sheet name="Unequal Volume" sheetId="4" r:id="rId2"/>
    <sheet name="Two Point Spiking" sheetId="5" r:id="rId3"/>
    <sheet name="Weak Acid" sheetId="2" r:id="rId4"/>
    <sheet name="Ionic Complex" sheetId="3" r:id="rId5"/>
  </sheets>
  <definedNames>
    <definedName name="_xlnm.Print_Area" localSheetId="0">'Fixed Volume'!$A$1:$L$26</definedName>
    <definedName name="_xlnm.Print_Area" localSheetId="1">'Unequal Volume'!$A$1:$M$31</definedName>
    <definedName name="_xlnm.Print_Area" localSheetId="3">'Weak Acid'!$A$1:$P$28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5" l="1"/>
  <c r="M10" i="5"/>
  <c r="M3" i="5"/>
  <c r="M4" i="5" s="1"/>
  <c r="F19" i="1" l="1"/>
  <c r="B11" i="1" l="1"/>
  <c r="D11" i="1" s="1"/>
  <c r="E11" i="1" s="1"/>
  <c r="C11" i="1"/>
  <c r="B12" i="1"/>
  <c r="C12" i="1"/>
  <c r="B13" i="1"/>
  <c r="D13" i="1" s="1"/>
  <c r="E13" i="1" s="1"/>
  <c r="C13" i="1"/>
  <c r="B14" i="1"/>
  <c r="C14" i="1"/>
  <c r="B10" i="1"/>
  <c r="D10" i="1" s="1"/>
  <c r="E10" i="1" s="1"/>
  <c r="C10" i="1"/>
  <c r="D13" i="4"/>
  <c r="F13" i="4" s="1"/>
  <c r="G13" i="4" s="1"/>
  <c r="H13" i="4" s="1"/>
  <c r="I13" i="4" s="1"/>
  <c r="J13" i="4" s="1"/>
  <c r="E13" i="4"/>
  <c r="C13" i="4"/>
  <c r="B13" i="4"/>
  <c r="D12" i="4"/>
  <c r="E12" i="4"/>
  <c r="C12" i="4"/>
  <c r="B12" i="4"/>
  <c r="D11" i="4"/>
  <c r="E11" i="4"/>
  <c r="C11" i="4"/>
  <c r="B11" i="4"/>
  <c r="D10" i="4"/>
  <c r="E10" i="4"/>
  <c r="C10" i="4"/>
  <c r="B10" i="4"/>
  <c r="D9" i="4"/>
  <c r="E9" i="4"/>
  <c r="C9" i="4"/>
  <c r="B9" i="4"/>
  <c r="B12" i="2"/>
  <c r="C12" i="2"/>
  <c r="D12" i="2"/>
  <c r="F12" i="2"/>
  <c r="G12" i="2" s="1"/>
  <c r="H12" i="2" s="1"/>
  <c r="B11" i="2"/>
  <c r="C11" i="2"/>
  <c r="D11" i="2"/>
  <c r="F11" i="2"/>
  <c r="G11" i="2"/>
  <c r="B13" i="2"/>
  <c r="C13" i="2"/>
  <c r="D13" i="2"/>
  <c r="F13" i="2"/>
  <c r="G13" i="2" s="1"/>
  <c r="B14" i="2"/>
  <c r="C14" i="2"/>
  <c r="D14" i="2"/>
  <c r="F14" i="2"/>
  <c r="G14" i="2"/>
  <c r="B10" i="2"/>
  <c r="C10" i="2"/>
  <c r="D10" i="2"/>
  <c r="F10" i="2"/>
  <c r="G10" i="2" s="1"/>
  <c r="C12" i="3"/>
  <c r="B12" i="3"/>
  <c r="D12" i="3"/>
  <c r="F12" i="3"/>
  <c r="G12" i="3" s="1"/>
  <c r="C11" i="3"/>
  <c r="B11" i="3"/>
  <c r="D11" i="3"/>
  <c r="F11" i="3"/>
  <c r="G11" i="3" s="1"/>
  <c r="C13" i="3"/>
  <c r="B13" i="3"/>
  <c r="D13" i="3"/>
  <c r="F13" i="3"/>
  <c r="G13" i="3" s="1"/>
  <c r="H13" i="3" s="1"/>
  <c r="C14" i="3"/>
  <c r="B14" i="3"/>
  <c r="D14" i="3"/>
  <c r="F14" i="3"/>
  <c r="G14" i="3" s="1"/>
  <c r="H14" i="3" s="1"/>
  <c r="C10" i="3"/>
  <c r="B10" i="3"/>
  <c r="D10" i="3"/>
  <c r="F10" i="3"/>
  <c r="G10" i="3" s="1"/>
  <c r="E14" i="3"/>
  <c r="E13" i="3"/>
  <c r="E12" i="3"/>
  <c r="E11" i="3"/>
  <c r="E10" i="3"/>
  <c r="H23" i="2"/>
  <c r="H22" i="2"/>
  <c r="E11" i="2"/>
  <c r="E12" i="2"/>
  <c r="E13" i="2"/>
  <c r="E14" i="2"/>
  <c r="E10" i="2"/>
  <c r="E59" i="1"/>
  <c r="D59" i="1"/>
  <c r="F59" i="1" s="1"/>
  <c r="G59" i="1" s="1"/>
  <c r="H59" i="1" s="1"/>
  <c r="I59" i="1" s="1"/>
  <c r="J59" i="1" s="1"/>
  <c r="E60" i="1"/>
  <c r="D60" i="1"/>
  <c r="F60" i="1"/>
  <c r="G60" i="1" s="1"/>
  <c r="H60" i="1" s="1"/>
  <c r="I60" i="1" s="1"/>
  <c r="J60" i="1" s="1"/>
  <c r="E61" i="1"/>
  <c r="D61" i="1"/>
  <c r="F61" i="1"/>
  <c r="G61" i="1"/>
  <c r="H61" i="1" s="1"/>
  <c r="I61" i="1" s="1"/>
  <c r="J61" i="1" s="1"/>
  <c r="E62" i="1"/>
  <c r="D62" i="1"/>
  <c r="F62" i="1" s="1"/>
  <c r="G62" i="1" s="1"/>
  <c r="H62" i="1" s="1"/>
  <c r="I62" i="1" s="1"/>
  <c r="J62" i="1" s="1"/>
  <c r="E58" i="1"/>
  <c r="D58" i="1"/>
  <c r="F58" i="1" s="1"/>
  <c r="G58" i="1" s="1"/>
  <c r="H58" i="1" s="1"/>
  <c r="I58" i="1" s="1"/>
  <c r="C59" i="1"/>
  <c r="C60" i="1"/>
  <c r="C61" i="1"/>
  <c r="C62" i="1"/>
  <c r="C58" i="1"/>
  <c r="B59" i="1"/>
  <c r="B60" i="1"/>
  <c r="B61" i="1"/>
  <c r="B62" i="1"/>
  <c r="B58" i="1"/>
  <c r="H11" i="2" l="1"/>
  <c r="C18" i="2"/>
  <c r="C19" i="2" s="1"/>
  <c r="C17" i="2"/>
  <c r="H14" i="2"/>
  <c r="H13" i="2"/>
  <c r="D14" i="1"/>
  <c r="E14" i="1" s="1"/>
  <c r="D12" i="1"/>
  <c r="E12" i="1" s="1"/>
  <c r="F9" i="4"/>
  <c r="G9" i="4" s="1"/>
  <c r="H9" i="4" s="1"/>
  <c r="I9" i="4" s="1"/>
  <c r="J9" i="4" s="1"/>
  <c r="F10" i="4"/>
  <c r="G10" i="4" s="1"/>
  <c r="H10" i="4" s="1"/>
  <c r="F11" i="4"/>
  <c r="G11" i="4" s="1"/>
  <c r="H11" i="4" s="1"/>
  <c r="I11" i="4" s="1"/>
  <c r="J11" i="4" s="1"/>
  <c r="F12" i="4"/>
  <c r="G12" i="4" s="1"/>
  <c r="H12" i="4" s="1"/>
  <c r="I12" i="4" s="1"/>
  <c r="J12" i="4" s="1"/>
  <c r="C17" i="1"/>
  <c r="C16" i="1"/>
  <c r="J58" i="1"/>
  <c r="C65" i="1"/>
  <c r="F49" i="1" s="1"/>
  <c r="C66" i="1"/>
  <c r="C18" i="3"/>
  <c r="C17" i="3"/>
  <c r="H11" i="3"/>
  <c r="H12" i="3"/>
  <c r="I10" i="4" l="1"/>
  <c r="J10" i="4" s="1"/>
  <c r="G18" i="4"/>
  <c r="C9" i="2"/>
  <c r="C20" i="2"/>
  <c r="C21" i="2" s="1"/>
  <c r="C16" i="4"/>
  <c r="C17" i="4"/>
  <c r="C18" i="4" s="1"/>
  <c r="A8" i="4" s="1"/>
  <c r="C18" i="1"/>
  <c r="F50" i="1"/>
  <c r="C67" i="1"/>
  <c r="C68" i="1" s="1"/>
  <c r="C19" i="3"/>
  <c r="C19" i="4" l="1"/>
  <c r="C19" i="1"/>
  <c r="C20" i="1" s="1"/>
  <c r="C9" i="1"/>
  <c r="C9" i="3"/>
  <c r="C20" i="3"/>
  <c r="C21" i="3" s="1"/>
</calcChain>
</file>

<file path=xl/sharedStrings.xml><?xml version="1.0" encoding="utf-8"?>
<sst xmlns="http://schemas.openxmlformats.org/spreadsheetml/2006/main" count="140" uniqueCount="97">
  <si>
    <t>Cs</t>
  </si>
  <si>
    <t>Cx</t>
  </si>
  <si>
    <t>Vx</t>
  </si>
  <si>
    <t>Vt</t>
  </si>
  <si>
    <t>Vstd</t>
  </si>
  <si>
    <t>Cunk</t>
  </si>
  <si>
    <t>Cst</t>
  </si>
  <si>
    <t>CTOTAL</t>
  </si>
  <si>
    <t>slope</t>
  </si>
  <si>
    <t>intercept</t>
  </si>
  <si>
    <t>X intercept=-b/m</t>
  </si>
  <si>
    <t>nunk</t>
  </si>
  <si>
    <t>nst</t>
  </si>
  <si>
    <t>I*(Vx+Vs)</t>
  </si>
  <si>
    <t>Nt</t>
  </si>
  <si>
    <t>I</t>
  </si>
  <si>
    <t>k=m/Cs</t>
  </si>
  <si>
    <t>Cx=b/(k*Vx)</t>
  </si>
  <si>
    <t>EXT</t>
  </si>
  <si>
    <t>pH</t>
  </si>
  <si>
    <t>pKa</t>
  </si>
  <si>
    <t>R</t>
  </si>
  <si>
    <t>x</t>
  </si>
  <si>
    <t xml:space="preserve">Weak acid Complex </t>
  </si>
  <si>
    <t>10^(pKa-pH)</t>
  </si>
  <si>
    <t>Ct</t>
  </si>
  <si>
    <t>Ct/(1+R)</t>
  </si>
  <si>
    <t>Response</t>
  </si>
  <si>
    <r>
      <t>C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vertAlign val="superscript"/>
        <sz val="12"/>
        <color theme="1"/>
        <rFont val="Calibri"/>
        <family val="2"/>
        <scheme val="minor"/>
      </rPr>
      <t>f</t>
    </r>
    <r>
      <rPr>
        <b/>
        <vertAlign val="subscript"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(final)</t>
    </r>
  </si>
  <si>
    <r>
      <t>C</t>
    </r>
    <r>
      <rPr>
        <b/>
        <vertAlign val="subscript"/>
        <sz val="10"/>
        <color rgb="FF00B050"/>
        <rFont val="Calibri"/>
        <family val="2"/>
        <scheme val="minor"/>
      </rPr>
      <t>AVAILABLE</t>
    </r>
  </si>
  <si>
    <r>
      <t>C</t>
    </r>
    <r>
      <rPr>
        <vertAlign val="subscript"/>
        <sz val="12"/>
        <color rgb="FFFF0000"/>
        <rFont val="Calibri"/>
        <family val="2"/>
        <scheme val="minor"/>
      </rPr>
      <t>TOTAL</t>
    </r>
  </si>
  <si>
    <t>Total Response</t>
  </si>
  <si>
    <r>
      <t>C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= C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vertAlign val="superscript"/>
        <sz val="12"/>
        <color theme="1"/>
        <rFont val="Calibri"/>
        <family val="2"/>
        <scheme val="minor"/>
      </rPr>
      <t>f</t>
    </r>
    <r>
      <rPr>
        <b/>
        <sz val="12"/>
        <color theme="1"/>
        <rFont val="Calibri"/>
        <family val="2"/>
        <scheme val="minor"/>
      </rPr>
      <t>*[V</t>
    </r>
    <r>
      <rPr>
        <b/>
        <vertAlign val="subscript"/>
        <sz val="12"/>
        <color theme="1"/>
        <rFont val="Calibri"/>
        <family val="2"/>
        <scheme val="minor"/>
      </rPr>
      <t>t</t>
    </r>
    <r>
      <rPr>
        <b/>
        <sz val="12"/>
        <color theme="1"/>
        <rFont val="Calibri"/>
        <family val="2"/>
        <scheme val="minor"/>
      </rPr>
      <t>/V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]</t>
    </r>
  </si>
  <si>
    <t>Canion</t>
  </si>
  <si>
    <t>Ccation</t>
  </si>
  <si>
    <t>Kf</t>
  </si>
  <si>
    <t>Spacing</t>
  </si>
  <si>
    <t>Analyte</t>
  </si>
  <si>
    <t xml:space="preserve"> </t>
  </si>
  <si>
    <t>Shaping</t>
  </si>
  <si>
    <t>IONIC COMPLEX</t>
  </si>
  <si>
    <r>
      <t>C</t>
    </r>
    <r>
      <rPr>
        <b/>
        <vertAlign val="subscript"/>
        <sz val="20"/>
        <color theme="1"/>
        <rFont val="Calibri"/>
        <family val="2"/>
        <scheme val="minor"/>
      </rPr>
      <t>x</t>
    </r>
    <r>
      <rPr>
        <b/>
        <sz val="20"/>
        <color theme="1"/>
        <rFont val="Calibri"/>
        <family val="2"/>
        <scheme val="minor"/>
      </rPr>
      <t>= C</t>
    </r>
    <r>
      <rPr>
        <b/>
        <vertAlign val="subscript"/>
        <sz val="20"/>
        <color theme="1"/>
        <rFont val="Calibri"/>
        <family val="2"/>
        <scheme val="minor"/>
      </rPr>
      <t>x</t>
    </r>
    <r>
      <rPr>
        <b/>
        <vertAlign val="superscript"/>
        <sz val="20"/>
        <color theme="1"/>
        <rFont val="Calibri"/>
        <family val="2"/>
        <scheme val="minor"/>
      </rPr>
      <t>f</t>
    </r>
    <r>
      <rPr>
        <b/>
        <sz val="20"/>
        <color theme="1"/>
        <rFont val="Calibri"/>
        <family val="2"/>
        <scheme val="minor"/>
      </rPr>
      <t>*[V</t>
    </r>
    <r>
      <rPr>
        <b/>
        <vertAlign val="subscript"/>
        <sz val="20"/>
        <color theme="1"/>
        <rFont val="Calibri"/>
        <family val="2"/>
        <scheme val="minor"/>
      </rPr>
      <t>t</t>
    </r>
    <r>
      <rPr>
        <b/>
        <sz val="20"/>
        <color theme="1"/>
        <rFont val="Calibri"/>
        <family val="2"/>
        <scheme val="minor"/>
      </rPr>
      <t>/V</t>
    </r>
    <r>
      <rPr>
        <b/>
        <vertAlign val="subscript"/>
        <sz val="20"/>
        <color theme="1"/>
        <rFont val="Calibri"/>
        <family val="2"/>
        <scheme val="minor"/>
      </rPr>
      <t>x</t>
    </r>
    <r>
      <rPr>
        <b/>
        <sz val="20"/>
        <color theme="1"/>
        <rFont val="Calibri"/>
        <family val="2"/>
        <scheme val="minor"/>
      </rPr>
      <t>]</t>
    </r>
  </si>
  <si>
    <r>
      <t>*  Care that the pH of the Standard is</t>
    </r>
    <r>
      <rPr>
        <b/>
        <sz val="12"/>
        <color theme="1"/>
        <rFont val="Calibri"/>
        <family val="2"/>
        <scheme val="minor"/>
      </rPr>
      <t xml:space="preserve"> Neutral or Same as Unknown</t>
    </r>
    <r>
      <rPr>
        <sz val="12"/>
        <color theme="1"/>
        <rFont val="Calibri"/>
        <family val="2"/>
        <scheme val="minor"/>
      </rPr>
      <t xml:space="preserve">  lest it will influence final pH</t>
    </r>
  </si>
  <si>
    <r>
      <t>C</t>
    </r>
    <r>
      <rPr>
        <vertAlign val="subscript"/>
        <sz val="18"/>
        <color theme="1"/>
        <rFont val="Calibri"/>
        <family val="2"/>
        <scheme val="minor"/>
      </rPr>
      <t>s</t>
    </r>
  </si>
  <si>
    <r>
      <t>V</t>
    </r>
    <r>
      <rPr>
        <vertAlign val="subscript"/>
        <sz val="18"/>
        <color theme="1"/>
        <rFont val="Calibri"/>
        <family val="2"/>
        <scheme val="minor"/>
      </rPr>
      <t>x</t>
    </r>
  </si>
  <si>
    <r>
      <t>C</t>
    </r>
    <r>
      <rPr>
        <b/>
        <vertAlign val="subscript"/>
        <sz val="20"/>
        <color rgb="FFFF0000"/>
        <rFont val="Calibri"/>
        <family val="2"/>
        <scheme val="minor"/>
      </rPr>
      <t>x</t>
    </r>
  </si>
  <si>
    <r>
      <t xml:space="preserve">X </t>
    </r>
    <r>
      <rPr>
        <vertAlign val="subscript"/>
        <sz val="12"/>
        <color theme="1"/>
        <rFont val="Calibri"/>
        <family val="2"/>
        <scheme val="minor"/>
      </rPr>
      <t>intercept</t>
    </r>
    <r>
      <rPr>
        <sz val="12"/>
        <color theme="1"/>
        <rFont val="Calibri"/>
        <family val="2"/>
        <scheme val="minor"/>
      </rPr>
      <t>= -b/m</t>
    </r>
  </si>
  <si>
    <r>
      <t>Cx(final) = X</t>
    </r>
    <r>
      <rPr>
        <vertAlign val="subscript"/>
        <sz val="12"/>
        <color theme="1"/>
        <rFont val="Calibri"/>
        <family val="2"/>
        <scheme val="minor"/>
      </rPr>
      <t>intercept</t>
    </r>
    <r>
      <rPr>
        <sz val="12"/>
        <color theme="1"/>
        <rFont val="Calibri"/>
        <family val="2"/>
        <scheme val="minor"/>
      </rPr>
      <t>*(C</t>
    </r>
    <r>
      <rPr>
        <vertAlign val="subscript"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/Vx)</t>
    </r>
  </si>
  <si>
    <r>
      <t>C</t>
    </r>
    <r>
      <rPr>
        <vertAlign val="subscript"/>
        <sz val="20"/>
        <color theme="1"/>
        <rFont val="Calibri"/>
        <family val="2"/>
        <scheme val="minor"/>
      </rPr>
      <t>s</t>
    </r>
  </si>
  <si>
    <r>
      <t>C</t>
    </r>
    <r>
      <rPr>
        <vertAlign val="subscript"/>
        <sz val="20"/>
        <color rgb="FFFF0000"/>
        <rFont val="Calibri"/>
        <family val="2"/>
        <scheme val="minor"/>
      </rPr>
      <t>x</t>
    </r>
  </si>
  <si>
    <r>
      <t>V</t>
    </r>
    <r>
      <rPr>
        <vertAlign val="subscript"/>
        <sz val="20"/>
        <color theme="1"/>
        <rFont val="Calibri"/>
        <family val="2"/>
        <scheme val="minor"/>
      </rPr>
      <t>x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</si>
  <si>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std</t>
    </r>
  </si>
  <si>
    <r>
      <t>n</t>
    </r>
    <r>
      <rPr>
        <vertAlign val="subscript"/>
        <sz val="12"/>
        <color theme="1"/>
        <rFont val="Calibri"/>
        <family val="2"/>
        <scheme val="minor"/>
      </rPr>
      <t>unk</t>
    </r>
  </si>
  <si>
    <r>
      <t>n</t>
    </r>
    <r>
      <rPr>
        <vertAlign val="subscript"/>
        <sz val="12"/>
        <color theme="1"/>
        <rFont val="Calibri"/>
        <family val="2"/>
        <scheme val="minor"/>
      </rPr>
      <t>st</t>
    </r>
  </si>
  <si>
    <r>
      <t>n</t>
    </r>
    <r>
      <rPr>
        <vertAlign val="subscript"/>
        <sz val="12"/>
        <color theme="1"/>
        <rFont val="Calibri"/>
        <family val="2"/>
        <scheme val="minor"/>
      </rPr>
      <t>t</t>
    </r>
  </si>
  <si>
    <t>Standard addition Spiking / Unequal Volume</t>
  </si>
  <si>
    <t>Problem:   Dilution of Matrix Effect</t>
  </si>
  <si>
    <t>Cu</t>
  </si>
  <si>
    <t>Vu</t>
  </si>
  <si>
    <r>
      <t>[C</t>
    </r>
    <r>
      <rPr>
        <vertAlign val="subscript"/>
        <sz val="12"/>
        <color rgb="FFFF0000"/>
        <rFont val="Calibri"/>
        <family val="2"/>
        <scheme val="minor"/>
      </rPr>
      <t>unk</t>
    </r>
    <r>
      <rPr>
        <sz val="12"/>
        <color rgb="FFFF0000"/>
        <rFont val="Calibri"/>
        <family val="2"/>
        <scheme val="minor"/>
      </rPr>
      <t>]</t>
    </r>
    <r>
      <rPr>
        <vertAlign val="superscript"/>
        <sz val="12"/>
        <color rgb="FFFF0000"/>
        <rFont val="Calibri"/>
        <family val="2"/>
        <scheme val="minor"/>
      </rPr>
      <t>f</t>
    </r>
  </si>
  <si>
    <r>
      <t>[C</t>
    </r>
    <r>
      <rPr>
        <vertAlign val="subscript"/>
        <sz val="12"/>
        <color theme="1"/>
        <rFont val="Calibri"/>
        <family val="2"/>
        <scheme val="minor"/>
      </rPr>
      <t>stand</t>
    </r>
    <r>
      <rPr>
        <sz val="12"/>
        <color theme="1"/>
        <rFont val="Calibri"/>
        <family val="2"/>
        <scheme val="minor"/>
      </rPr>
      <t>]</t>
    </r>
    <r>
      <rPr>
        <vertAlign val="superscript"/>
        <sz val="12"/>
        <color theme="1"/>
        <rFont val="Calibri"/>
        <family val="2"/>
        <scheme val="minor"/>
      </rPr>
      <t>f</t>
    </r>
  </si>
  <si>
    <r>
      <t>[C</t>
    </r>
    <r>
      <rPr>
        <vertAlign val="subscript"/>
        <sz val="12"/>
        <color theme="1"/>
        <rFont val="Calibri"/>
        <family val="2"/>
        <scheme val="minor"/>
      </rPr>
      <t>total</t>
    </r>
    <r>
      <rPr>
        <sz val="12"/>
        <color theme="1"/>
        <rFont val="Calibri"/>
        <family val="2"/>
        <scheme val="minor"/>
      </rPr>
      <t>]</t>
    </r>
    <r>
      <rPr>
        <vertAlign val="superscript"/>
        <sz val="12"/>
        <color theme="1"/>
        <rFont val="Calibri"/>
        <family val="2"/>
        <scheme val="minor"/>
      </rPr>
      <t>f</t>
    </r>
  </si>
  <si>
    <t>x-intercept=-b/m</t>
  </si>
  <si>
    <t>y-intercept (x=0)</t>
  </si>
  <si>
    <r>
      <t>C</t>
    </r>
    <r>
      <rPr>
        <b/>
        <vertAlign val="subscript"/>
        <sz val="12"/>
        <color rgb="FFFF0000"/>
        <rFont val="Calibri"/>
        <family val="2"/>
        <scheme val="minor"/>
      </rPr>
      <t>u</t>
    </r>
    <r>
      <rPr>
        <b/>
        <sz val="12"/>
        <color rgb="FFFF0000"/>
        <rFont val="Calibri"/>
        <family val="2"/>
        <scheme val="minor"/>
      </rPr>
      <t>= C</t>
    </r>
    <r>
      <rPr>
        <b/>
        <vertAlign val="subscript"/>
        <sz val="12"/>
        <color rgb="FFFF0000"/>
        <rFont val="Calibri"/>
        <family val="2"/>
        <scheme val="minor"/>
      </rPr>
      <t>u</t>
    </r>
    <r>
      <rPr>
        <b/>
        <vertAlign val="superscript"/>
        <sz val="12"/>
        <color rgb="FFFF0000"/>
        <rFont val="Calibri"/>
        <family val="2"/>
        <scheme val="minor"/>
      </rPr>
      <t>f</t>
    </r>
    <r>
      <rPr>
        <b/>
        <sz val="12"/>
        <color rgb="FFFF0000"/>
        <rFont val="Calibri"/>
        <family val="2"/>
        <scheme val="minor"/>
      </rPr>
      <t>*V</t>
    </r>
    <r>
      <rPr>
        <b/>
        <vertAlign val="subscript"/>
        <sz val="12"/>
        <color rgb="FFFF0000"/>
        <rFont val="Calibri"/>
        <family val="2"/>
        <scheme val="minor"/>
      </rPr>
      <t>t</t>
    </r>
    <r>
      <rPr>
        <b/>
        <sz val="12"/>
        <color rgb="FFFF0000"/>
        <rFont val="Calibri"/>
        <family val="2"/>
        <scheme val="minor"/>
      </rPr>
      <t>/V</t>
    </r>
    <r>
      <rPr>
        <b/>
        <vertAlign val="subscript"/>
        <sz val="12"/>
        <color rgb="FFFF0000"/>
        <rFont val="Calibri"/>
        <family val="2"/>
        <scheme val="minor"/>
      </rPr>
      <t>u</t>
    </r>
  </si>
  <si>
    <r>
      <t>C</t>
    </r>
    <r>
      <rPr>
        <vertAlign val="subscript"/>
        <sz val="12"/>
        <color theme="1"/>
        <rFont val="Calibri"/>
        <family val="2"/>
        <scheme val="minor"/>
      </rPr>
      <t>u</t>
    </r>
    <r>
      <rPr>
        <vertAlign val="superscript"/>
        <sz val="12"/>
        <color theme="1"/>
        <rFont val="Calibri"/>
        <family val="2"/>
        <scheme val="minor"/>
      </rPr>
      <t>f</t>
    </r>
    <r>
      <rPr>
        <vertAlign val="sub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(final)=b/m</t>
    </r>
  </si>
  <si>
    <t>Intensity</t>
  </si>
  <si>
    <r>
      <t>C</t>
    </r>
    <r>
      <rPr>
        <vertAlign val="subscript"/>
        <sz val="12"/>
        <color theme="1"/>
        <rFont val="Calibri"/>
        <family val="2"/>
        <scheme val="minor"/>
      </rPr>
      <t>u</t>
    </r>
    <r>
      <rPr>
        <sz val="12"/>
        <color theme="1"/>
        <rFont val="Calibri"/>
        <family val="2"/>
        <scheme val="minor"/>
      </rPr>
      <t xml:space="preserve"> = X</t>
    </r>
    <r>
      <rPr>
        <vertAlign val="subscript"/>
        <sz val="12"/>
        <color theme="1"/>
        <rFont val="Calibri"/>
        <family val="2"/>
        <scheme val="minor"/>
      </rPr>
      <t>intercept</t>
    </r>
    <r>
      <rPr>
        <sz val="12"/>
        <color theme="1"/>
        <rFont val="Calibri"/>
        <family val="2"/>
        <scheme val="minor"/>
      </rPr>
      <t>*(C</t>
    </r>
    <r>
      <rPr>
        <vertAlign val="subscript"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/Vu)</t>
    </r>
  </si>
  <si>
    <r>
      <t>[C</t>
    </r>
    <r>
      <rPr>
        <vertAlign val="subscript"/>
        <sz val="12"/>
        <rFont val="Calibri"/>
        <family val="2"/>
        <scheme val="minor"/>
      </rPr>
      <t>st</t>
    </r>
    <r>
      <rPr>
        <sz val="12"/>
        <rFont val="Calibri"/>
        <family val="2"/>
        <scheme val="minor"/>
      </rPr>
      <t>]</t>
    </r>
    <r>
      <rPr>
        <vertAlign val="superscript"/>
        <sz val="12"/>
        <rFont val="Calibri"/>
        <family val="2"/>
        <scheme val="minor"/>
      </rPr>
      <t>f</t>
    </r>
  </si>
  <si>
    <r>
      <t>PLOT  INTENSITY   (y)  vs  [C</t>
    </r>
    <r>
      <rPr>
        <b/>
        <vertAlign val="subscript"/>
        <sz val="16"/>
        <color theme="1"/>
        <rFont val="Calibri"/>
        <family val="2"/>
        <scheme val="minor"/>
      </rPr>
      <t>stand</t>
    </r>
    <r>
      <rPr>
        <b/>
        <sz val="16"/>
        <color theme="1"/>
        <rFont val="Calibri"/>
        <family val="2"/>
        <scheme val="minor"/>
      </rPr>
      <t>]</t>
    </r>
    <r>
      <rPr>
        <b/>
        <vertAlign val="superscript"/>
        <sz val="16"/>
        <color theme="1"/>
        <rFont val="Calibri"/>
        <family val="2"/>
        <scheme val="minor"/>
      </rPr>
      <t xml:space="preserve">f </t>
    </r>
    <r>
      <rPr>
        <b/>
        <sz val="16"/>
        <color theme="1"/>
        <rFont val="Calibri"/>
        <family val="2"/>
        <scheme val="minor"/>
      </rPr>
      <t xml:space="preserve"> (x)</t>
    </r>
  </si>
  <si>
    <r>
      <t>PLOT  INTENSITY*(V</t>
    </r>
    <r>
      <rPr>
        <b/>
        <vertAlign val="subscript"/>
        <sz val="16"/>
        <color theme="1"/>
        <rFont val="Calibri"/>
        <family val="2"/>
        <scheme val="minor"/>
      </rPr>
      <t>u</t>
    </r>
    <r>
      <rPr>
        <b/>
        <sz val="16"/>
        <color theme="1"/>
        <rFont val="Calibri"/>
        <family val="2"/>
        <scheme val="minor"/>
      </rPr>
      <t>+V</t>
    </r>
    <r>
      <rPr>
        <b/>
        <vertAlign val="subscript"/>
        <sz val="16"/>
        <color theme="1"/>
        <rFont val="Calibri"/>
        <family val="2"/>
        <scheme val="minor"/>
      </rPr>
      <t>s</t>
    </r>
    <r>
      <rPr>
        <b/>
        <sz val="16"/>
        <color theme="1"/>
        <rFont val="Calibri"/>
        <family val="2"/>
        <scheme val="minor"/>
      </rPr>
      <t>)   (y)  vs  [V</t>
    </r>
    <r>
      <rPr>
        <b/>
        <vertAlign val="subscript"/>
        <sz val="16"/>
        <color theme="1"/>
        <rFont val="Calibri"/>
        <family val="2"/>
        <scheme val="minor"/>
      </rPr>
      <t>stand</t>
    </r>
    <r>
      <rPr>
        <b/>
        <sz val="16"/>
        <color theme="1"/>
        <rFont val="Calibri"/>
        <family val="2"/>
        <scheme val="minor"/>
      </rPr>
      <t>]</t>
    </r>
    <r>
      <rPr>
        <b/>
        <vertAlign val="superscript"/>
        <sz val="16"/>
        <color theme="1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 xml:space="preserve"> (x)</t>
    </r>
  </si>
  <si>
    <t>Standard addition Spiking /Equal  Volume</t>
  </si>
  <si>
    <r>
      <t>I*(V</t>
    </r>
    <r>
      <rPr>
        <b/>
        <vertAlign val="subscript"/>
        <sz val="16"/>
        <color theme="1"/>
        <rFont val="Calibri"/>
        <family val="2"/>
        <scheme val="minor"/>
      </rPr>
      <t>u</t>
    </r>
    <r>
      <rPr>
        <b/>
        <sz val="16"/>
        <color theme="1"/>
        <rFont val="Calibri"/>
        <family val="2"/>
        <scheme val="minor"/>
      </rPr>
      <t>+V</t>
    </r>
    <r>
      <rPr>
        <b/>
        <vertAlign val="subscript"/>
        <sz val="16"/>
        <color theme="1"/>
        <rFont val="Calibri"/>
        <family val="2"/>
        <scheme val="minor"/>
      </rPr>
      <t>s</t>
    </r>
    <r>
      <rPr>
        <b/>
        <sz val="16"/>
        <color theme="1"/>
        <rFont val="Calibri"/>
        <family val="2"/>
        <scheme val="minor"/>
      </rPr>
      <t>)= k*[C</t>
    </r>
    <r>
      <rPr>
        <b/>
        <vertAlign val="subscript"/>
        <sz val="16"/>
        <color theme="1"/>
        <rFont val="Calibri"/>
        <family val="2"/>
        <scheme val="minor"/>
      </rPr>
      <t>u</t>
    </r>
    <r>
      <rPr>
        <b/>
        <sz val="16"/>
        <color theme="1"/>
        <rFont val="Calibri"/>
        <family val="2"/>
        <scheme val="minor"/>
      </rPr>
      <t>]V</t>
    </r>
    <r>
      <rPr>
        <b/>
        <vertAlign val="subscript"/>
        <sz val="16"/>
        <color theme="1"/>
        <rFont val="Calibri"/>
        <family val="2"/>
        <scheme val="minor"/>
      </rPr>
      <t>u</t>
    </r>
    <r>
      <rPr>
        <b/>
        <sz val="16"/>
        <color theme="1"/>
        <rFont val="Calibri"/>
        <family val="2"/>
        <scheme val="minor"/>
      </rPr>
      <t xml:space="preserve"> + k*[C</t>
    </r>
    <r>
      <rPr>
        <b/>
        <vertAlign val="subscript"/>
        <sz val="16"/>
        <color theme="1"/>
        <rFont val="Calibri"/>
        <family val="2"/>
        <scheme val="minor"/>
      </rPr>
      <t>st</t>
    </r>
    <r>
      <rPr>
        <b/>
        <sz val="16"/>
        <color theme="1"/>
        <rFont val="Calibri"/>
        <family val="2"/>
        <scheme val="minor"/>
      </rPr>
      <t>]V</t>
    </r>
    <r>
      <rPr>
        <b/>
        <vertAlign val="subscript"/>
        <sz val="16"/>
        <color theme="1"/>
        <rFont val="Calibri"/>
        <family val="2"/>
        <scheme val="minor"/>
      </rPr>
      <t>st</t>
    </r>
  </si>
  <si>
    <t xml:space="preserve">           y =                      b            +       m           x      </t>
  </si>
  <si>
    <r>
      <t>C</t>
    </r>
    <r>
      <rPr>
        <b/>
        <vertAlign val="subscript"/>
        <sz val="18"/>
        <color indexed="30"/>
        <rFont val="Calibri"/>
        <family val="2"/>
      </rPr>
      <t>unk</t>
    </r>
    <r>
      <rPr>
        <b/>
        <sz val="18"/>
        <color indexed="30"/>
        <rFont val="Calibri"/>
        <family val="2"/>
      </rPr>
      <t>=C</t>
    </r>
    <r>
      <rPr>
        <b/>
        <vertAlign val="subscript"/>
        <sz val="18"/>
        <color indexed="30"/>
        <rFont val="Calibri"/>
        <family val="2"/>
      </rPr>
      <t>std</t>
    </r>
    <r>
      <rPr>
        <b/>
        <sz val="18"/>
        <color indexed="30"/>
        <rFont val="Calibri"/>
        <family val="2"/>
      </rPr>
      <t>V</t>
    </r>
    <r>
      <rPr>
        <b/>
        <vertAlign val="subscript"/>
        <sz val="18"/>
        <color indexed="30"/>
        <rFont val="Calibri"/>
        <family val="2"/>
      </rPr>
      <t>std</t>
    </r>
    <r>
      <rPr>
        <b/>
        <sz val="18"/>
        <color indexed="30"/>
        <rFont val="Calibri"/>
        <family val="2"/>
      </rPr>
      <t>/{V</t>
    </r>
    <r>
      <rPr>
        <b/>
        <vertAlign val="subscript"/>
        <sz val="18"/>
        <color indexed="30"/>
        <rFont val="Calibri"/>
        <family val="2"/>
      </rPr>
      <t>T*</t>
    </r>
    <r>
      <rPr>
        <b/>
        <sz val="18"/>
        <color indexed="30"/>
        <rFont val="Calibri"/>
        <family val="2"/>
      </rPr>
      <t>I</t>
    </r>
    <r>
      <rPr>
        <b/>
        <vertAlign val="subscript"/>
        <sz val="18"/>
        <color indexed="30"/>
        <rFont val="Calibri"/>
        <family val="2"/>
      </rPr>
      <t>R</t>
    </r>
    <r>
      <rPr>
        <b/>
        <sz val="18"/>
        <color indexed="30"/>
        <rFont val="Calibri"/>
        <family val="2"/>
      </rPr>
      <t>-V</t>
    </r>
    <r>
      <rPr>
        <b/>
        <vertAlign val="subscript"/>
        <sz val="18"/>
        <color indexed="30"/>
        <rFont val="Calibri"/>
        <family val="2"/>
      </rPr>
      <t>unk</t>
    </r>
    <r>
      <rPr>
        <b/>
        <sz val="18"/>
        <color indexed="30"/>
        <rFont val="Calibri"/>
        <family val="2"/>
      </rPr>
      <t>}</t>
    </r>
  </si>
  <si>
    <t>First Two Points</t>
  </si>
  <si>
    <r>
      <t>C</t>
    </r>
    <r>
      <rPr>
        <b/>
        <vertAlign val="subscript"/>
        <sz val="18"/>
        <color indexed="30"/>
        <rFont val="Calibri"/>
        <family val="2"/>
      </rPr>
      <t>unk</t>
    </r>
    <r>
      <rPr>
        <b/>
        <sz val="18"/>
        <color indexed="30"/>
        <rFont val="Calibri"/>
        <family val="2"/>
      </rPr>
      <t>=C</t>
    </r>
    <r>
      <rPr>
        <b/>
        <vertAlign val="subscript"/>
        <sz val="18"/>
        <color indexed="30"/>
        <rFont val="Calibri"/>
        <family val="2"/>
      </rPr>
      <t>std</t>
    </r>
    <r>
      <rPr>
        <b/>
        <sz val="18"/>
        <color indexed="30"/>
        <rFont val="Calibri"/>
        <family val="2"/>
      </rPr>
      <t>V</t>
    </r>
    <r>
      <rPr>
        <b/>
        <vertAlign val="subscript"/>
        <sz val="18"/>
        <color indexed="30"/>
        <rFont val="Calibri"/>
        <family val="2"/>
      </rPr>
      <t>std</t>
    </r>
    <r>
      <rPr>
        <b/>
        <sz val="18"/>
        <color indexed="30"/>
        <rFont val="Calibri"/>
        <family val="2"/>
      </rPr>
      <t>/{V</t>
    </r>
    <r>
      <rPr>
        <b/>
        <vertAlign val="subscript"/>
        <sz val="18"/>
        <color indexed="30"/>
        <rFont val="Calibri"/>
        <family val="2"/>
      </rPr>
      <t>unk</t>
    </r>
    <r>
      <rPr>
        <b/>
        <sz val="18"/>
        <color indexed="30"/>
        <rFont val="Calibri"/>
        <family val="2"/>
      </rPr>
      <t>(I</t>
    </r>
    <r>
      <rPr>
        <b/>
        <vertAlign val="subscript"/>
        <sz val="18"/>
        <color indexed="30"/>
        <rFont val="Calibri"/>
        <family val="2"/>
      </rPr>
      <t>R</t>
    </r>
    <r>
      <rPr>
        <b/>
        <sz val="18"/>
        <color indexed="30"/>
        <rFont val="Calibri"/>
        <family val="2"/>
      </rPr>
      <t>-1)}</t>
    </r>
  </si>
  <si>
    <r>
      <t>I= k*[C</t>
    </r>
    <r>
      <rPr>
        <b/>
        <vertAlign val="subscript"/>
        <sz val="16"/>
        <color theme="1"/>
        <rFont val="Calibri"/>
        <family val="2"/>
        <scheme val="minor"/>
      </rPr>
      <t>unk</t>
    </r>
    <r>
      <rPr>
        <b/>
        <sz val="16"/>
        <color theme="1"/>
        <rFont val="Calibri"/>
        <family val="2"/>
        <scheme val="minor"/>
      </rPr>
      <t>]</t>
    </r>
    <r>
      <rPr>
        <b/>
        <vertAlign val="superscript"/>
        <sz val="16"/>
        <color theme="1"/>
        <rFont val="Calibri"/>
        <family val="2"/>
        <scheme val="minor"/>
      </rPr>
      <t>final</t>
    </r>
    <r>
      <rPr>
        <b/>
        <sz val="16"/>
        <color theme="1"/>
        <rFont val="Calibri"/>
        <family val="2"/>
        <scheme val="minor"/>
      </rPr>
      <t xml:space="preserve"> + k*[C</t>
    </r>
    <r>
      <rPr>
        <b/>
        <vertAlign val="subscript"/>
        <sz val="16"/>
        <color theme="1"/>
        <rFont val="Calibri"/>
        <family val="2"/>
        <scheme val="minor"/>
      </rPr>
      <t>st</t>
    </r>
    <r>
      <rPr>
        <b/>
        <sz val="16"/>
        <color theme="1"/>
        <rFont val="Calibri"/>
        <family val="2"/>
        <scheme val="minor"/>
      </rPr>
      <t>]</t>
    </r>
    <r>
      <rPr>
        <b/>
        <vertAlign val="superscript"/>
        <sz val="16"/>
        <color theme="1"/>
        <rFont val="Calibri"/>
        <family val="2"/>
        <scheme val="minor"/>
      </rPr>
      <t>final</t>
    </r>
  </si>
  <si>
    <t>y=      b              +           m    x</t>
  </si>
  <si>
    <r>
      <t xml:space="preserve"> DIRECTLY ADDING SPIKE TO UNKNOWN SOLUTION AND ADJUSTING TO </t>
    </r>
    <r>
      <rPr>
        <b/>
        <i/>
        <sz val="16"/>
        <color indexed="30"/>
        <rFont val="Calibri"/>
        <family val="2"/>
      </rPr>
      <t>CONSTANT TOTAL VOLUME</t>
    </r>
  </si>
  <si>
    <r>
      <t>I</t>
    </r>
    <r>
      <rPr>
        <b/>
        <vertAlign val="subscript"/>
        <sz val="18"/>
        <color indexed="30"/>
        <rFont val="Calibri"/>
        <family val="2"/>
      </rPr>
      <t xml:space="preserve">R  </t>
    </r>
    <r>
      <rPr>
        <b/>
        <sz val="18"/>
        <color indexed="30"/>
        <rFont val="Calibri"/>
        <family val="2"/>
      </rPr>
      <t>= [I</t>
    </r>
    <r>
      <rPr>
        <b/>
        <vertAlign val="subscript"/>
        <sz val="18"/>
        <color indexed="30"/>
        <rFont val="Calibri"/>
        <family val="2"/>
      </rPr>
      <t>spike</t>
    </r>
    <r>
      <rPr>
        <b/>
        <sz val="18"/>
        <color indexed="30"/>
        <rFont val="Calibri"/>
        <family val="2"/>
      </rPr>
      <t>/I</t>
    </r>
    <r>
      <rPr>
        <b/>
        <vertAlign val="subscript"/>
        <sz val="18"/>
        <color indexed="30"/>
        <rFont val="Calibri"/>
        <family val="2"/>
      </rPr>
      <t>unk</t>
    </r>
    <r>
      <rPr>
        <b/>
        <sz val="18"/>
        <color indexed="30"/>
        <rFont val="Calibri"/>
        <family val="2"/>
      </rPr>
      <t>]</t>
    </r>
  </si>
  <si>
    <r>
      <t>I</t>
    </r>
    <r>
      <rPr>
        <vertAlign val="subscript"/>
        <sz val="16"/>
        <color indexed="8"/>
        <rFont val="Calibri"/>
        <family val="2"/>
      </rPr>
      <t>r</t>
    </r>
    <r>
      <rPr>
        <sz val="16"/>
        <color indexed="8"/>
        <rFont val="Calibri"/>
        <family val="2"/>
      </rPr>
      <t>=</t>
    </r>
  </si>
  <si>
    <t xml:space="preserve">ml of Unknown sample containing Hg  has Response of </t>
  </si>
  <si>
    <t>Units</t>
  </si>
  <si>
    <r>
      <t>C</t>
    </r>
    <r>
      <rPr>
        <vertAlign val="subscript"/>
        <sz val="16"/>
        <color indexed="8"/>
        <rFont val="Calibri"/>
        <family val="2"/>
      </rPr>
      <t xml:space="preserve">unk  </t>
    </r>
    <r>
      <rPr>
        <sz val="16"/>
        <color indexed="8"/>
        <rFont val="Calibri"/>
        <family val="2"/>
      </rPr>
      <t>=</t>
    </r>
  </si>
  <si>
    <t>Spike Unknown with</t>
  </si>
  <si>
    <t xml:space="preserve">ml of  </t>
  </si>
  <si>
    <t>mM  Hg results in Response of</t>
  </si>
  <si>
    <t xml:space="preserve">Both were diluted to </t>
  </si>
  <si>
    <t xml:space="preserve"> ml before Response measured</t>
  </si>
  <si>
    <r>
      <t xml:space="preserve">DIRECTLY ADDING SPIKE TO UNKNOWN SOLUTION </t>
    </r>
    <r>
      <rPr>
        <b/>
        <i/>
        <sz val="16"/>
        <color indexed="30"/>
        <rFont val="Calibri"/>
        <family val="2"/>
      </rPr>
      <t>WITHOUT ADJUSTING</t>
    </r>
    <r>
      <rPr>
        <b/>
        <sz val="14"/>
        <color indexed="30"/>
        <rFont val="Calibri"/>
        <family val="2"/>
      </rPr>
      <t xml:space="preserve"> FINAL VOLUME</t>
    </r>
  </si>
  <si>
    <r>
      <rPr>
        <vertAlign val="superscript"/>
        <sz val="11"/>
        <color indexed="8"/>
        <rFont val="Calibri"/>
        <family val="2"/>
      </rPr>
      <t>*</t>
    </r>
    <r>
      <rPr>
        <sz val="11"/>
        <color indexed="8"/>
        <rFont val="Calibri"/>
        <family val="2"/>
      </rPr>
      <t xml:space="preserve"> where </t>
    </r>
    <r>
      <rPr>
        <b/>
        <sz val="11"/>
        <color indexed="57"/>
        <rFont val="Calibri"/>
        <family val="2"/>
      </rPr>
      <t>V</t>
    </r>
    <r>
      <rPr>
        <b/>
        <vertAlign val="subscript"/>
        <sz val="11"/>
        <color indexed="57"/>
        <rFont val="Calibri"/>
        <family val="2"/>
      </rPr>
      <t>T</t>
    </r>
    <r>
      <rPr>
        <sz val="11"/>
        <color indexed="8"/>
        <rFont val="Calibri"/>
        <family val="2"/>
      </rPr>
      <t>= V</t>
    </r>
    <r>
      <rPr>
        <vertAlign val="subscript"/>
        <sz val="11"/>
        <color indexed="8"/>
        <rFont val="Calibri"/>
        <family val="2"/>
      </rPr>
      <t>std</t>
    </r>
    <r>
      <rPr>
        <sz val="11"/>
        <color indexed="8"/>
        <rFont val="Calibri"/>
        <family val="2"/>
      </rPr>
      <t>+V</t>
    </r>
    <r>
      <rPr>
        <vertAlign val="subscript"/>
        <sz val="11"/>
        <color indexed="8"/>
        <rFont val="Calibri"/>
        <family val="2"/>
      </rPr>
      <t>unk</t>
    </r>
  </si>
  <si>
    <t xml:space="preserve">ml of Unknown  Pb has Response of </t>
  </si>
  <si>
    <t>Absorbance</t>
  </si>
  <si>
    <t xml:space="preserve">Spike Unknown with </t>
  </si>
  <si>
    <t>ml of 10</t>
  </si>
  <si>
    <t xml:space="preserve">mM  Pb results in Response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</si>
</sst>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6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vertAlign val="subscript"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vertAlign val="subscript"/>
      <sz val="10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  <font>
      <b/>
      <vertAlign val="superscript"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vertAlign val="subscript"/>
      <sz val="20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vertAlign val="subscript"/>
      <sz val="12"/>
      <color rgb="FFFF0000"/>
      <name val="Calibri"/>
      <family val="2"/>
      <scheme val="minor"/>
    </font>
    <font>
      <b/>
      <vertAlign val="superscript"/>
      <sz val="12"/>
      <color rgb="FFFF0000"/>
      <name val="Calibri"/>
      <family val="2"/>
      <scheme val="minor"/>
    </font>
    <font>
      <vertAlign val="subscript"/>
      <sz val="20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vertAlign val="superscript"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  <font>
      <vertAlign val="subscript"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sz val="4"/>
      <color rgb="FFFF0000"/>
      <name val="Calibri"/>
      <family val="2"/>
      <scheme val="minor"/>
    </font>
    <font>
      <sz val="4"/>
      <color rgb="FFFF0000"/>
      <name val="Calibri"/>
      <family val="2"/>
      <scheme val="minor"/>
    </font>
    <font>
      <b/>
      <sz val="4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8"/>
      <color indexed="30"/>
      <name val="Calibri"/>
      <family val="2"/>
    </font>
    <font>
      <b/>
      <vertAlign val="subscript"/>
      <sz val="18"/>
      <color indexed="30"/>
      <name val="Calibri"/>
      <family val="2"/>
    </font>
    <font>
      <b/>
      <sz val="18"/>
      <color rgb="FF0070C0"/>
      <name val="Calibri"/>
      <family val="2"/>
      <scheme val="minor"/>
    </font>
    <font>
      <b/>
      <i/>
      <sz val="22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30"/>
      <name val="Calibri"/>
      <family val="2"/>
    </font>
    <font>
      <b/>
      <i/>
      <sz val="16"/>
      <color indexed="30"/>
      <name val="Calibri"/>
      <family val="2"/>
    </font>
    <font>
      <sz val="18"/>
      <color indexed="8"/>
      <name val="Calibri"/>
      <family val="2"/>
    </font>
    <font>
      <sz val="16"/>
      <color indexed="8"/>
      <name val="Calibri"/>
      <family val="2"/>
    </font>
    <font>
      <vertAlign val="subscript"/>
      <sz val="16"/>
      <color indexed="8"/>
      <name val="Calibri"/>
      <family val="2"/>
    </font>
    <font>
      <b/>
      <sz val="16"/>
      <color indexed="38"/>
      <name val="Calibri"/>
      <family val="2"/>
    </font>
    <font>
      <b/>
      <sz val="16"/>
      <color rgb="FF0000FF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b/>
      <sz val="11"/>
      <color indexed="57"/>
      <name val="Calibri"/>
      <family val="2"/>
    </font>
    <font>
      <b/>
      <vertAlign val="subscript"/>
      <sz val="11"/>
      <color indexed="57"/>
      <name val="Calibri"/>
      <family val="2"/>
    </font>
    <font>
      <vertAlign val="subscript"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4" fillId="0" borderId="0" xfId="0" applyFont="1"/>
    <xf numFmtId="2" fontId="4" fillId="0" borderId="0" xfId="0" applyNumberFormat="1" applyFont="1"/>
    <xf numFmtId="0" fontId="7" fillId="0" borderId="0" xfId="0" applyFont="1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9" fillId="0" borderId="0" xfId="0" applyFont="1"/>
    <xf numFmtId="0" fontId="14" fillId="2" borderId="0" xfId="0" applyFont="1" applyFill="1"/>
    <xf numFmtId="0" fontId="14" fillId="2" borderId="0" xfId="0" quotePrefix="1" applyFont="1" applyFill="1"/>
    <xf numFmtId="0" fontId="0" fillId="0" borderId="0" xfId="0" applyAlignment="1">
      <alignment horizontal="center" wrapText="1"/>
    </xf>
    <xf numFmtId="0" fontId="16" fillId="0" borderId="0" xfId="0" applyFont="1"/>
    <xf numFmtId="0" fontId="18" fillId="0" borderId="0" xfId="0" applyFont="1"/>
    <xf numFmtId="0" fontId="18" fillId="2" borderId="0" xfId="0" applyFont="1" applyFill="1"/>
    <xf numFmtId="0" fontId="9" fillId="2" borderId="0" xfId="0" applyFont="1" applyFill="1"/>
    <xf numFmtId="164" fontId="0" fillId="0" borderId="0" xfId="0" applyNumberFormat="1"/>
    <xf numFmtId="164" fontId="18" fillId="0" borderId="0" xfId="0" applyNumberFormat="1" applyFont="1"/>
    <xf numFmtId="0" fontId="23" fillId="0" borderId="0" xfId="0" applyFont="1"/>
    <xf numFmtId="0" fontId="24" fillId="0" borderId="0" xfId="0" applyFont="1"/>
    <xf numFmtId="164" fontId="25" fillId="0" borderId="0" xfId="0" applyNumberFormat="1" applyFont="1"/>
    <xf numFmtId="0" fontId="25" fillId="0" borderId="0" xfId="0" applyFont="1"/>
    <xf numFmtId="164" fontId="17" fillId="0" borderId="0" xfId="0" applyNumberFormat="1" applyFont="1"/>
    <xf numFmtId="164" fontId="15" fillId="2" borderId="0" xfId="0" applyNumberFormat="1" applyFont="1" applyFill="1"/>
    <xf numFmtId="0" fontId="15" fillId="2" borderId="0" xfId="0" applyFont="1" applyFill="1"/>
    <xf numFmtId="164" fontId="27" fillId="2" borderId="0" xfId="0" applyNumberFormat="1" applyFont="1" applyFill="1"/>
    <xf numFmtId="0" fontId="27" fillId="2" borderId="0" xfId="0" applyFont="1" applyFill="1"/>
    <xf numFmtId="0" fontId="7" fillId="2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3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2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9" fillId="3" borderId="0" xfId="0" applyFont="1" applyFill="1"/>
    <xf numFmtId="0" fontId="31" fillId="0" borderId="0" xfId="0" applyFont="1"/>
    <xf numFmtId="0" fontId="4" fillId="4" borderId="0" xfId="0" applyFont="1" applyFill="1" applyAlignment="1">
      <alignment horizontal="center"/>
    </xf>
    <xf numFmtId="0" fontId="33" fillId="0" borderId="0" xfId="0" applyFont="1"/>
    <xf numFmtId="0" fontId="39" fillId="0" borderId="0" xfId="0" applyFont="1"/>
    <xf numFmtId="164" fontId="38" fillId="3" borderId="0" xfId="0" applyNumberFormat="1" applyFont="1" applyFill="1" applyAlignment="1">
      <alignment horizontal="center"/>
    </xf>
    <xf numFmtId="0" fontId="40" fillId="3" borderId="0" xfId="0" applyFont="1" applyFill="1"/>
    <xf numFmtId="0" fontId="41" fillId="0" borderId="0" xfId="0" applyFont="1"/>
    <xf numFmtId="0" fontId="42" fillId="5" borderId="1" xfId="0" applyFont="1" applyFill="1" applyBorder="1" applyAlignment="1"/>
    <xf numFmtId="2" fontId="45" fillId="0" borderId="0" xfId="0" applyNumberFormat="1" applyFont="1"/>
    <xf numFmtId="2" fontId="44" fillId="0" borderId="0" xfId="0" applyNumberFormat="1" applyFont="1"/>
    <xf numFmtId="0" fontId="47" fillId="0" borderId="0" xfId="0" applyFont="1"/>
    <xf numFmtId="165" fontId="0" fillId="0" borderId="0" xfId="0" applyNumberFormat="1"/>
    <xf numFmtId="0" fontId="49" fillId="0" borderId="0" xfId="0" applyFont="1"/>
    <xf numFmtId="0" fontId="50" fillId="0" borderId="0" xfId="0" applyFont="1"/>
    <xf numFmtId="165" fontId="52" fillId="0" borderId="0" xfId="0" applyNumberFormat="1" applyFont="1"/>
    <xf numFmtId="0" fontId="42" fillId="0" borderId="0" xfId="0" applyFont="1" applyFill="1" applyBorder="1" applyAlignment="1">
      <alignment wrapText="1"/>
    </xf>
    <xf numFmtId="2" fontId="53" fillId="0" borderId="0" xfId="0" applyNumberFormat="1" applyFont="1"/>
    <xf numFmtId="0" fontId="54" fillId="0" borderId="0" xfId="0" applyFont="1"/>
    <xf numFmtId="165" fontId="53" fillId="0" borderId="0" xfId="0" applyNumberFormat="1" applyFont="1"/>
    <xf numFmtId="164" fontId="53" fillId="0" borderId="0" xfId="0" applyNumberFormat="1" applyFont="1"/>
    <xf numFmtId="0" fontId="52" fillId="0" borderId="0" xfId="0" applyFont="1"/>
    <xf numFmtId="0" fontId="55" fillId="0" borderId="0" xfId="0" applyFont="1" applyAlignment="1">
      <alignment horizontal="right"/>
    </xf>
    <xf numFmtId="0" fontId="46" fillId="0" borderId="0" xfId="0" applyFont="1"/>
    <xf numFmtId="0" fontId="42" fillId="5" borderId="1" xfId="0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9951881014873101E-3"/>
                  <c:y val="0.407407407407407"/>
                </c:manualLayout>
              </c:layout>
              <c:numFmt formatCode="General" sourceLinked="0"/>
            </c:trendlineLbl>
          </c:trendline>
          <c:xVal>
            <c:numRef>
              <c:f>'Fixed Volume'!$D$10:$D$14</c:f>
              <c:numCache>
                <c:formatCode>General</c:formatCode>
                <c:ptCount val="5"/>
                <c:pt idx="0">
                  <c:v>8</c:v>
                </c:pt>
                <c:pt idx="1">
                  <c:v>23</c:v>
                </c:pt>
                <c:pt idx="2">
                  <c:v>38</c:v>
                </c:pt>
                <c:pt idx="3">
                  <c:v>53</c:v>
                </c:pt>
                <c:pt idx="4">
                  <c:v>68</c:v>
                </c:pt>
              </c:numCache>
            </c:numRef>
          </c:xVal>
          <c:yVal>
            <c:numRef>
              <c:f>'Fixed Volume'!$E$10:$E$14</c:f>
              <c:numCache>
                <c:formatCode>General</c:formatCode>
                <c:ptCount val="5"/>
                <c:pt idx="0">
                  <c:v>0.8</c:v>
                </c:pt>
                <c:pt idx="1">
                  <c:v>2.3000000000000003</c:v>
                </c:pt>
                <c:pt idx="2">
                  <c:v>3.8000000000000003</c:v>
                </c:pt>
                <c:pt idx="3">
                  <c:v>5.3000000000000007</c:v>
                </c:pt>
                <c:pt idx="4">
                  <c:v>6.8000000000000007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F-426D-9076-0BFF762EB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35376"/>
        <c:axId val="226015000"/>
      </c:scatterChart>
      <c:valAx>
        <c:axId val="17163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015000"/>
        <c:crosses val="autoZero"/>
        <c:crossBetween val="midCat"/>
      </c:valAx>
      <c:valAx>
        <c:axId val="22601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35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Fixed Volume Standard</a:t>
            </a:r>
            <a:r>
              <a:rPr lang="en-US" baseline="0"/>
              <a:t> Addition</a:t>
            </a:r>
            <a:endParaRPr lang="en-US"/>
          </a:p>
        </c:rich>
      </c:tx>
      <c:layout>
        <c:manualLayout>
          <c:xMode val="edge"/>
          <c:yMode val="edge"/>
          <c:x val="0.1547727483040344"/>
          <c:y val="3.74495429450628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114791671949123E-2"/>
          <c:y val="0.21715734095184999"/>
          <c:w val="0.83000316622142367"/>
          <c:h val="0.6356891505818409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forward val="2"/>
            <c:dispRSqr val="0"/>
            <c:dispEq val="0"/>
          </c:trendline>
          <c:trendline>
            <c:trendlineType val="linear"/>
            <c:forward val="2"/>
            <c:dispRSqr val="0"/>
            <c:dispEq val="0"/>
          </c:trendline>
          <c:xVal>
            <c:numRef>
              <c:f>'Fixed Volume'!$C$10:$C$14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</c:numCache>
            </c:numRef>
          </c:xVal>
          <c:yVal>
            <c:numRef>
              <c:f>'Fixed Volume'!$E$10:$E$14</c:f>
              <c:numCache>
                <c:formatCode>General</c:formatCode>
                <c:ptCount val="5"/>
                <c:pt idx="0">
                  <c:v>0.8</c:v>
                </c:pt>
                <c:pt idx="1">
                  <c:v>2.3000000000000003</c:v>
                </c:pt>
                <c:pt idx="2">
                  <c:v>3.8000000000000003</c:v>
                </c:pt>
                <c:pt idx="3">
                  <c:v>5.3000000000000007</c:v>
                </c:pt>
                <c:pt idx="4">
                  <c:v>6.8000000000000007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7-48F3-B751-02DFDE25B85B}"/>
            </c:ext>
          </c:extLst>
        </c:ser>
        <c:ser>
          <c:idx val="1"/>
          <c:order val="1"/>
          <c:tx>
            <c:v>Extrapolation</c:v>
          </c:tx>
          <c:spPr>
            <a:ln w="47625">
              <a:noFill/>
            </a:ln>
          </c:spPr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137-48F3-B751-02DFDE25B85B}"/>
              </c:ext>
            </c:extLst>
          </c:dPt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'Fixed Volume'!$C$9:$C$10</c:f>
              <c:numCache>
                <c:formatCode>General</c:formatCode>
                <c:ptCount val="2"/>
                <c:pt idx="0">
                  <c:v>-7.999999999999992</c:v>
                </c:pt>
                <c:pt idx="1">
                  <c:v>0</c:v>
                </c:pt>
              </c:numCache>
            </c:numRef>
          </c:xVal>
          <c:yVal>
            <c:numRef>
              <c:f>'Fixed Volume'!$E$9:$E$10</c:f>
              <c:numCache>
                <c:formatCode>General</c:formatCode>
                <c:ptCount val="2"/>
                <c:pt idx="0">
                  <c:v>0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37-48F3-B751-02DFDE25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600768"/>
        <c:axId val="279936328"/>
      </c:scatterChart>
      <c:valAx>
        <c:axId val="279600768"/>
        <c:scaling>
          <c:orientation val="minMax"/>
          <c:max val="100"/>
          <c:min val="-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Standard Concentration (corrected for V</a:t>
                </a:r>
                <a:r>
                  <a:rPr lang="en-US" baseline="-25000"/>
                  <a:t>t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3339741626796332"/>
              <c:y val="0.9257486280124075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>
            <a:gradFill>
              <a:gsLst>
                <a:gs pos="43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</c:spPr>
        <c:crossAx val="279936328"/>
        <c:crosses val="autoZero"/>
        <c:crossBetween val="midCat"/>
        <c:majorUnit val="10"/>
      </c:valAx>
      <c:valAx>
        <c:axId val="279936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Respone Intensity 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7522937768037115E-3"/>
              <c:y val="0.305366873388614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7960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Vst vs I*(vx+Vs)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'Fixed Volume'!$A$58:$A$62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'Fixed Volume'!$I$58:$I$62</c:f>
              <c:numCache>
                <c:formatCode>General</c:formatCode>
                <c:ptCount val="5"/>
                <c:pt idx="0">
                  <c:v>5720</c:v>
                </c:pt>
                <c:pt idx="1">
                  <c:v>11220</c:v>
                </c:pt>
                <c:pt idx="2">
                  <c:v>16720</c:v>
                </c:pt>
                <c:pt idx="3">
                  <c:v>22220</c:v>
                </c:pt>
                <c:pt idx="4">
                  <c:v>27720.000000000004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D-4D59-9B72-D335DC790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771304"/>
        <c:axId val="279771688"/>
      </c:scatterChart>
      <c:valAx>
        <c:axId val="27977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9771688"/>
        <c:crosses val="autoZero"/>
        <c:crossBetween val="midCat"/>
      </c:valAx>
      <c:valAx>
        <c:axId val="27977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771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</a:t>
            </a:r>
            <a:r>
              <a:rPr lang="en-US" baseline="-25000"/>
              <a:t>st</a:t>
            </a:r>
            <a:r>
              <a:rPr lang="en-US"/>
              <a:t> vs I*(V</a:t>
            </a:r>
            <a:r>
              <a:rPr lang="en-US" baseline="-25000"/>
              <a:t>u</a:t>
            </a:r>
            <a:r>
              <a:rPr lang="en-US"/>
              <a:t>+V</a:t>
            </a:r>
            <a:r>
              <a:rPr lang="en-US" baseline="-25000"/>
              <a:t>st</a:t>
            </a:r>
            <a:r>
              <a:rPr lang="en-US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'Unequal Volume'!$A$9:$A$13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'Unequal Volume'!$I$9:$I$13</c:f>
              <c:numCache>
                <c:formatCode>General</c:formatCode>
                <c:ptCount val="5"/>
                <c:pt idx="0">
                  <c:v>2200.0000000000005</c:v>
                </c:pt>
                <c:pt idx="1">
                  <c:v>5500</c:v>
                </c:pt>
                <c:pt idx="2">
                  <c:v>8800</c:v>
                </c:pt>
                <c:pt idx="3">
                  <c:v>12100.000000000002</c:v>
                </c:pt>
                <c:pt idx="4">
                  <c:v>15400.000000000002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5-4862-9C8D-9DA4BD663B9C}"/>
            </c:ext>
          </c:extLst>
        </c:ser>
        <c:ser>
          <c:idx val="1"/>
          <c:order val="1"/>
          <c:tx>
            <c:v>Extrapolate</c:v>
          </c:tx>
          <c:spPr>
            <a:ln w="47625">
              <a:noFill/>
            </a:ln>
          </c:spPr>
          <c:marker>
            <c:spPr>
              <a:solidFill>
                <a:srgbClr val="FF0000"/>
              </a:solidFill>
              <a:ln w="0"/>
            </c:spPr>
          </c:marker>
          <c:trendline>
            <c:trendlineType val="linear"/>
            <c:dispRSqr val="0"/>
            <c:dispEq val="0"/>
          </c:trendline>
          <c:xVal>
            <c:numRef>
              <c:f>'Unequal Volume'!$A$8:$A$9</c:f>
              <c:numCache>
                <c:formatCode>General</c:formatCode>
                <c:ptCount val="2"/>
                <c:pt idx="0" formatCode="0.0">
                  <c:v>-3.3333333333333335</c:v>
                </c:pt>
                <c:pt idx="1">
                  <c:v>0</c:v>
                </c:pt>
              </c:numCache>
            </c:numRef>
          </c:xVal>
          <c:yVal>
            <c:numRef>
              <c:f>'Unequal Volume'!$I$8:$I$9</c:f>
              <c:numCache>
                <c:formatCode>General</c:formatCode>
                <c:ptCount val="2"/>
                <c:pt idx="0">
                  <c:v>0</c:v>
                </c:pt>
                <c:pt idx="1">
                  <c:v>2200.0000000000005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0-4381-880C-3D6C42192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74096"/>
        <c:axId val="519961040"/>
      </c:scatterChart>
      <c:valAx>
        <c:axId val="360274096"/>
        <c:scaling>
          <c:orientation val="minMax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V</a:t>
                </a:r>
                <a:r>
                  <a:rPr lang="en-US" sz="1200" baseline="-25000"/>
                  <a:t>Standard</a:t>
                </a:r>
                <a:r>
                  <a:rPr lang="en-US" sz="1200"/>
                  <a:t>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9961040"/>
        <c:crosses val="autoZero"/>
        <c:crossBetween val="midCat"/>
      </c:valAx>
      <c:valAx>
        <c:axId val="519961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I*(V</a:t>
                </a:r>
                <a:r>
                  <a:rPr lang="en-US" sz="1200" baseline="-25000"/>
                  <a:t>u</a:t>
                </a:r>
                <a:r>
                  <a:rPr lang="en-US" sz="1200"/>
                  <a:t>+V</a:t>
                </a:r>
                <a:r>
                  <a:rPr lang="en-US" sz="1200" baseline="-25000"/>
                  <a:t>s</a:t>
                </a:r>
                <a:r>
                  <a:rPr lang="en-US" sz="120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0274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Fixed Volume Standard</a:t>
            </a:r>
            <a:r>
              <a:rPr lang="en-US" baseline="0"/>
              <a:t> Addition</a:t>
            </a:r>
            <a:endParaRPr lang="en-US"/>
          </a:p>
        </c:rich>
      </c:tx>
      <c:layout>
        <c:manualLayout>
          <c:xMode val="edge"/>
          <c:yMode val="edge"/>
          <c:x val="0.10366322849629978"/>
          <c:y val="2.21240637603226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114791671949123E-2"/>
          <c:y val="0.21715734095184999"/>
          <c:w val="0.83000316622142367"/>
          <c:h val="0.6356891505818409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forward val="2"/>
            <c:dispRSqr val="0"/>
            <c:dispEq val="0"/>
          </c:trendline>
          <c:trendline>
            <c:trendlineType val="linear"/>
            <c:forward val="2"/>
            <c:dispRSqr val="0"/>
            <c:dispEq val="0"/>
          </c:trendline>
          <c:xVal>
            <c:numRef>
              <c:f>'Fixed Volume'!$C$10:$C$14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</c:numCache>
            </c:numRef>
          </c:xVal>
          <c:yVal>
            <c:numRef>
              <c:f>'Fixed Volume'!$E$10:$E$14</c:f>
              <c:numCache>
                <c:formatCode>General</c:formatCode>
                <c:ptCount val="5"/>
                <c:pt idx="0">
                  <c:v>0.8</c:v>
                </c:pt>
                <c:pt idx="1">
                  <c:v>2.3000000000000003</c:v>
                </c:pt>
                <c:pt idx="2">
                  <c:v>3.8000000000000003</c:v>
                </c:pt>
                <c:pt idx="3">
                  <c:v>5.3000000000000007</c:v>
                </c:pt>
                <c:pt idx="4">
                  <c:v>6.8000000000000007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6-4AD4-9414-BE3FD11D725F}"/>
            </c:ext>
          </c:extLst>
        </c:ser>
        <c:ser>
          <c:idx val="1"/>
          <c:order val="1"/>
          <c:tx>
            <c:v>Extarpolation</c:v>
          </c:tx>
          <c:spPr>
            <a:ln w="47625">
              <a:noFill/>
            </a:ln>
          </c:spPr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96-4AD4-9414-BE3FD11D725F}"/>
              </c:ext>
            </c:extLst>
          </c:dPt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'Fixed Volume'!$C$9:$C$10</c:f>
              <c:numCache>
                <c:formatCode>General</c:formatCode>
                <c:ptCount val="2"/>
                <c:pt idx="0">
                  <c:v>-7.999999999999992</c:v>
                </c:pt>
                <c:pt idx="1">
                  <c:v>0</c:v>
                </c:pt>
              </c:numCache>
            </c:numRef>
          </c:xVal>
          <c:yVal>
            <c:numRef>
              <c:f>'Fixed Volume'!$E$9:$E$10</c:f>
              <c:numCache>
                <c:formatCode>General</c:formatCode>
                <c:ptCount val="2"/>
                <c:pt idx="0">
                  <c:v>0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96-4AD4-9414-BE3FD11D725F}"/>
            </c:ext>
          </c:extLst>
        </c:ser>
        <c:ser>
          <c:idx val="2"/>
          <c:order val="2"/>
          <c:spPr>
            <a:ln w="47625">
              <a:noFill/>
            </a:ln>
          </c:spPr>
          <c:trendline>
            <c:trendlineType val="linear"/>
            <c:forward val="2"/>
            <c:dispRSqr val="0"/>
            <c:dispEq val="0"/>
          </c:trendline>
          <c:xVal>
            <c:numRef>
              <c:f>'Weak Acid'!$C$10:$C$14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</c:numCache>
            </c:numRef>
          </c:xVal>
          <c:yVal>
            <c:numRef>
              <c:f>'Weak Acid'!$G$10:$G$14</c:f>
              <c:numCache>
                <c:formatCode>General</c:formatCode>
                <c:ptCount val="5"/>
                <c:pt idx="0">
                  <c:v>1.5300000000000002</c:v>
                </c:pt>
                <c:pt idx="1">
                  <c:v>2.2800000000000002</c:v>
                </c:pt>
                <c:pt idx="2">
                  <c:v>3.0300000000000002</c:v>
                </c:pt>
                <c:pt idx="3">
                  <c:v>3.78</c:v>
                </c:pt>
                <c:pt idx="4">
                  <c:v>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96-4AD4-9414-BE3FD11D7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73376"/>
        <c:axId val="365173768"/>
      </c:scatterChart>
      <c:valAx>
        <c:axId val="365173376"/>
        <c:scaling>
          <c:orientation val="minMax"/>
          <c:max val="100"/>
          <c:min val="-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Standard Concentration (corrected for V</a:t>
                </a:r>
                <a:r>
                  <a:rPr lang="en-US" baseline="-25000"/>
                  <a:t>t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4131359830337342"/>
              <c:y val="0.9105971709288551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>
            <a:gradFill>
              <a:gsLst>
                <a:gs pos="43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</c:spPr>
        <c:crossAx val="365173768"/>
        <c:crosses val="autoZero"/>
        <c:crossBetween val="midCat"/>
        <c:majorUnit val="10"/>
      </c:valAx>
      <c:valAx>
        <c:axId val="365173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Respone Intensity 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7522937768037115E-3"/>
              <c:y val="0.305366873388614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6517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Fixed Volume Standard</a:t>
            </a:r>
            <a:r>
              <a:rPr lang="en-US" baseline="0"/>
              <a:t> Addition</a:t>
            </a:r>
            <a:endParaRPr lang="en-US"/>
          </a:p>
        </c:rich>
      </c:tx>
      <c:layout>
        <c:manualLayout>
          <c:xMode val="edge"/>
          <c:yMode val="edge"/>
          <c:x val="0.32588542172969126"/>
          <c:y val="6.43683895948650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114791671949123E-2"/>
          <c:y val="0.21715734095184999"/>
          <c:w val="0.83000316622142367"/>
          <c:h val="0.6356891505818409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forward val="2"/>
            <c:dispRSqr val="0"/>
            <c:dispEq val="0"/>
          </c:trendline>
          <c:trendline>
            <c:trendlineType val="linear"/>
            <c:forward val="2"/>
            <c:dispRSqr val="0"/>
            <c:dispEq val="0"/>
          </c:trendline>
          <c:xVal>
            <c:numRef>
              <c:f>'Fixed Volume'!$C$10:$C$14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</c:numCache>
            </c:numRef>
          </c:xVal>
          <c:yVal>
            <c:numRef>
              <c:f>'Fixed Volume'!$E$10:$E$14</c:f>
              <c:numCache>
                <c:formatCode>General</c:formatCode>
                <c:ptCount val="5"/>
                <c:pt idx="0">
                  <c:v>0.8</c:v>
                </c:pt>
                <c:pt idx="1">
                  <c:v>2.3000000000000003</c:v>
                </c:pt>
                <c:pt idx="2">
                  <c:v>3.8000000000000003</c:v>
                </c:pt>
                <c:pt idx="3">
                  <c:v>5.3000000000000007</c:v>
                </c:pt>
                <c:pt idx="4">
                  <c:v>6.8000000000000007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3-4D15-8F3F-853C0EF8337D}"/>
            </c:ext>
          </c:extLst>
        </c:ser>
        <c:ser>
          <c:idx val="1"/>
          <c:order val="1"/>
          <c:tx>
            <c:v>Extarpolation</c:v>
          </c:tx>
          <c:spPr>
            <a:ln w="47625">
              <a:noFill/>
            </a:ln>
          </c:spPr>
          <c:marker>
            <c:spPr>
              <a:solidFill>
                <a:schemeClr val="accent1"/>
              </a:solidFill>
            </c:spPr>
          </c:marker>
          <c:dPt>
            <c:idx val="0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2E3-4D15-8F3F-853C0EF8337D}"/>
              </c:ext>
            </c:extLst>
          </c:dPt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'Fixed Volume'!$C$9:$C$10</c:f>
              <c:numCache>
                <c:formatCode>General</c:formatCode>
                <c:ptCount val="2"/>
                <c:pt idx="0">
                  <c:v>-7.999999999999992</c:v>
                </c:pt>
                <c:pt idx="1">
                  <c:v>0</c:v>
                </c:pt>
              </c:numCache>
            </c:numRef>
          </c:xVal>
          <c:yVal>
            <c:numRef>
              <c:f>'Fixed Volume'!$E$9:$E$10</c:f>
              <c:numCache>
                <c:formatCode>General</c:formatCode>
                <c:ptCount val="2"/>
                <c:pt idx="0">
                  <c:v>0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E3-4D15-8F3F-853C0EF8337D}"/>
            </c:ext>
          </c:extLst>
        </c:ser>
        <c:ser>
          <c:idx val="2"/>
          <c:order val="2"/>
          <c:spPr>
            <a:ln w="47625">
              <a:noFill/>
            </a:ln>
          </c:spPr>
          <c:trendline>
            <c:trendlineType val="linear"/>
            <c:forward val="2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'Ionic Complex'!$C$10:$C$14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</c:numCache>
            </c:numRef>
          </c:xVal>
          <c:yVal>
            <c:numRef>
              <c:f>'Ionic Complex'!$G$10:$G$14</c:f>
              <c:numCache>
                <c:formatCode>General</c:formatCode>
                <c:ptCount val="5"/>
                <c:pt idx="0">
                  <c:v>2.9632644912082196</c:v>
                </c:pt>
                <c:pt idx="1">
                  <c:v>4.4621919288263205</c:v>
                </c:pt>
                <c:pt idx="2">
                  <c:v>5.9616497159137634</c:v>
                </c:pt>
                <c:pt idx="3">
                  <c:v>7.4613225199657327</c:v>
                </c:pt>
                <c:pt idx="4">
                  <c:v>8.9611036183252306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E3-4D15-8F3F-853C0EF8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24496"/>
        <c:axId val="225724888"/>
      </c:scatterChart>
      <c:valAx>
        <c:axId val="225724496"/>
        <c:scaling>
          <c:orientation val="minMax"/>
          <c:max val="100"/>
          <c:min val="-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Standard Concentration (corrected for V</a:t>
                </a:r>
                <a:r>
                  <a:rPr lang="en-US" baseline="-25000"/>
                  <a:t>t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4131359830337342"/>
              <c:y val="0.9105971709288551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>
            <a:gradFill>
              <a:gsLst>
                <a:gs pos="43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</c:spPr>
        <c:crossAx val="225724888"/>
        <c:crosses val="autoZero"/>
        <c:crossBetween val="midCat"/>
        <c:majorUnit val="10"/>
      </c:valAx>
      <c:valAx>
        <c:axId val="225724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Respone Intensity 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7522937768037115E-3"/>
              <c:y val="0.305366873388614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2572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529166</xdr:colOff>
      <xdr:row>1</xdr:row>
      <xdr:rowOff>35983</xdr:rowOff>
    </xdr:from>
    <xdr:to>
      <xdr:col>26</xdr:col>
      <xdr:colOff>148166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723899</xdr:colOff>
      <xdr:row>1</xdr:row>
      <xdr:rowOff>118534</xdr:rowOff>
    </xdr:from>
    <xdr:to>
      <xdr:col>11</xdr:col>
      <xdr:colOff>309032</xdr:colOff>
      <xdr:row>15</xdr:row>
      <xdr:rowOff>309034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742949</xdr:colOff>
      <xdr:row>64</xdr:row>
      <xdr:rowOff>158750</xdr:rowOff>
    </xdr:from>
    <xdr:to>
      <xdr:col>9</xdr:col>
      <xdr:colOff>328083</xdr:colOff>
      <xdr:row>78</xdr:row>
      <xdr:rowOff>175684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63499</xdr:colOff>
      <xdr:row>2</xdr:row>
      <xdr:rowOff>114299</xdr:rowOff>
    </xdr:from>
    <xdr:to>
      <xdr:col>16</xdr:col>
      <xdr:colOff>304800</xdr:colOff>
      <xdr:row>17</xdr:row>
      <xdr:rowOff>177799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609601</xdr:colOff>
      <xdr:row>1</xdr:row>
      <xdr:rowOff>180975</xdr:rowOff>
    </xdr:from>
    <xdr:to>
      <xdr:col>14</xdr:col>
      <xdr:colOff>647700</xdr:colOff>
      <xdr:row>16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133351</xdr:colOff>
      <xdr:row>0</xdr:row>
      <xdr:rowOff>161925</xdr:rowOff>
    </xdr:from>
    <xdr:to>
      <xdr:col>17</xdr:col>
      <xdr:colOff>133351</xdr:colOff>
      <xdr:row>20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8"/>
  <sheetViews>
    <sheetView tabSelected="1" zoomScaleNormal="100" zoomScalePageLayoutView="150" workbookViewId="0">
      <selection activeCell="M1" sqref="M1"/>
    </sheetView>
  </sheetViews>
  <sheetFormatPr defaultColWidth="11" defaultRowHeight="15.5" x14ac:dyDescent="0.35"/>
  <cols>
    <col min="2" max="2" width="14.83203125" customWidth="1"/>
  </cols>
  <sheetData>
    <row r="1" spans="1:7" ht="28.5" x14ac:dyDescent="0.65">
      <c r="C1" s="37" t="s">
        <v>71</v>
      </c>
    </row>
    <row r="2" spans="1:7" ht="26.5" x14ac:dyDescent="0.65">
      <c r="A2" s="23">
        <v>150</v>
      </c>
      <c r="B2" s="24" t="s">
        <v>0</v>
      </c>
      <c r="D2" s="39" t="s">
        <v>77</v>
      </c>
    </row>
    <row r="3" spans="1:7" ht="26" x14ac:dyDescent="0.6">
      <c r="A3" s="25">
        <v>40</v>
      </c>
      <c r="B3" s="26" t="s">
        <v>57</v>
      </c>
      <c r="D3" s="43" t="s">
        <v>78</v>
      </c>
    </row>
    <row r="4" spans="1:7" ht="26" x14ac:dyDescent="0.6">
      <c r="A4" s="23">
        <v>10</v>
      </c>
      <c r="B4" s="24" t="s">
        <v>58</v>
      </c>
    </row>
    <row r="5" spans="1:7" ht="26" x14ac:dyDescent="0.6">
      <c r="A5" s="23">
        <v>50</v>
      </c>
      <c r="B5" s="24" t="s">
        <v>3</v>
      </c>
    </row>
    <row r="6" spans="1:7" x14ac:dyDescent="0.35">
      <c r="E6" s="31" t="s">
        <v>18</v>
      </c>
    </row>
    <row r="7" spans="1:7" x14ac:dyDescent="0.35">
      <c r="E7" s="31">
        <v>0.1</v>
      </c>
    </row>
    <row r="8" spans="1:7" ht="18.5" x14ac:dyDescent="0.45">
      <c r="A8" s="31" t="s">
        <v>4</v>
      </c>
      <c r="B8" s="30" t="s">
        <v>59</v>
      </c>
      <c r="C8" s="31" t="s">
        <v>60</v>
      </c>
      <c r="D8" s="31" t="s">
        <v>61</v>
      </c>
      <c r="E8" s="31" t="s">
        <v>66</v>
      </c>
    </row>
    <row r="9" spans="1:7" x14ac:dyDescent="0.35">
      <c r="B9" s="1"/>
      <c r="C9" s="40">
        <f>C18</f>
        <v>-7.999999999999992</v>
      </c>
      <c r="D9" s="1"/>
      <c r="E9" s="1">
        <v>0</v>
      </c>
    </row>
    <row r="10" spans="1:7" x14ac:dyDescent="0.35">
      <c r="A10" s="31">
        <v>0</v>
      </c>
      <c r="B10" s="30">
        <f>A$3*A$4/A$5</f>
        <v>8</v>
      </c>
      <c r="C10" s="38">
        <f>A10*A$2/A$5</f>
        <v>0</v>
      </c>
      <c r="D10" s="30">
        <f>B10+C10</f>
        <v>8</v>
      </c>
      <c r="E10" s="38">
        <f>D10*E$7</f>
        <v>0.8</v>
      </c>
    </row>
    <row r="11" spans="1:7" x14ac:dyDescent="0.35">
      <c r="A11" s="31">
        <v>5</v>
      </c>
      <c r="B11" s="30">
        <f>A$3*A$4/A$5</f>
        <v>8</v>
      </c>
      <c r="C11" s="38">
        <f>A11*A$2/A$5</f>
        <v>15</v>
      </c>
      <c r="D11" s="30">
        <f t="shared" ref="D11:D14" si="0">B11+C11</f>
        <v>23</v>
      </c>
      <c r="E11" s="38">
        <f t="shared" ref="E11:E14" si="1">D11*E$7</f>
        <v>2.3000000000000003</v>
      </c>
    </row>
    <row r="12" spans="1:7" x14ac:dyDescent="0.35">
      <c r="A12" s="31">
        <v>10</v>
      </c>
      <c r="B12" s="30">
        <f>A$3*A$4/A$5</f>
        <v>8</v>
      </c>
      <c r="C12" s="38">
        <f>A12*A$2/A$5</f>
        <v>30</v>
      </c>
      <c r="D12" s="30">
        <f t="shared" si="0"/>
        <v>38</v>
      </c>
      <c r="E12" s="38">
        <f t="shared" si="1"/>
        <v>3.8000000000000003</v>
      </c>
    </row>
    <row r="13" spans="1:7" x14ac:dyDescent="0.35">
      <c r="A13" s="31">
        <v>15</v>
      </c>
      <c r="B13" s="30">
        <f>A$3*A$4/A$5</f>
        <v>8</v>
      </c>
      <c r="C13" s="38">
        <f>A13*A$2/A$5</f>
        <v>45</v>
      </c>
      <c r="D13" s="30">
        <f t="shared" si="0"/>
        <v>53</v>
      </c>
      <c r="E13" s="38">
        <f t="shared" si="1"/>
        <v>5.3000000000000007</v>
      </c>
    </row>
    <row r="14" spans="1:7" x14ac:dyDescent="0.35">
      <c r="A14" s="31">
        <v>20</v>
      </c>
      <c r="B14" s="30">
        <f>A$3*A$4/A$5</f>
        <v>8</v>
      </c>
      <c r="C14" s="38">
        <f>A14*A$2/A$5</f>
        <v>60</v>
      </c>
      <c r="D14" s="30">
        <f t="shared" si="0"/>
        <v>68</v>
      </c>
      <c r="E14" s="38">
        <f t="shared" si="1"/>
        <v>6.8000000000000007</v>
      </c>
    </row>
    <row r="16" spans="1:7" ht="25.5" x14ac:dyDescent="0.65">
      <c r="B16" t="s">
        <v>8</v>
      </c>
      <c r="C16">
        <f>SLOPE(E10:E14,C10:C14)</f>
        <v>0.10000000000000002</v>
      </c>
      <c r="G16" s="39" t="s">
        <v>69</v>
      </c>
    </row>
    <row r="17" spans="2:6" ht="16" thickBot="1" x14ac:dyDescent="0.4">
      <c r="B17" t="s">
        <v>63</v>
      </c>
      <c r="C17">
        <f>INTERCEPT(E10:E14,C10:C14)</f>
        <v>0.79999999999999938</v>
      </c>
      <c r="F17" s="18" t="s">
        <v>75</v>
      </c>
    </row>
    <row r="18" spans="2:6" ht="27" thickBot="1" x14ac:dyDescent="0.75">
      <c r="B18" t="s">
        <v>62</v>
      </c>
      <c r="C18" s="4">
        <f>-C17/C16</f>
        <v>-7.999999999999992</v>
      </c>
      <c r="F18" s="44" t="s">
        <v>76</v>
      </c>
    </row>
    <row r="19" spans="2:6" ht="28.5" x14ac:dyDescent="0.65">
      <c r="B19" t="s">
        <v>65</v>
      </c>
      <c r="C19">
        <f>-C18</f>
        <v>7.999999999999992</v>
      </c>
      <c r="F19" s="45">
        <f>A2*A11/(A4*((E11/E10)-1))</f>
        <v>40</v>
      </c>
    </row>
    <row r="20" spans="2:6" ht="26" x14ac:dyDescent="0.6">
      <c r="B20" s="27" t="s">
        <v>64</v>
      </c>
      <c r="C20" s="25">
        <f>C19*A5/A4</f>
        <v>39.999999999999957</v>
      </c>
    </row>
    <row r="25" spans="2:6" x14ac:dyDescent="0.35">
      <c r="B25" t="s">
        <v>56</v>
      </c>
    </row>
    <row r="49" spans="1:10" x14ac:dyDescent="0.35">
      <c r="E49" t="s">
        <v>16</v>
      </c>
      <c r="F49">
        <f>C65/B50</f>
        <v>1.1000000000000001</v>
      </c>
    </row>
    <row r="50" spans="1:10" x14ac:dyDescent="0.35">
      <c r="B50">
        <v>1000</v>
      </c>
      <c r="C50" t="s">
        <v>0</v>
      </c>
      <c r="E50" t="s">
        <v>17</v>
      </c>
      <c r="F50">
        <f>C66/(F49*B52)</f>
        <v>130</v>
      </c>
    </row>
    <row r="51" spans="1:10" x14ac:dyDescent="0.35">
      <c r="B51">
        <v>130</v>
      </c>
      <c r="C51" t="s">
        <v>1</v>
      </c>
    </row>
    <row r="52" spans="1:10" x14ac:dyDescent="0.35">
      <c r="B52">
        <v>40</v>
      </c>
      <c r="C52" t="s">
        <v>2</v>
      </c>
    </row>
    <row r="56" spans="1:10" x14ac:dyDescent="0.35">
      <c r="A56" t="s">
        <v>4</v>
      </c>
      <c r="B56" s="1" t="s">
        <v>5</v>
      </c>
      <c r="C56" t="s">
        <v>6</v>
      </c>
      <c r="D56" t="s">
        <v>11</v>
      </c>
      <c r="E56" t="s">
        <v>12</v>
      </c>
      <c r="F56" t="s">
        <v>14</v>
      </c>
      <c r="G56" s="1" t="s">
        <v>7</v>
      </c>
      <c r="H56" t="s">
        <v>15</v>
      </c>
    </row>
    <row r="57" spans="1:10" x14ac:dyDescent="0.35">
      <c r="B57" s="1"/>
      <c r="G57" s="1"/>
      <c r="I57" t="s">
        <v>13</v>
      </c>
    </row>
    <row r="58" spans="1:10" x14ac:dyDescent="0.35">
      <c r="A58">
        <v>0</v>
      </c>
      <c r="B58" s="1">
        <f>B$51*B$52/(B$52+A58)</f>
        <v>130</v>
      </c>
      <c r="C58" s="2">
        <f>A58*B$50/(A58+B$52)</f>
        <v>0</v>
      </c>
      <c r="D58">
        <f>B$51*B$52</f>
        <v>5200</v>
      </c>
      <c r="E58">
        <f>A58*B$50</f>
        <v>0</v>
      </c>
      <c r="F58">
        <f>D58+E58</f>
        <v>5200</v>
      </c>
      <c r="G58" s="1">
        <f>F58/(A58+B$52)</f>
        <v>130</v>
      </c>
      <c r="H58" s="3">
        <f>G58*1.1</f>
        <v>143</v>
      </c>
      <c r="I58">
        <f>H58*(B$52+A58)</f>
        <v>5720</v>
      </c>
      <c r="J58">
        <f>I58/1.1</f>
        <v>5200</v>
      </c>
    </row>
    <row r="59" spans="1:10" x14ac:dyDescent="0.35">
      <c r="A59">
        <v>5</v>
      </c>
      <c r="B59" s="1">
        <f t="shared" ref="B59:B62" si="2">B$51*B$52/(B$52+A59)</f>
        <v>115.55555555555556</v>
      </c>
      <c r="C59" s="2">
        <f t="shared" ref="C59:C62" si="3">A59*B$50/(A59+B$52)</f>
        <v>111.11111111111111</v>
      </c>
      <c r="D59">
        <f t="shared" ref="D59:D62" si="4">B$51*B$52</f>
        <v>5200</v>
      </c>
      <c r="E59">
        <f t="shared" ref="E59:E62" si="5">A59*B$50</f>
        <v>5000</v>
      </c>
      <c r="F59">
        <f t="shared" ref="F59:F62" si="6">D59+E59</f>
        <v>10200</v>
      </c>
      <c r="G59" s="1">
        <f t="shared" ref="G59:G62" si="7">F59/(A59+B$52)</f>
        <v>226.66666666666666</v>
      </c>
      <c r="H59" s="3">
        <f>G59*1.1</f>
        <v>249.33333333333334</v>
      </c>
      <c r="I59">
        <f>H59*(B$52+A59)</f>
        <v>11220</v>
      </c>
      <c r="J59">
        <f t="shared" ref="J59:J62" si="8">I59/1.1</f>
        <v>10200</v>
      </c>
    </row>
    <row r="60" spans="1:10" x14ac:dyDescent="0.35">
      <c r="A60">
        <v>10</v>
      </c>
      <c r="B60" s="1">
        <f t="shared" si="2"/>
        <v>104</v>
      </c>
      <c r="C60" s="2">
        <f t="shared" si="3"/>
        <v>200</v>
      </c>
      <c r="D60">
        <f t="shared" si="4"/>
        <v>5200</v>
      </c>
      <c r="E60">
        <f t="shared" si="5"/>
        <v>10000</v>
      </c>
      <c r="F60">
        <f t="shared" si="6"/>
        <v>15200</v>
      </c>
      <c r="G60" s="1">
        <f t="shared" si="7"/>
        <v>304</v>
      </c>
      <c r="H60" s="3">
        <f t="shared" ref="H60:H62" si="9">G60*1.1</f>
        <v>334.40000000000003</v>
      </c>
      <c r="I60">
        <f>H60*(B$52+A60)</f>
        <v>16720</v>
      </c>
      <c r="J60">
        <f t="shared" si="8"/>
        <v>15199.999999999998</v>
      </c>
    </row>
    <row r="61" spans="1:10" x14ac:dyDescent="0.35">
      <c r="A61">
        <v>15</v>
      </c>
      <c r="B61" s="1">
        <f t="shared" si="2"/>
        <v>94.545454545454547</v>
      </c>
      <c r="C61" s="2">
        <f t="shared" si="3"/>
        <v>272.72727272727275</v>
      </c>
      <c r="D61">
        <f t="shared" si="4"/>
        <v>5200</v>
      </c>
      <c r="E61">
        <f t="shared" si="5"/>
        <v>15000</v>
      </c>
      <c r="F61">
        <f t="shared" si="6"/>
        <v>20200</v>
      </c>
      <c r="G61" s="1">
        <f t="shared" si="7"/>
        <v>367.27272727272725</v>
      </c>
      <c r="H61" s="3">
        <f t="shared" si="9"/>
        <v>404</v>
      </c>
      <c r="I61">
        <f>H61*(B$52+A61)</f>
        <v>22220</v>
      </c>
      <c r="J61">
        <f t="shared" si="8"/>
        <v>20200</v>
      </c>
    </row>
    <row r="62" spans="1:10" x14ac:dyDescent="0.35">
      <c r="A62">
        <v>20</v>
      </c>
      <c r="B62" s="1">
        <f t="shared" si="2"/>
        <v>86.666666666666671</v>
      </c>
      <c r="C62" s="2">
        <f t="shared" si="3"/>
        <v>333.33333333333331</v>
      </c>
      <c r="D62">
        <f t="shared" si="4"/>
        <v>5200</v>
      </c>
      <c r="E62">
        <f t="shared" si="5"/>
        <v>20000</v>
      </c>
      <c r="F62">
        <f t="shared" si="6"/>
        <v>25200</v>
      </c>
      <c r="G62" s="1">
        <f t="shared" si="7"/>
        <v>420</v>
      </c>
      <c r="H62" s="3">
        <f t="shared" si="9"/>
        <v>462.00000000000006</v>
      </c>
      <c r="I62">
        <f>H62*(B$52+A62)</f>
        <v>27720.000000000004</v>
      </c>
      <c r="J62">
        <f t="shared" si="8"/>
        <v>25200</v>
      </c>
    </row>
    <row r="65" spans="2:3" x14ac:dyDescent="0.35">
      <c r="B65" t="s">
        <v>8</v>
      </c>
      <c r="C65">
        <f>SLOPE(I58:I62,A58:A62)</f>
        <v>1100</v>
      </c>
    </row>
    <row r="66" spans="2:3" x14ac:dyDescent="0.35">
      <c r="B66" t="s">
        <v>9</v>
      </c>
      <c r="C66">
        <f>INTERCEPT(I58:I62,A58:A62)</f>
        <v>5720</v>
      </c>
    </row>
    <row r="67" spans="2:3" ht="17.5" x14ac:dyDescent="0.45">
      <c r="B67" t="s">
        <v>46</v>
      </c>
      <c r="C67">
        <f>-C66/C65</f>
        <v>-5.2</v>
      </c>
    </row>
    <row r="68" spans="2:3" ht="17.5" x14ac:dyDescent="0.45">
      <c r="B68" t="s">
        <v>47</v>
      </c>
      <c r="C68">
        <f>-C67*B50/B52</f>
        <v>130</v>
      </c>
    </row>
  </sheetData>
  <pageMargins left="0.25" right="0.25" top="0.75" bottom="0.75" header="0.3" footer="0.3"/>
  <pageSetup scale="88" orientation="landscape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workbookViewId="0">
      <selection activeCell="I17" sqref="I17"/>
    </sheetView>
  </sheetViews>
  <sheetFormatPr defaultRowHeight="15.5" x14ac:dyDescent="0.35"/>
  <cols>
    <col min="1" max="1" width="8.9140625" bestFit="1" customWidth="1"/>
    <col min="2" max="2" width="15.83203125" customWidth="1"/>
    <col min="3" max="3" width="11.33203125" bestFit="1" customWidth="1"/>
    <col min="7" max="7" width="18.58203125" bestFit="1" customWidth="1"/>
  </cols>
  <sheetData>
    <row r="1" spans="1:10" ht="30" x14ac:dyDescent="0.8">
      <c r="B1" s="23">
        <v>600</v>
      </c>
      <c r="C1" s="24" t="s">
        <v>48</v>
      </c>
      <c r="E1" s="37" t="s">
        <v>55</v>
      </c>
      <c r="F1" s="37"/>
      <c r="G1" s="37"/>
      <c r="H1" s="37"/>
    </row>
    <row r="2" spans="1:10" ht="30" x14ac:dyDescent="0.8">
      <c r="B2" s="25">
        <v>50</v>
      </c>
      <c r="C2" s="26" t="s">
        <v>49</v>
      </c>
      <c r="E2" s="39" t="s">
        <v>77</v>
      </c>
    </row>
    <row r="3" spans="1:10" ht="30" x14ac:dyDescent="0.8">
      <c r="B3" s="23">
        <v>40</v>
      </c>
      <c r="C3" s="24" t="s">
        <v>50</v>
      </c>
      <c r="E3" s="39" t="s">
        <v>72</v>
      </c>
    </row>
    <row r="4" spans="1:10" x14ac:dyDescent="0.35">
      <c r="E4" s="43" t="s">
        <v>73</v>
      </c>
    </row>
    <row r="6" spans="1:10" x14ac:dyDescent="0.35">
      <c r="C6" s="28"/>
    </row>
    <row r="7" spans="1:10" ht="18.5" x14ac:dyDescent="0.45">
      <c r="A7" s="32" t="s">
        <v>51</v>
      </c>
      <c r="B7" s="30" t="s">
        <v>59</v>
      </c>
      <c r="C7" s="33" t="s">
        <v>68</v>
      </c>
      <c r="D7" s="31" t="s">
        <v>52</v>
      </c>
      <c r="E7" s="31" t="s">
        <v>53</v>
      </c>
      <c r="F7" s="31" t="s">
        <v>54</v>
      </c>
      <c r="G7" s="30" t="s">
        <v>30</v>
      </c>
      <c r="H7" t="s">
        <v>15</v>
      </c>
      <c r="I7" s="36" t="s">
        <v>13</v>
      </c>
    </row>
    <row r="8" spans="1:10" x14ac:dyDescent="0.35">
      <c r="A8" s="41">
        <f>C18</f>
        <v>-3.3333333333333335</v>
      </c>
      <c r="B8" s="1"/>
      <c r="C8" s="33"/>
      <c r="D8" s="31"/>
      <c r="E8" s="31"/>
      <c r="F8" s="31"/>
      <c r="G8" s="30"/>
      <c r="I8" s="42">
        <v>0</v>
      </c>
    </row>
    <row r="9" spans="1:10" x14ac:dyDescent="0.35">
      <c r="A9" s="32">
        <v>0</v>
      </c>
      <c r="B9" s="29">
        <f>B$2*B$3/(B$3+A9)</f>
        <v>50</v>
      </c>
      <c r="C9" s="34">
        <f>A9*B$1/(A9+B$3)</f>
        <v>0</v>
      </c>
      <c r="D9" s="31">
        <f>B$2*B$3</f>
        <v>2000</v>
      </c>
      <c r="E9" s="31">
        <f>A9*B$1</f>
        <v>0</v>
      </c>
      <c r="F9" s="31">
        <f>D9+E9</f>
        <v>2000</v>
      </c>
      <c r="G9" s="35">
        <f>F9/(A9+B$3)</f>
        <v>50</v>
      </c>
      <c r="H9" s="3">
        <f>G9*1.1</f>
        <v>55.000000000000007</v>
      </c>
      <c r="I9" s="36">
        <f>H9*(B$3+A9)</f>
        <v>2200.0000000000005</v>
      </c>
      <c r="J9">
        <f>I9/1.1</f>
        <v>2000.0000000000002</v>
      </c>
    </row>
    <row r="10" spans="1:10" x14ac:dyDescent="0.35">
      <c r="A10" s="32">
        <v>5</v>
      </c>
      <c r="B10" s="29">
        <f t="shared" ref="B10:B13" si="0">B$2*B$3/(B$3+A10)</f>
        <v>44.444444444444443</v>
      </c>
      <c r="C10" s="34">
        <f t="shared" ref="C10:C13" si="1">A10*B$1/(A10+B$3)</f>
        <v>66.666666666666671</v>
      </c>
      <c r="D10" s="31">
        <f t="shared" ref="D10:D13" si="2">B$2*B$3</f>
        <v>2000</v>
      </c>
      <c r="E10" s="31">
        <f t="shared" ref="E10:E13" si="3">A10*B$1</f>
        <v>3000</v>
      </c>
      <c r="F10" s="31">
        <f t="shared" ref="F10:F13" si="4">D10+E10</f>
        <v>5000</v>
      </c>
      <c r="G10" s="35">
        <f t="shared" ref="G10:G13" si="5">F10/(A10+B$3)</f>
        <v>111.11111111111111</v>
      </c>
      <c r="H10" s="3">
        <f>G10*1.1</f>
        <v>122.22222222222223</v>
      </c>
      <c r="I10" s="36">
        <f>H10*(B$3+A10)</f>
        <v>5500</v>
      </c>
      <c r="J10">
        <f t="shared" ref="J10:J13" si="6">I10/1.1</f>
        <v>5000</v>
      </c>
    </row>
    <row r="11" spans="1:10" x14ac:dyDescent="0.35">
      <c r="A11" s="32">
        <v>10</v>
      </c>
      <c r="B11" s="29">
        <f t="shared" si="0"/>
        <v>40</v>
      </c>
      <c r="C11" s="34">
        <f t="shared" si="1"/>
        <v>120</v>
      </c>
      <c r="D11" s="31">
        <f t="shared" si="2"/>
        <v>2000</v>
      </c>
      <c r="E11" s="31">
        <f t="shared" si="3"/>
        <v>6000</v>
      </c>
      <c r="F11" s="31">
        <f t="shared" si="4"/>
        <v>8000</v>
      </c>
      <c r="G11" s="35">
        <f t="shared" si="5"/>
        <v>160</v>
      </c>
      <c r="H11" s="3">
        <f t="shared" ref="H11:H13" si="7">G11*1.1</f>
        <v>176</v>
      </c>
      <c r="I11" s="36">
        <f>H11*(B$3+A11)</f>
        <v>8800</v>
      </c>
      <c r="J11">
        <f t="shared" si="6"/>
        <v>7999.9999999999991</v>
      </c>
    </row>
    <row r="12" spans="1:10" x14ac:dyDescent="0.35">
      <c r="A12" s="32">
        <v>15</v>
      </c>
      <c r="B12" s="29">
        <f t="shared" si="0"/>
        <v>36.363636363636367</v>
      </c>
      <c r="C12" s="34">
        <f t="shared" si="1"/>
        <v>163.63636363636363</v>
      </c>
      <c r="D12" s="31">
        <f t="shared" si="2"/>
        <v>2000</v>
      </c>
      <c r="E12" s="31">
        <f t="shared" si="3"/>
        <v>9000</v>
      </c>
      <c r="F12" s="31">
        <f t="shared" si="4"/>
        <v>11000</v>
      </c>
      <c r="G12" s="35">
        <f t="shared" si="5"/>
        <v>200</v>
      </c>
      <c r="H12" s="3">
        <f t="shared" si="7"/>
        <v>220.00000000000003</v>
      </c>
      <c r="I12" s="36">
        <f>H12*(B$3+A12)</f>
        <v>12100.000000000002</v>
      </c>
      <c r="J12">
        <f t="shared" si="6"/>
        <v>11000</v>
      </c>
    </row>
    <row r="13" spans="1:10" x14ac:dyDescent="0.35">
      <c r="A13" s="32">
        <v>20</v>
      </c>
      <c r="B13" s="29">
        <f t="shared" si="0"/>
        <v>33.333333333333336</v>
      </c>
      <c r="C13" s="34">
        <f t="shared" si="1"/>
        <v>200</v>
      </c>
      <c r="D13" s="31">
        <f t="shared" si="2"/>
        <v>2000</v>
      </c>
      <c r="E13" s="31">
        <f t="shared" si="3"/>
        <v>12000</v>
      </c>
      <c r="F13" s="31">
        <f t="shared" si="4"/>
        <v>14000</v>
      </c>
      <c r="G13" s="35">
        <f t="shared" si="5"/>
        <v>233.33333333333334</v>
      </c>
      <c r="H13" s="3">
        <f t="shared" si="7"/>
        <v>256.66666666666669</v>
      </c>
      <c r="I13" s="36">
        <f>H13*(B$3+A13)</f>
        <v>15400.000000000002</v>
      </c>
      <c r="J13">
        <f t="shared" si="6"/>
        <v>14000</v>
      </c>
    </row>
    <row r="16" spans="1:10" ht="16" thickBot="1" x14ac:dyDescent="0.4">
      <c r="A16" t="s">
        <v>8</v>
      </c>
      <c r="C16">
        <f>SLOPE(I9:I13,A9:A13)</f>
        <v>660</v>
      </c>
      <c r="F16" s="18" t="s">
        <v>75</v>
      </c>
    </row>
    <row r="17" spans="1:11" ht="27" thickBot="1" x14ac:dyDescent="0.75">
      <c r="A17" t="s">
        <v>9</v>
      </c>
      <c r="C17">
        <f>INTERCEPT(I9:I13,A9:A13)</f>
        <v>2200</v>
      </c>
      <c r="F17" s="44" t="s">
        <v>74</v>
      </c>
    </row>
    <row r="18" spans="1:11" ht="23.5" x14ac:dyDescent="0.55000000000000004">
      <c r="A18" t="s">
        <v>46</v>
      </c>
      <c r="C18" s="1">
        <f>-C17/C16</f>
        <v>-3.3333333333333335</v>
      </c>
      <c r="G18" s="46">
        <f>B1*A10/((A10+B3)*(H10/H9)-B3)</f>
        <v>50.000000000000014</v>
      </c>
    </row>
    <row r="19" spans="1:11" ht="26.5" x14ac:dyDescent="0.65">
      <c r="A19" s="6" t="s">
        <v>67</v>
      </c>
      <c r="C19" s="25">
        <f>-C18*B1/B3</f>
        <v>50</v>
      </c>
      <c r="K19" s="39" t="s">
        <v>70</v>
      </c>
    </row>
  </sheetData>
  <pageMargins left="0.25" right="0.25" top="0.75" bottom="0.75" header="0.3" footer="0.3"/>
  <pageSetup scale="9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L14" sqref="L14"/>
    </sheetView>
  </sheetViews>
  <sheetFormatPr defaultRowHeight="15.5" x14ac:dyDescent="0.35"/>
  <sheetData>
    <row r="1" spans="1:15" ht="21.5" thickBot="1" x14ac:dyDescent="0.55000000000000004">
      <c r="A1" s="47" t="s">
        <v>79</v>
      </c>
      <c r="J1" s="48"/>
    </row>
    <row r="2" spans="1:15" ht="27" thickBot="1" x14ac:dyDescent="0.75">
      <c r="A2" s="49"/>
      <c r="I2" s="60" t="s">
        <v>80</v>
      </c>
      <c r="J2" s="48"/>
    </row>
    <row r="3" spans="1:15" ht="27" thickBot="1" x14ac:dyDescent="0.75">
      <c r="A3" s="44" t="s">
        <v>76</v>
      </c>
      <c r="J3" s="48"/>
      <c r="L3" s="50" t="s">
        <v>81</v>
      </c>
      <c r="M3" s="51">
        <f>J5/J4</f>
        <v>2</v>
      </c>
    </row>
    <row r="4" spans="1:15" ht="24.5" x14ac:dyDescent="0.65">
      <c r="A4" s="52"/>
      <c r="C4" s="53">
        <v>1</v>
      </c>
      <c r="D4" s="54" t="s">
        <v>82</v>
      </c>
      <c r="J4" s="55">
        <v>0.1</v>
      </c>
      <c r="K4" t="s">
        <v>83</v>
      </c>
      <c r="L4" s="50" t="s">
        <v>84</v>
      </c>
      <c r="M4" s="51">
        <f>H5*F5/(C4*(M3-1))</f>
        <v>5</v>
      </c>
    </row>
    <row r="5" spans="1:15" ht="23.5" x14ac:dyDescent="0.55000000000000004">
      <c r="A5" s="52"/>
      <c r="D5" s="54" t="s">
        <v>85</v>
      </c>
      <c r="F5" s="56">
        <v>1</v>
      </c>
      <c r="G5" t="s">
        <v>86</v>
      </c>
      <c r="H5" s="56">
        <v>5</v>
      </c>
      <c r="I5" t="s">
        <v>87</v>
      </c>
      <c r="J5" s="55">
        <v>0.2</v>
      </c>
      <c r="K5" t="s">
        <v>83</v>
      </c>
      <c r="M5" s="57"/>
    </row>
    <row r="6" spans="1:15" ht="23.5" x14ac:dyDescent="0.55000000000000004">
      <c r="A6" s="52"/>
      <c r="D6" s="54" t="s">
        <v>88</v>
      </c>
      <c r="F6" s="56">
        <v>5</v>
      </c>
      <c r="G6" t="s">
        <v>89</v>
      </c>
      <c r="J6" s="48"/>
      <c r="M6" s="57"/>
      <c r="O6" t="s">
        <v>15</v>
      </c>
    </row>
    <row r="7" spans="1:15" ht="23.5" x14ac:dyDescent="0.55000000000000004">
      <c r="A7" s="49"/>
      <c r="J7" s="48"/>
      <c r="M7" s="57"/>
    </row>
    <row r="8" spans="1:15" ht="21" x14ac:dyDescent="0.5">
      <c r="A8" s="47" t="s">
        <v>90</v>
      </c>
      <c r="J8" s="48"/>
      <c r="M8" s="57"/>
    </row>
    <row r="9" spans="1:15" ht="24" thickBot="1" x14ac:dyDescent="0.6">
      <c r="A9" s="49"/>
      <c r="J9" s="48"/>
      <c r="M9" s="57"/>
    </row>
    <row r="10" spans="1:15" ht="27" thickBot="1" x14ac:dyDescent="0.75">
      <c r="A10" s="44" t="s">
        <v>74</v>
      </c>
      <c r="J10" s="48"/>
      <c r="L10" s="50" t="s">
        <v>81</v>
      </c>
      <c r="M10" s="51">
        <f>J12/J11</f>
        <v>1.4999999999999998</v>
      </c>
    </row>
    <row r="11" spans="1:15" ht="24" x14ac:dyDescent="0.65">
      <c r="A11" s="58" t="s">
        <v>91</v>
      </c>
      <c r="C11" s="56">
        <v>1</v>
      </c>
      <c r="D11" s="54" t="s">
        <v>92</v>
      </c>
      <c r="E11" s="59"/>
      <c r="F11" s="59"/>
      <c r="G11" s="59"/>
      <c r="H11" s="59"/>
      <c r="I11" s="59"/>
      <c r="J11" s="55">
        <v>0.2</v>
      </c>
      <c r="K11" s="59" t="s">
        <v>93</v>
      </c>
      <c r="L11" s="50" t="s">
        <v>84</v>
      </c>
      <c r="M11" s="51">
        <f>F12*H12/((C11+F12)*M10-C11)</f>
        <v>5.0000000000000009</v>
      </c>
    </row>
    <row r="12" spans="1:15" ht="23.5" x14ac:dyDescent="0.55000000000000004">
      <c r="A12" s="49"/>
      <c r="D12" s="54" t="s">
        <v>94</v>
      </c>
      <c r="E12" s="59"/>
      <c r="F12" s="56">
        <v>1</v>
      </c>
      <c r="G12" s="59" t="s">
        <v>95</v>
      </c>
      <c r="H12" s="56">
        <v>10</v>
      </c>
      <c r="I12" s="59" t="s">
        <v>96</v>
      </c>
      <c r="J12" s="55">
        <v>0.3</v>
      </c>
      <c r="K12" s="59" t="s">
        <v>93</v>
      </c>
    </row>
    <row r="13" spans="1:15" ht="23.5" x14ac:dyDescent="0.55000000000000004">
      <c r="A13" s="49"/>
      <c r="J13" s="48"/>
    </row>
    <row r="14" spans="1:15" ht="23.5" x14ac:dyDescent="0.55000000000000004">
      <c r="A14" s="49"/>
      <c r="J14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4"/>
  <sheetViews>
    <sheetView workbookViewId="0">
      <selection activeCell="M18" sqref="M18"/>
    </sheetView>
  </sheetViews>
  <sheetFormatPr defaultRowHeight="15.5" x14ac:dyDescent="0.35"/>
  <cols>
    <col min="2" max="2" width="14.33203125" customWidth="1"/>
    <col min="3" max="3" width="11" bestFit="1" customWidth="1"/>
  </cols>
  <sheetData>
    <row r="2" spans="1:8" x14ac:dyDescent="0.35">
      <c r="B2" s="16">
        <v>150</v>
      </c>
      <c r="C2" t="s">
        <v>0</v>
      </c>
    </row>
    <row r="3" spans="1:8" ht="26" x14ac:dyDescent="0.6">
      <c r="B3" s="17">
        <v>153</v>
      </c>
      <c r="C3" s="13" t="s">
        <v>1</v>
      </c>
    </row>
    <row r="4" spans="1:8" x14ac:dyDescent="0.35">
      <c r="B4" s="16">
        <v>10</v>
      </c>
      <c r="C4" t="s">
        <v>2</v>
      </c>
    </row>
    <row r="5" spans="1:8" x14ac:dyDescent="0.35">
      <c r="B5" s="16">
        <v>50</v>
      </c>
      <c r="C5" t="s">
        <v>3</v>
      </c>
    </row>
    <row r="6" spans="1:8" x14ac:dyDescent="0.35">
      <c r="E6" t="s">
        <v>18</v>
      </c>
    </row>
    <row r="7" spans="1:8" x14ac:dyDescent="0.35">
      <c r="E7">
        <v>0.1</v>
      </c>
      <c r="H7" s="18" t="s">
        <v>39</v>
      </c>
    </row>
    <row r="8" spans="1:8" ht="32" x14ac:dyDescent="0.45">
      <c r="A8" t="s">
        <v>4</v>
      </c>
      <c r="B8" s="1" t="s">
        <v>5</v>
      </c>
      <c r="C8" t="s">
        <v>6</v>
      </c>
      <c r="D8" s="1" t="s">
        <v>30</v>
      </c>
      <c r="E8" s="11" t="s">
        <v>31</v>
      </c>
      <c r="F8" s="9" t="s">
        <v>29</v>
      </c>
      <c r="G8" s="9" t="s">
        <v>27</v>
      </c>
      <c r="H8" s="18"/>
    </row>
    <row r="9" spans="1:8" ht="18.5" x14ac:dyDescent="0.45">
      <c r="B9" s="1"/>
      <c r="C9" s="1">
        <f>C19</f>
        <v>-30.600000000000005</v>
      </c>
      <c r="D9" s="1"/>
      <c r="E9" s="1"/>
      <c r="F9" s="9"/>
      <c r="G9" s="9"/>
      <c r="H9" s="18"/>
    </row>
    <row r="10" spans="1:8" ht="18.5" x14ac:dyDescent="0.45">
      <c r="A10">
        <v>0</v>
      </c>
      <c r="B10" s="1">
        <f>B$3*B$4/B$5</f>
        <v>30.6</v>
      </c>
      <c r="C10" s="2">
        <f>A10*B$2/B$5</f>
        <v>0</v>
      </c>
      <c r="D10" s="1">
        <f>B10+C10</f>
        <v>30.6</v>
      </c>
      <c r="E10" s="2">
        <f>D10*E$7</f>
        <v>3.0600000000000005</v>
      </c>
      <c r="F10" s="10">
        <f>D10  /(1+( 10^(H$21-H$20)))</f>
        <v>15.3</v>
      </c>
      <c r="G10" s="9">
        <f>F10*E$7</f>
        <v>1.5300000000000002</v>
      </c>
      <c r="H10" s="18"/>
    </row>
    <row r="11" spans="1:8" ht="18.5" x14ac:dyDescent="0.45">
      <c r="A11">
        <v>5</v>
      </c>
      <c r="B11" s="1">
        <f t="shared" ref="B11:B14" si="0">B$3*B$4/B$5</f>
        <v>30.6</v>
      </c>
      <c r="C11" s="2">
        <f t="shared" ref="C11:C14" si="1">A11*B$2/B$5</f>
        <v>15</v>
      </c>
      <c r="D11" s="1">
        <f t="shared" ref="D11:D14" si="2">B11+C11</f>
        <v>45.6</v>
      </c>
      <c r="E11" s="2">
        <f>D11*E$7</f>
        <v>4.5600000000000005</v>
      </c>
      <c r="F11" s="10">
        <f t="shared" ref="F11:F14" si="3">D11  /(1+( 10^(H$21-H$20)))</f>
        <v>22.8</v>
      </c>
      <c r="G11" s="9">
        <f>F11*E$7</f>
        <v>2.2800000000000002</v>
      </c>
      <c r="H11" s="19">
        <f>G11-G10</f>
        <v>0.75</v>
      </c>
    </row>
    <row r="12" spans="1:8" ht="18.5" x14ac:dyDescent="0.45">
      <c r="A12">
        <v>10</v>
      </c>
      <c r="B12" s="1">
        <f t="shared" si="0"/>
        <v>30.6</v>
      </c>
      <c r="C12" s="2">
        <f t="shared" si="1"/>
        <v>30</v>
      </c>
      <c r="D12" s="1">
        <f t="shared" si="2"/>
        <v>60.6</v>
      </c>
      <c r="E12" s="2">
        <f>D12*E$7</f>
        <v>6.0600000000000005</v>
      </c>
      <c r="F12" s="10">
        <f t="shared" si="3"/>
        <v>30.3</v>
      </c>
      <c r="G12" s="9">
        <f>F12*E$7</f>
        <v>3.0300000000000002</v>
      </c>
      <c r="H12" s="19">
        <f t="shared" ref="H12:H14" si="4">G12-G11</f>
        <v>0.75</v>
      </c>
    </row>
    <row r="13" spans="1:8" ht="18.5" x14ac:dyDescent="0.45">
      <c r="A13">
        <v>15</v>
      </c>
      <c r="B13" s="1">
        <f t="shared" si="0"/>
        <v>30.6</v>
      </c>
      <c r="C13" s="2">
        <f t="shared" si="1"/>
        <v>45</v>
      </c>
      <c r="D13" s="1">
        <f t="shared" si="2"/>
        <v>75.599999999999994</v>
      </c>
      <c r="E13" s="2">
        <f>D13*E$7</f>
        <v>7.56</v>
      </c>
      <c r="F13" s="10">
        <f t="shared" si="3"/>
        <v>37.799999999999997</v>
      </c>
      <c r="G13" s="9">
        <f>F13*E$7</f>
        <v>3.78</v>
      </c>
      <c r="H13" s="19">
        <f t="shared" si="4"/>
        <v>0.74999999999999956</v>
      </c>
    </row>
    <row r="14" spans="1:8" ht="18.5" x14ac:dyDescent="0.45">
      <c r="A14">
        <v>20</v>
      </c>
      <c r="B14" s="1">
        <f t="shared" si="0"/>
        <v>30.6</v>
      </c>
      <c r="C14" s="2">
        <f t="shared" si="1"/>
        <v>60</v>
      </c>
      <c r="D14" s="1">
        <f t="shared" si="2"/>
        <v>90.6</v>
      </c>
      <c r="E14" s="2">
        <f>D14*E$7</f>
        <v>9.06</v>
      </c>
      <c r="F14" s="10">
        <f t="shared" si="3"/>
        <v>45.3</v>
      </c>
      <c r="G14" s="9">
        <f>F14*E$7</f>
        <v>4.53</v>
      </c>
      <c r="H14" s="19">
        <f t="shared" si="4"/>
        <v>0.75000000000000044</v>
      </c>
    </row>
    <row r="17" spans="2:11" x14ac:dyDescent="0.35">
      <c r="B17" s="8" t="s">
        <v>8</v>
      </c>
      <c r="C17">
        <f>SLOPE(G10:G14,C10:C14)</f>
        <v>0.05</v>
      </c>
    </row>
    <row r="18" spans="2:11" ht="26" x14ac:dyDescent="0.6">
      <c r="B18" s="8" t="s">
        <v>9</v>
      </c>
      <c r="C18">
        <f>INTERCEPT(G10:G14,C10:C14)</f>
        <v>1.5300000000000002</v>
      </c>
      <c r="G18" s="13" t="s">
        <v>23</v>
      </c>
      <c r="H18" s="13"/>
    </row>
    <row r="19" spans="2:11" x14ac:dyDescent="0.35">
      <c r="B19" s="8" t="s">
        <v>10</v>
      </c>
      <c r="C19" s="4">
        <f>-C18/C17</f>
        <v>-30.600000000000005</v>
      </c>
      <c r="F19" s="6"/>
      <c r="G19" s="6" t="s">
        <v>25</v>
      </c>
      <c r="H19" s="6">
        <v>1</v>
      </c>
      <c r="I19" s="6"/>
      <c r="J19" s="6"/>
      <c r="K19" s="6"/>
    </row>
    <row r="20" spans="2:11" ht="18.5" x14ac:dyDescent="0.45">
      <c r="B20" s="8" t="s">
        <v>28</v>
      </c>
      <c r="C20">
        <f>-C19</f>
        <v>30.600000000000005</v>
      </c>
      <c r="F20" s="6"/>
      <c r="G20" s="6" t="s">
        <v>19</v>
      </c>
      <c r="H20" s="6">
        <v>3</v>
      </c>
      <c r="I20" s="6"/>
      <c r="J20" s="6"/>
      <c r="K20" s="6"/>
    </row>
    <row r="21" spans="2:11" ht="26" x14ac:dyDescent="0.6">
      <c r="B21" s="8" t="s">
        <v>32</v>
      </c>
      <c r="C21" s="17">
        <f>C20*B5/B4</f>
        <v>153.00000000000003</v>
      </c>
      <c r="F21" s="6"/>
      <c r="G21" s="6" t="s">
        <v>20</v>
      </c>
      <c r="H21" s="6">
        <v>3</v>
      </c>
      <c r="I21" s="6"/>
      <c r="J21" s="6"/>
      <c r="K21" s="6"/>
    </row>
    <row r="22" spans="2:11" x14ac:dyDescent="0.35">
      <c r="F22" s="6"/>
      <c r="G22" s="6" t="s">
        <v>21</v>
      </c>
      <c r="H22" s="6">
        <f>10^(H$21-H$20)</f>
        <v>1</v>
      </c>
      <c r="I22" s="6"/>
      <c r="J22" s="6" t="s">
        <v>24</v>
      </c>
      <c r="K22" s="6"/>
    </row>
    <row r="23" spans="2:11" x14ac:dyDescent="0.35">
      <c r="F23" s="6"/>
      <c r="G23" s="6" t="s">
        <v>22</v>
      </c>
      <c r="H23" s="7">
        <f>H19  /(1+( 10^(H$21-H$20)))</f>
        <v>0.5</v>
      </c>
      <c r="I23" s="6"/>
      <c r="J23" s="6" t="s">
        <v>26</v>
      </c>
      <c r="K23" s="6"/>
    </row>
    <row r="27" spans="2:11" x14ac:dyDescent="0.35">
      <c r="B27" t="s">
        <v>42</v>
      </c>
    </row>
    <row r="32" spans="2:11" x14ac:dyDescent="0.35">
      <c r="H32" s="5"/>
    </row>
    <row r="34" spans="8:8" x14ac:dyDescent="0.35">
      <c r="H34" s="5"/>
    </row>
  </sheetData>
  <pageMargins left="0.25" right="0.25" top="0.75" bottom="0.75" header="0.3" footer="0.3"/>
  <pageSetup scale="8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34"/>
  <sheetViews>
    <sheetView topLeftCell="A4" zoomScale="89" zoomScaleNormal="89" workbookViewId="0">
      <selection activeCell="E7" sqref="E7"/>
    </sheetView>
  </sheetViews>
  <sheetFormatPr defaultRowHeight="15.5" x14ac:dyDescent="0.35"/>
  <cols>
    <col min="2" max="2" width="21.5" customWidth="1"/>
    <col min="3" max="3" width="12.5" customWidth="1"/>
  </cols>
  <sheetData>
    <row r="2" spans="1:8" ht="26.5" x14ac:dyDescent="0.7">
      <c r="B2" s="22">
        <v>150</v>
      </c>
      <c r="C2" s="12" t="s">
        <v>43</v>
      </c>
    </row>
    <row r="3" spans="1:8" ht="30" x14ac:dyDescent="0.8">
      <c r="B3" s="20">
        <v>153</v>
      </c>
      <c r="C3" s="21" t="s">
        <v>45</v>
      </c>
    </row>
    <row r="4" spans="1:8" ht="26.5" x14ac:dyDescent="0.7">
      <c r="B4" s="22">
        <v>10</v>
      </c>
      <c r="C4" s="12" t="s">
        <v>44</v>
      </c>
      <c r="H4" s="18" t="s">
        <v>36</v>
      </c>
    </row>
    <row r="5" spans="1:8" ht="23.5" x14ac:dyDescent="0.55000000000000004">
      <c r="B5" s="22">
        <v>50</v>
      </c>
      <c r="C5" s="12" t="s">
        <v>3</v>
      </c>
      <c r="H5" s="18"/>
    </row>
    <row r="6" spans="1:8" x14ac:dyDescent="0.35">
      <c r="E6" t="s">
        <v>18</v>
      </c>
      <c r="H6" s="18"/>
    </row>
    <row r="7" spans="1:8" x14ac:dyDescent="0.35">
      <c r="E7">
        <v>0.1</v>
      </c>
      <c r="H7" s="18"/>
    </row>
    <row r="8" spans="1:8" ht="32" x14ac:dyDescent="0.45">
      <c r="A8" t="s">
        <v>4</v>
      </c>
      <c r="B8" s="1" t="s">
        <v>5</v>
      </c>
      <c r="C8" t="s">
        <v>6</v>
      </c>
      <c r="D8" s="1" t="s">
        <v>30</v>
      </c>
      <c r="E8" s="11" t="s">
        <v>31</v>
      </c>
      <c r="F8" s="9" t="s">
        <v>29</v>
      </c>
      <c r="G8" s="9" t="s">
        <v>27</v>
      </c>
      <c r="H8" s="18"/>
    </row>
    <row r="9" spans="1:8" ht="18.5" x14ac:dyDescent="0.45">
      <c r="B9" s="1"/>
      <c r="C9" s="1">
        <f>C19</f>
        <v>-29.639704477000052</v>
      </c>
      <c r="D9" s="1"/>
      <c r="E9" s="1"/>
      <c r="F9" s="9"/>
      <c r="G9" s="9"/>
      <c r="H9" s="18"/>
    </row>
    <row r="10" spans="1:8" ht="18.5" x14ac:dyDescent="0.45">
      <c r="A10">
        <v>0</v>
      </c>
      <c r="B10" s="1">
        <f>B$3*B$4/B$5</f>
        <v>30.6</v>
      </c>
      <c r="C10" s="2">
        <f>A10*B$2/B$5</f>
        <v>0</v>
      </c>
      <c r="D10" s="1">
        <f>B10+C10</f>
        <v>30.6</v>
      </c>
      <c r="E10" s="2">
        <f>D10*E$7</f>
        <v>3.0600000000000005</v>
      </c>
      <c r="F10" s="10">
        <f>D10-(-(-(D10+H$23+(1/H$24)))-SQRT(( -(D10+H$23+(1/H$24)))^2-4*1*D10*H$23))/2</f>
        <v>29.632644912082196</v>
      </c>
      <c r="G10" s="9">
        <f>F10*E$7</f>
        <v>2.9632644912082196</v>
      </c>
      <c r="H10" s="18"/>
    </row>
    <row r="11" spans="1:8" ht="18.5" x14ac:dyDescent="0.45">
      <c r="A11">
        <v>5</v>
      </c>
      <c r="B11" s="1">
        <f t="shared" ref="B11:B14" si="0">B$3*B$4/B$5</f>
        <v>30.6</v>
      </c>
      <c r="C11" s="2">
        <f t="shared" ref="C11:C14" si="1">A11*B$2/B$5</f>
        <v>15</v>
      </c>
      <c r="D11" s="1">
        <f t="shared" ref="D11:D14" si="2">B11+C11</f>
        <v>45.6</v>
      </c>
      <c r="E11" s="2">
        <f>D11*E$7</f>
        <v>4.5600000000000005</v>
      </c>
      <c r="F11" s="10">
        <f>D11-(-(-(D11+H$23+(1/H$24)))-SQRT(( -(D11+H$23+(1/H$24)))^2-4*1*D11*H$23))/2</f>
        <v>44.6219192882632</v>
      </c>
      <c r="G11" s="9">
        <f>F11*E$7</f>
        <v>4.4621919288263205</v>
      </c>
      <c r="H11" s="19">
        <f>G11-G10</f>
        <v>1.498927437618101</v>
      </c>
    </row>
    <row r="12" spans="1:8" ht="18.5" x14ac:dyDescent="0.45">
      <c r="A12">
        <v>10</v>
      </c>
      <c r="B12" s="1">
        <f t="shared" si="0"/>
        <v>30.6</v>
      </c>
      <c r="C12" s="2">
        <f t="shared" si="1"/>
        <v>30</v>
      </c>
      <c r="D12" s="1">
        <f t="shared" si="2"/>
        <v>60.6</v>
      </c>
      <c r="E12" s="2">
        <f>D12*E$7</f>
        <v>6.0600000000000005</v>
      </c>
      <c r="F12" s="10">
        <f>D12-(-(-(D12+H$23+(1/H$24)))-SQRT(( -(D12+H$23+(1/H$24)))^2-4*1*D12*H$23))/2</f>
        <v>59.61649715913763</v>
      </c>
      <c r="G12" s="9">
        <f>F12*E$7</f>
        <v>5.9616497159137634</v>
      </c>
      <c r="H12" s="19">
        <f t="shared" ref="H12:H14" si="3">G12-G11</f>
        <v>1.4994577870874428</v>
      </c>
    </row>
    <row r="13" spans="1:8" ht="18.5" x14ac:dyDescent="0.45">
      <c r="A13">
        <v>15</v>
      </c>
      <c r="B13" s="1">
        <f t="shared" si="0"/>
        <v>30.6</v>
      </c>
      <c r="C13" s="2">
        <f t="shared" si="1"/>
        <v>45</v>
      </c>
      <c r="D13" s="1">
        <f t="shared" si="2"/>
        <v>75.599999999999994</v>
      </c>
      <c r="E13" s="2">
        <f>D13*E$7</f>
        <v>7.56</v>
      </c>
      <c r="F13" s="10">
        <f>D13-(-(-(D13+H$23+(1/H$24)))-SQRT(( -(D13+H$23+(1/H$24)))^2-4*1*D13*H$23))/2</f>
        <v>74.613225199657322</v>
      </c>
      <c r="G13" s="9">
        <f>F13*E$7</f>
        <v>7.4613225199657327</v>
      </c>
      <c r="H13" s="19">
        <f t="shared" si="3"/>
        <v>1.4996728040519693</v>
      </c>
    </row>
    <row r="14" spans="1:8" ht="18.5" x14ac:dyDescent="0.45">
      <c r="A14">
        <v>20</v>
      </c>
      <c r="B14" s="1">
        <f t="shared" si="0"/>
        <v>30.6</v>
      </c>
      <c r="C14" s="2">
        <f t="shared" si="1"/>
        <v>60</v>
      </c>
      <c r="D14" s="1">
        <f t="shared" si="2"/>
        <v>90.6</v>
      </c>
      <c r="E14" s="2">
        <f>D14*E$7</f>
        <v>9.06</v>
      </c>
      <c r="F14" s="10">
        <f>D14-(-(-(D14+H$23+(1/H$24)))-SQRT(( -(D14+H$23+(1/H$24)))^2-4*1*D14*H$23))/2</f>
        <v>89.61103618325231</v>
      </c>
      <c r="G14" s="9">
        <f>F14*E$7</f>
        <v>8.9611036183252306</v>
      </c>
      <c r="H14" s="19">
        <f t="shared" si="3"/>
        <v>1.4997810983594979</v>
      </c>
    </row>
    <row r="17" spans="2:9" x14ac:dyDescent="0.35">
      <c r="B17" s="8" t="s">
        <v>8</v>
      </c>
      <c r="C17">
        <f>SLOPE(G10:G14,C10:C14)</f>
        <v>9.9965392302489561E-2</v>
      </c>
    </row>
    <row r="18" spans="2:9" x14ac:dyDescent="0.35">
      <c r="B18" s="8" t="s">
        <v>9</v>
      </c>
      <c r="C18">
        <f>INTERCEPT(G10:G14,C10:C14)</f>
        <v>2.9629446857731665</v>
      </c>
    </row>
    <row r="19" spans="2:9" x14ac:dyDescent="0.35">
      <c r="B19" s="8" t="s">
        <v>10</v>
      </c>
      <c r="C19" s="4">
        <f>-C18/C17</f>
        <v>-29.639704477000052</v>
      </c>
    </row>
    <row r="20" spans="2:9" ht="18.5" x14ac:dyDescent="0.45">
      <c r="B20" s="8" t="s">
        <v>28</v>
      </c>
      <c r="C20">
        <f>-C19</f>
        <v>29.639704477000052</v>
      </c>
    </row>
    <row r="21" spans="2:9" ht="32" x14ac:dyDescent="0.8">
      <c r="B21" s="13" t="s">
        <v>41</v>
      </c>
      <c r="C21" s="20">
        <f>C20*B5/B4</f>
        <v>148.19852238500025</v>
      </c>
      <c r="G21" s="14" t="s">
        <v>40</v>
      </c>
      <c r="H21" s="15"/>
      <c r="I21" s="6"/>
    </row>
    <row r="22" spans="2:9" x14ac:dyDescent="0.35">
      <c r="G22" s="15" t="s">
        <v>33</v>
      </c>
      <c r="H22" s="15" t="s">
        <v>37</v>
      </c>
      <c r="I22" s="6" t="s">
        <v>38</v>
      </c>
    </row>
    <row r="23" spans="2:9" x14ac:dyDescent="0.35">
      <c r="G23" s="15" t="s">
        <v>34</v>
      </c>
      <c r="H23" s="15">
        <v>1</v>
      </c>
      <c r="I23" s="6" t="s">
        <v>38</v>
      </c>
    </row>
    <row r="24" spans="2:9" x14ac:dyDescent="0.35">
      <c r="G24" s="15" t="s">
        <v>35</v>
      </c>
      <c r="H24" s="15">
        <v>1</v>
      </c>
      <c r="I24" s="6"/>
    </row>
    <row r="27" spans="2:9" x14ac:dyDescent="0.35">
      <c r="H27" s="5"/>
    </row>
    <row r="34" spans="8:8" x14ac:dyDescent="0.35">
      <c r="H34" s="5"/>
    </row>
  </sheetData>
  <pageMargins left="0.7" right="0.7" top="0.75" bottom="0.75" header="0.3" footer="0.3"/>
  <pageSetup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Fixed Volume</vt:lpstr>
      <vt:lpstr>Unequal Volume</vt:lpstr>
      <vt:lpstr>Two Point Spiking</vt:lpstr>
      <vt:lpstr>Weak Acid</vt:lpstr>
      <vt:lpstr>Ionic Complex</vt:lpstr>
      <vt:lpstr>'Fixed Volume'!Print_Area</vt:lpstr>
      <vt:lpstr>'Unequal Volume'!Print_Area</vt:lpstr>
      <vt:lpstr>'Weak Acid'!Print_Area</vt:lpstr>
    </vt:vector>
  </TitlesOfParts>
  <Company>Loyola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Naleway</dc:creator>
  <cp:lastModifiedBy>Naleway, Conrad</cp:lastModifiedBy>
  <cp:lastPrinted>2017-11-09T21:37:39Z</cp:lastPrinted>
  <dcterms:created xsi:type="dcterms:W3CDTF">2017-11-09T02:15:31Z</dcterms:created>
  <dcterms:modified xsi:type="dcterms:W3CDTF">2018-11-20T21:16:11Z</dcterms:modified>
</cp:coreProperties>
</file>