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constant_audibert_etu_univ-poitiers_fr/Documents/S1/SAE/SAE Création d'un reporting/"/>
    </mc:Choice>
  </mc:AlternateContent>
  <xr:revisionPtr revIDLastSave="8082" documentId="13_ncr:1_{8A95E7D5-0720-4E39-AA61-82A335D232B3}" xr6:coauthVersionLast="47" xr6:coauthVersionMax="47" xr10:uidLastSave="{9DC9CE8A-7193-46C5-80AE-FBE02E1FD3D7}"/>
  <workbookProtection lockStructure="1"/>
  <bookViews>
    <workbookView xWindow="-108" yWindow="-108" windowWidth="23256" windowHeight="12456" tabRatio="925" activeTab="1" xr2:uid="{6AA46C1D-3959-45A6-8A1F-C28DA7F9B141}"/>
  </bookViews>
  <sheets>
    <sheet name="Gestion" sheetId="7" r:id="rId1"/>
    <sheet name="Interprétation" sheetId="8" r:id="rId2"/>
  </sheets>
  <definedNames>
    <definedName name="_xleta.AVERAGE" hidden="1" xlm="1">#NAME?</definedName>
    <definedName name="_xleta.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7" l="1" a="1"/>
  <c r="H19" i="7" s="1"/>
  <c r="S9" i="8" s="1"/>
  <c r="H25" i="7" a="1"/>
  <c r="H25" i="7" s="1"/>
  <c r="S10" i="8" s="1"/>
  <c r="H55" i="7" a="1"/>
  <c r="H55" i="7" s="1"/>
  <c r="S13" i="8" s="1"/>
  <c r="S12" i="8"/>
  <c r="H64" i="7" a="1"/>
  <c r="H64" i="7" s="1"/>
  <c r="S14" i="8" s="1"/>
  <c r="H41" i="8"/>
  <c r="D13" i="7"/>
  <c r="B4" i="7"/>
  <c r="F12" i="7"/>
  <c r="D14" i="7"/>
  <c r="D18" i="7"/>
  <c r="B8" i="7"/>
  <c r="D36" i="7"/>
  <c r="D35" i="7"/>
  <c r="D27" i="7"/>
  <c r="D20" i="7"/>
  <c r="D28" i="7"/>
  <c r="D29" i="7"/>
  <c r="D30" i="7"/>
  <c r="D31" i="7"/>
  <c r="D32" i="7"/>
  <c r="D26" i="7"/>
  <c r="D15" i="7"/>
  <c r="S11" i="8" l="1"/>
  <c r="D57" i="7"/>
  <c r="D58" i="7"/>
  <c r="D59" i="7"/>
  <c r="D60" i="7"/>
  <c r="D61" i="7"/>
  <c r="D62" i="7"/>
  <c r="D63" i="7"/>
  <c r="D56" i="7"/>
  <c r="D46" i="7"/>
  <c r="D47" i="7"/>
  <c r="D48" i="7"/>
  <c r="D49" i="7"/>
  <c r="D50" i="7"/>
  <c r="D51" i="7"/>
  <c r="D52" i="7"/>
  <c r="D53" i="7"/>
  <c r="D54" i="7"/>
  <c r="D45" i="7"/>
  <c r="D37" i="7"/>
  <c r="D38" i="7"/>
  <c r="D39" i="7"/>
  <c r="D40" i="7"/>
  <c r="D41" i="7"/>
  <c r="D42" i="7"/>
  <c r="D43" i="7"/>
  <c r="D21" i="7"/>
  <c r="D22" i="7"/>
  <c r="D23" i="7"/>
  <c r="D24" i="7"/>
  <c r="D16" i="7"/>
  <c r="D17" i="7"/>
  <c r="E12" i="7"/>
  <c r="D19" i="7" l="1" a="1"/>
  <c r="D19" i="7" s="1"/>
  <c r="D44" i="7" a="1"/>
  <c r="D44" i="7" s="1"/>
  <c r="D25" i="7" a="1"/>
  <c r="D25" i="7" s="1"/>
  <c r="D55" i="7" a="1"/>
  <c r="D55" i="7" s="1"/>
  <c r="D64" i="7" a="1"/>
  <c r="D64" i="7" s="1"/>
  <c r="D33" i="7" a="1"/>
  <c r="D33" i="7" s="1"/>
  <c r="G12" i="7"/>
  <c r="K11" i="8" l="1"/>
  <c r="R11" i="8" s="1"/>
  <c r="L11" i="8"/>
  <c r="R14" i="8" s="1"/>
  <c r="L9" i="8"/>
  <c r="R12" i="8" s="1"/>
  <c r="L10" i="8"/>
  <c r="R13" i="8" s="1"/>
  <c r="K10" i="8"/>
  <c r="R10" i="8" s="1"/>
  <c r="K9" i="8"/>
  <c r="R9" i="8" s="1"/>
  <c r="K16" i="8"/>
  <c r="K17" i="8"/>
  <c r="K15" i="8"/>
  <c r="M9" i="8" l="1"/>
  <c r="N9" i="8" s="1"/>
  <c r="M11" i="8"/>
  <c r="N11" i="8" s="1"/>
  <c r="M10" i="8"/>
  <c r="N10" i="8" s="1"/>
  <c r="K18" i="8"/>
  <c r="L15" i="8"/>
  <c r="N15" i="8"/>
  <c r="M15" i="8"/>
  <c r="L17" i="8"/>
  <c r="N17" i="8"/>
  <c r="M17" i="8"/>
  <c r="L16" i="8"/>
  <c r="N16" i="8"/>
  <c r="M16" i="8"/>
  <c r="J24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<sst xmlns="http://schemas.openxmlformats.org/spreadsheetml/2006/main" count="92" uniqueCount="67">
  <si>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</si>
  <si>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</si>
  <si>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</si>
  <si>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</si>
  <si>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</si>
  <si>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</si>
  <si>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</si>
  <si>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</si>
  <si>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</si>
  <si>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</si>
  <si>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</si>
  <si>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</si>
  <si>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</si>
  <si>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</si>
  <si>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</si>
  <si>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</si>
  <si>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</si>
  <si>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</si>
  <si>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</si>
  <si>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</si>
  <si>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</si>
  <si>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</si>
  <si>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</si>
  <si>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</si>
  <si>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</si>
  <si>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</si>
  <si>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</si>
  <si>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</si>
  <si>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</si>
  <si>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</si>
  <si>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</si>
  <si>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</si>
  <si>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</si>
  <si>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</si>
  <si>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</si>
  <si>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</si>
  <si>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</si>
  <si>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</si>
  <si>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</si>
  <si>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</si>
  <si>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Moyenne</t>
  </si>
  <si>
    <t>Moyenne Bloc 1</t>
  </si>
  <si>
    <t>Moyenne Bloc 2</t>
  </si>
  <si>
    <t>Moyenne Bloc 3</t>
  </si>
  <si>
    <t>Penalité ABI</t>
  </si>
  <si>
    <t>Relevé de notes</t>
  </si>
  <si>
    <t>Moyenne année par compétences</t>
  </si>
  <si>
    <t>Nombre ABI</t>
  </si>
  <si>
    <t>Niveau 1</t>
  </si>
  <si>
    <t>Interprétation</t>
  </si>
  <si>
    <t>Absences aux devoirs notés "ABID"</t>
  </si>
  <si>
    <t>Taux évolution entre les deux semestres</t>
  </si>
  <si>
    <t>Passage en deuxième année ?</t>
  </si>
  <si>
    <t>Moyenne des compétences selon le semestre</t>
  </si>
  <si>
    <t>Moyenne &gt;= 8</t>
  </si>
  <si>
    <t>Moyenne &lt; 8</t>
  </si>
  <si>
    <t>Comptez vos absences</t>
  </si>
  <si>
    <t>Moyenne classe</t>
  </si>
  <si>
    <t>Compétences</t>
  </si>
  <si>
    <t>Moyenne élève</t>
  </si>
  <si>
    <t>S1 C1</t>
  </si>
  <si>
    <t>S1 C2</t>
  </si>
  <si>
    <t>S1 C3</t>
  </si>
  <si>
    <t>S2 C1</t>
  </si>
  <si>
    <t>S2 C2</t>
  </si>
  <si>
    <t>S2 C3</t>
  </si>
  <si>
    <t>6,5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</si>
</sst>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;;;"/>
  </numFmts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C7CE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C987B"/>
        <bgColor indexed="64"/>
      </patternFill>
    </fill>
    <fill>
      <patternFill patternType="solid">
        <fgColor rgb="FFF69200"/>
        <bgColor indexed="64"/>
      </patternFill>
    </fill>
    <fill>
      <patternFill patternType="solid">
        <fgColor rgb="FFFED96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8" fillId="14" borderId="22" applyNumberFormat="0" applyAlignment="0" applyProtection="0"/>
  </cellStyleXfs>
  <cellXfs count="96">
    <xf numFmtId="0" fontId="0" fillId="0" borderId="0" xfId="0"/>
    <xf numFmtId="0" fontId="0" fillId="0" borderId="1" xfId="0" applyBorder="1"/>
    <xf numFmtId="0" fontId="0" fillId="0" borderId="13" xfId="0" applyBorder="1"/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0" fillId="0" borderId="12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" xfId="0" applyBorder="1" applyProtection="1">
      <protection locked="0"/>
    </xf>
    <xf numFmtId="9" fontId="0" fillId="0" borderId="1" xfId="1" applyFont="1" applyBorder="1" applyAlignment="1">
      <alignment horizontal="center"/>
    </xf>
    <xf numFmtId="0" fontId="0" fillId="13" borderId="1" xfId="0" applyFill="1" applyBorder="1"/>
    <xf numFmtId="164" fontId="0" fillId="0" borderId="1" xfId="0" applyNumberFormat="1" applyBorder="1"/>
    <xf numFmtId="165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0" fontId="6" fillId="0" borderId="1" xfId="0" applyFont="1" applyBorder="1" applyAlignment="1">
      <alignment horizontal="left"/>
    </xf>
    <xf numFmtId="0" fontId="0" fillId="0" borderId="16" xfId="0" applyBorder="1"/>
    <xf numFmtId="0" fontId="0" fillId="0" borderId="18" xfId="0" applyBorder="1"/>
    <xf numFmtId="0" fontId="0" fillId="0" borderId="0" xfId="0" applyAlignment="1">
      <alignment vertical="center"/>
    </xf>
    <xf numFmtId="0" fontId="0" fillId="0" borderId="17" xfId="0" applyBorder="1"/>
    <xf numFmtId="0" fontId="0" fillId="0" borderId="15" xfId="0" applyBorder="1" applyAlignment="1">
      <alignment horizontal="left" vertical="center"/>
    </xf>
    <xf numFmtId="0" fontId="1" fillId="6" borderId="3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6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right" vertical="center"/>
    </xf>
    <xf numFmtId="2" fontId="3" fillId="0" borderId="19" xfId="0" applyNumberFormat="1" applyFont="1" applyBorder="1" applyAlignment="1">
      <alignment horizontal="center" vertical="center"/>
    </xf>
    <xf numFmtId="0" fontId="1" fillId="4" borderId="3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right" vertical="center"/>
    </xf>
    <xf numFmtId="0" fontId="1" fillId="5" borderId="3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5" borderId="4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19" xfId="0" applyFont="1" applyBorder="1" applyAlignment="1">
      <alignment horizontal="right" vertical="center" wrapText="1"/>
    </xf>
    <xf numFmtId="0" fontId="1" fillId="6" borderId="8" xfId="0" applyFont="1" applyFill="1" applyBorder="1" applyAlignment="1">
      <alignment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/>
    </xf>
    <xf numFmtId="0" fontId="0" fillId="0" borderId="19" xfId="0" applyBorder="1" applyAlignment="1">
      <alignment horizontal="right"/>
    </xf>
    <xf numFmtId="0" fontId="8" fillId="14" borderId="23" xfId="2" applyBorder="1" applyAlignment="1">
      <alignment horizontal="left" vertical="center"/>
    </xf>
    <xf numFmtId="0" fontId="0" fillId="0" borderId="14" xfId="0" applyBorder="1" applyAlignment="1" applyProtection="1">
      <alignment horizontal="left"/>
      <protection locked="0"/>
    </xf>
    <xf numFmtId="164" fontId="0" fillId="0" borderId="1" xfId="0" applyNumberFormat="1" applyBorder="1" applyAlignment="1">
      <alignment horizontal="left"/>
    </xf>
    <xf numFmtId="9" fontId="9" fillId="0" borderId="1" xfId="1" applyFont="1" applyBorder="1"/>
    <xf numFmtId="0" fontId="10" fillId="0" borderId="1" xfId="0" applyFont="1" applyBorder="1"/>
    <xf numFmtId="0" fontId="0" fillId="0" borderId="1" xfId="0" applyBorder="1" applyAlignment="1">
      <alignment horizontal="center" vertical="center"/>
    </xf>
    <xf numFmtId="0" fontId="0" fillId="0" borderId="11" xfId="0" applyBorder="1"/>
    <xf numFmtId="0" fontId="0" fillId="0" borderId="11" xfId="0" applyBorder="1" applyProtection="1">
      <protection locked="0"/>
    </xf>
    <xf numFmtId="0" fontId="0" fillId="0" borderId="0" xfId="0" applyAlignment="1">
      <alignment vertical="top"/>
    </xf>
    <xf numFmtId="0" fontId="11" fillId="0" borderId="1" xfId="0" applyFont="1" applyBorder="1"/>
    <xf numFmtId="2" fontId="11" fillId="0" borderId="1" xfId="0" applyNumberFormat="1" applyFont="1" applyBorder="1"/>
    <xf numFmtId="0" fontId="11" fillId="0" borderId="13" xfId="0" applyFont="1" applyBorder="1"/>
    <xf numFmtId="2" fontId="11" fillId="0" borderId="21" xfId="0" applyNumberFormat="1" applyFont="1" applyBorder="1" applyAlignment="1">
      <alignment horizontal="center"/>
    </xf>
    <xf numFmtId="0" fontId="11" fillId="0" borderId="15" xfId="0" applyFont="1" applyBorder="1"/>
    <xf numFmtId="2" fontId="12" fillId="0" borderId="21" xfId="0" applyNumberFormat="1" applyFont="1" applyBorder="1" applyAlignment="1">
      <alignment horizontal="center" vertical="center"/>
    </xf>
    <xf numFmtId="2" fontId="11" fillId="0" borderId="21" xfId="0" applyNumberFormat="1" applyFont="1" applyBorder="1" applyAlignment="1">
      <alignment horizontal="center" vertical="center"/>
    </xf>
    <xf numFmtId="0" fontId="11" fillId="0" borderId="17" xfId="0" applyFont="1" applyBorder="1"/>
    <xf numFmtId="2" fontId="13" fillId="0" borderId="21" xfId="0" applyNumberFormat="1" applyFont="1" applyBorder="1" applyAlignment="1">
      <alignment horizontal="center" vertical="center"/>
    </xf>
    <xf numFmtId="0" fontId="0" fillId="0" borderId="23" xfId="0" applyBorder="1"/>
    <xf numFmtId="0" fontId="0" fillId="0" borderId="2" xfId="0" applyBorder="1"/>
    <xf numFmtId="2" fontId="0" fillId="0" borderId="1" xfId="0" applyNumberFormat="1" applyBorder="1"/>
    <xf numFmtId="0" fontId="11" fillId="0" borderId="1" xfId="0" applyFont="1" applyBorder="1" applyProtection="1">
      <protection locked="0"/>
    </xf>
    <xf numFmtId="0" fontId="11" fillId="0" borderId="13" xfId="0" applyFont="1" applyBorder="1" applyProtection="1">
      <protection locked="0"/>
    </xf>
    <xf numFmtId="0" fontId="11" fillId="0" borderId="15" xfId="0" applyFont="1" applyBorder="1" applyProtection="1">
      <protection locked="0"/>
    </xf>
    <xf numFmtId="0" fontId="0" fillId="0" borderId="24" xfId="0" applyBorder="1"/>
    <xf numFmtId="0" fontId="0" fillId="0" borderId="1" xfId="0" applyBorder="1" applyAlignment="1">
      <alignment horizontal="center"/>
    </xf>
    <xf numFmtId="0" fontId="2" fillId="7" borderId="7" xfId="0" applyFont="1" applyFill="1" applyBorder="1" applyAlignment="1">
      <alignment horizontal="left" vertical="center" wrapText="1"/>
    </xf>
    <xf numFmtId="0" fontId="2" fillId="7" borderId="9" xfId="0" applyFont="1" applyFill="1" applyBorder="1" applyAlignment="1">
      <alignment horizontal="left" vertical="center" wrapText="1"/>
    </xf>
    <xf numFmtId="0" fontId="2" fillId="7" borderId="8" xfId="0" applyFont="1" applyFill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left" vertical="center" wrapText="1"/>
    </xf>
    <xf numFmtId="0" fontId="2" fillId="8" borderId="9" xfId="0" applyFont="1" applyFill="1" applyBorder="1" applyAlignment="1">
      <alignment horizontal="left" vertical="center" wrapText="1"/>
    </xf>
    <xf numFmtId="0" fontId="2" fillId="8" borderId="8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left" vertical="center" wrapText="1"/>
    </xf>
    <xf numFmtId="0" fontId="2" fillId="9" borderId="9" xfId="0" applyFont="1" applyFill="1" applyBorder="1" applyAlignment="1">
      <alignment horizontal="left" vertical="center" wrapText="1"/>
    </xf>
    <xf numFmtId="0" fontId="2" fillId="9" borderId="8" xfId="0" applyFont="1" applyFill="1" applyBorder="1" applyAlignment="1">
      <alignment horizontal="left" vertical="center" wrapText="1"/>
    </xf>
    <xf numFmtId="0" fontId="5" fillId="12" borderId="1" xfId="0" applyFont="1" applyFill="1" applyBorder="1" applyAlignment="1">
      <alignment horizontal="center"/>
    </xf>
    <xf numFmtId="0" fontId="5" fillId="12" borderId="15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left" vertical="center" wrapText="1"/>
    </xf>
    <xf numFmtId="0" fontId="2" fillId="6" borderId="8" xfId="0" applyFont="1" applyFill="1" applyBorder="1" applyAlignment="1">
      <alignment horizontal="left" vertical="center" wrapText="1"/>
    </xf>
    <xf numFmtId="0" fontId="2" fillId="10" borderId="5" xfId="0" applyFont="1" applyFill="1" applyBorder="1" applyAlignment="1">
      <alignment horizontal="left" vertical="center" wrapText="1"/>
    </xf>
    <xf numFmtId="0" fontId="2" fillId="10" borderId="6" xfId="0" applyFont="1" applyFill="1" applyBorder="1" applyAlignment="1">
      <alignment horizontal="left" vertical="center" wrapText="1"/>
    </xf>
  </cellXfs>
  <cellStyles count="3">
    <cellStyle name="Normal" xfId="0" builtinId="0"/>
    <cellStyle name="Pourcentage" xfId="1" builtinId="5"/>
    <cellStyle name="Sortie" xfId="2" builtinId="21"/>
  </cellStyles>
  <dxfs count="1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200"/>
      <color rgb="FFFFC7CE"/>
      <color rgb="FFFF0000"/>
      <color rgb="FFC6EFCE"/>
      <color rgb="FFEC987B"/>
      <color rgb="FFFED969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418AB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D96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2D9-4FCC-9AED-8BD2D655A689}"/>
              </c:ext>
            </c:extLst>
          </c:dPt>
          <c:dPt>
            <c:idx val="1"/>
            <c:invertIfNegative val="0"/>
            <c:bubble3D val="0"/>
            <c:spPr>
              <a:solidFill>
                <a:srgbClr val="F692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2D9-4FCC-9AED-8BD2D655A689}"/>
              </c:ext>
            </c:extLst>
          </c:dPt>
          <c:dPt>
            <c:idx val="2"/>
            <c:invertIfNegative val="0"/>
            <c:bubble3D val="0"/>
            <c:spPr>
              <a:solidFill>
                <a:srgbClr val="EC987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2D9-4FCC-9AED-8BD2D655A6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Interprétation!$J$9:$J$11</c:f>
              <c:strCache>
                <c:ptCount val="3"/>
                <c:pt idx="0">
                  <c:v>Compétence 1 :
Traiter des données à des fins décisionnelles</c:v>
                </c:pt>
                <c:pt idx="1">
                  <c:v>Compétence 2 :
Analyser statistiquement les données</c:v>
                </c:pt>
                <c:pt idx="2">
                  <c:v>Compétence 3 :
Valoriser une production dans un contexte professionnel</c:v>
                </c:pt>
              </c:strCache>
            </c:strRef>
          </c:cat>
          <c:val>
            <c:numRef>
              <c:f>Interprétation!$M$9:$M$11</c:f>
              <c:numCache>
                <c:formatCode>0%</c:formatCode>
                <c:ptCount val="3"/>
                <c:pt idx="0">
                  <c:v>-0.13436530049039391</c:v>
                </c:pt>
                <c:pt idx="1">
                  <c:v>-0.26011603143129908</c:v>
                </c:pt>
                <c:pt idx="2">
                  <c:v>-0.10162107109514244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9-4FCC-9AED-8BD2D655A68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91522719"/>
        <c:axId val="1091523199"/>
      </c:barChart>
      <c:catAx>
        <c:axId val="109152271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91523199"/>
        <c:crosses val="autoZero"/>
        <c:auto val="1"/>
        <c:lblAlgn val="ctr"/>
        <c:lblOffset val="100"/>
        <c:noMultiLvlLbl val="0"/>
      </c:catAx>
      <c:valAx>
        <c:axId val="109152319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1522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rnd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Interprétation!$K$8</c:f>
              <c:strCache>
                <c:ptCount val="1"/>
                <c:pt idx="0">
                  <c:v>Semestre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Interprétation!$J$9:$J$11</c:f>
              <c:strCache>
                <c:ptCount val="3"/>
                <c:pt idx="0">
                  <c:v>Compétence 1 :
Traiter des données à des fins décisionnelles</c:v>
                </c:pt>
                <c:pt idx="1">
                  <c:v>Compétence 2 :
Analyser statistiquement les données</c:v>
                </c:pt>
                <c:pt idx="2">
                  <c:v>Compétence 3 :
Valoriser une production dans un contexte professionnel</c:v>
                </c:pt>
              </c:strCache>
            </c:strRef>
          </c:cat>
          <c:val>
            <c:numRef>
              <c:f>Interprétation!$K$9:$K$11</c:f>
              <c:numCache>
                <c:formatCode>0.0</c:formatCode>
                <c:ptCount val="3"/>
                <c:pt idx="0">
                  <c:v>12.591916666666666</c:v>
                </c:pt>
                <c:pt idx="1">
                  <c:v>11.3475</c:v>
                </c:pt>
                <c:pt idx="2">
                  <c:v>13.595000000000001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E-4F5A-B35B-81DFA953872D}"/>
            </c:ext>
          </c:extLst>
        </c:ser>
        <c:ser>
          <c:idx val="1"/>
          <c:order val="1"/>
          <c:tx>
            <c:strRef>
              <c:f>Interprétation!$L$8</c:f>
              <c:strCache>
                <c:ptCount val="1"/>
                <c:pt idx="0">
                  <c:v>Semestre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Interprétation!$J$9:$J$11</c:f>
              <c:strCache>
                <c:ptCount val="3"/>
                <c:pt idx="0">
                  <c:v>Compétence 1 :
Traiter des données à des fins décisionnelles</c:v>
                </c:pt>
                <c:pt idx="1">
                  <c:v>Compétence 2 :
Analyser statistiquement les données</c:v>
                </c:pt>
                <c:pt idx="2">
                  <c:v>Compétence 3 :
Valoriser une production dans un contexte professionnel</c:v>
                </c:pt>
              </c:strCache>
            </c:strRef>
          </c:cat>
          <c:val>
            <c:numRef>
              <c:f>Interprétation!$L$9:$L$11</c:f>
              <c:numCache>
                <c:formatCode>0.0</c:formatCode>
                <c:ptCount val="3"/>
                <c:pt idx="0">
                  <c:v>10.9</c:v>
                </c:pt>
                <c:pt idx="1">
                  <c:v>8.3958333333333339</c:v>
                </c:pt>
                <c:pt idx="2">
                  <c:v>12.213461538461539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E-4F5A-B35B-81DFA953872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068026559"/>
        <c:axId val="2068023199"/>
      </c:barChart>
      <c:catAx>
        <c:axId val="2068026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none" spc="120" normalizeH="0" baseline="0">
                <a:solidFill>
                  <a:schemeClr val="tx1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fr-FR"/>
          </a:p>
        </c:txPr>
        <c:crossAx val="2068023199"/>
        <c:crosses val="autoZero"/>
        <c:auto val="1"/>
        <c:lblAlgn val="ctr"/>
        <c:lblOffset val="100"/>
        <c:noMultiLvlLbl val="0"/>
      </c:catAx>
      <c:valAx>
        <c:axId val="2068023199"/>
        <c:scaling>
          <c:orientation val="minMax"/>
          <c:max val="20"/>
        </c:scaling>
        <c:delete val="0"/>
        <c:axPos val="l"/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6802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Interprétation!$K$14</c:f>
              <c:strCache>
                <c:ptCount val="1"/>
                <c:pt idx="0">
                  <c:v>Moyenne année par compétences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Interprétation!$J$15:$J$17</c:f>
              <c:strCache>
                <c:ptCount val="3"/>
                <c:pt idx="0">
                  <c:v>Compétence 1 :
Traiter des données à des fins décisionnelles</c:v>
                </c:pt>
                <c:pt idx="1">
                  <c:v>Compétence 2 :
Analyser statistiquement les données</c:v>
                </c:pt>
                <c:pt idx="2">
                  <c:v>Compétence 3 :
Valoriser une production dans un contexte professionnel</c:v>
                </c:pt>
              </c:strCache>
            </c:strRef>
          </c:cat>
          <c:val>
            <c:numRef>
              <c:f>Interprétation!$K$15:$K$17</c:f>
              <c:numCache>
                <c:formatCode>0.0</c:formatCode>
                <c:ptCount val="3"/>
                <c:pt idx="0">
                  <c:v>11.745958333333334</c:v>
                </c:pt>
                <c:pt idx="1">
                  <c:v>9.8716666666666661</c:v>
                </c:pt>
                <c:pt idx="2">
                  <c:v>12.90423076923077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7-46C9-87A9-907C5DA44B23}"/>
            </c:ext>
          </c:extLst>
        </c:ser>
        <c:ser>
          <c:idx val="1"/>
          <c:order val="1"/>
          <c:tx>
            <c:strRef>
              <c:f>Interprétation!$M$14</c:f>
              <c:strCache>
                <c:ptCount val="1"/>
                <c:pt idx="0">
                  <c:v>Moyenne &gt;= 8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Interprétation!$J$15:$J$17</c:f>
              <c:strCache>
                <c:ptCount val="3"/>
                <c:pt idx="0">
                  <c:v>Compétence 1 :
Traiter des données à des fins décisionnelles</c:v>
                </c:pt>
                <c:pt idx="1">
                  <c:v>Compétence 2 :
Analyser statistiquement les données</c:v>
                </c:pt>
                <c:pt idx="2">
                  <c:v>Compétence 3 :
Valoriser une production dans un contexte professionnel</c:v>
                </c:pt>
              </c:strCache>
            </c:strRef>
          </c:cat>
          <c:val>
            <c:numRef>
              <c:f>Interprétation!$M$15:$M$17</c:f>
              <c:numCache>
                <c:formatCode>General</c:formatCode>
                <c:ptCount val="3"/>
                <c:pt idx="0">
                  <c:v>11.745958333333334</c:v>
                </c:pt>
                <c:pt idx="1">
                  <c:v>9.8716666666666661</c:v>
                </c:pt>
                <c:pt idx="2">
                  <c:v>12.90423076923077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6C9-87A9-907C5DA44B23}"/>
            </c:ext>
          </c:extLst>
        </c:ser>
        <c:ser>
          <c:idx val="2"/>
          <c:order val="2"/>
          <c:tx>
            <c:strRef>
              <c:f>Interprétation!$N$14</c:f>
              <c:strCache>
                <c:ptCount val="1"/>
                <c:pt idx="0">
                  <c:v>Moyenne &lt; 8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Interprétation!$J$15:$J$17</c:f>
              <c:strCache>
                <c:ptCount val="3"/>
                <c:pt idx="0">
                  <c:v>Compétence 1 :
Traiter des données à des fins décisionnelles</c:v>
                </c:pt>
                <c:pt idx="1">
                  <c:v>Compétence 2 :
Analyser statistiquement les données</c:v>
                </c:pt>
                <c:pt idx="2">
                  <c:v>Compétence 3 :
Valoriser une production dans un contexte professionnel</c:v>
                </c:pt>
              </c:strCache>
            </c:strRef>
          </c:cat>
          <c:val>
            <c:numRef>
              <c:f>Interprétation!$N$15:$N$17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6C9-87A9-907C5DA44B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648698640"/>
        <c:axId val="26605264"/>
      </c:barChart>
      <c:catAx>
        <c:axId val="1648698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6605264"/>
        <c:crosses val="autoZero"/>
        <c:auto val="1"/>
        <c:lblAlgn val="ctr"/>
        <c:lblOffset val="100"/>
        <c:noMultiLvlLbl val="0"/>
      </c:catAx>
      <c:valAx>
        <c:axId val="2660526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869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23446888791004214"/>
          <c:y val="2.0850822050015937E-2"/>
          <c:w val="0.51240840179377389"/>
          <c:h val="7.4501991937916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40590002531829"/>
          <c:y val="0.1099583452878107"/>
          <c:w val="0.41220992782626203"/>
          <c:h val="0.82394295854718569"/>
        </c:manualLayout>
      </c:layout>
      <c:radarChart>
        <c:radarStyle val="marker"/>
        <c:varyColors val="0"/>
        <c:ser>
          <c:idx val="0"/>
          <c:order val="0"/>
          <c:tx>
            <c:strRef>
              <c:f>Interprétation!$R$8</c:f>
              <c:strCache>
                <c:ptCount val="1"/>
                <c:pt idx="0">
                  <c:v>Moyenne élève</c:v>
                </c:pt>
              </c:strCache>
            </c:strRef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Interprétation!$Q$9:$Q$14</c:f>
              <c:strCache>
                <c:ptCount val="6"/>
                <c:pt idx="0">
                  <c:v>S1 C1</c:v>
                </c:pt>
                <c:pt idx="1">
                  <c:v>S1 C2</c:v>
                </c:pt>
                <c:pt idx="2">
                  <c:v>S1 C3</c:v>
                </c:pt>
                <c:pt idx="3">
                  <c:v>S2 C1</c:v>
                </c:pt>
                <c:pt idx="4">
                  <c:v>S2 C2</c:v>
                </c:pt>
                <c:pt idx="5">
                  <c:v>S2 C3</c:v>
                </c:pt>
              </c:strCache>
            </c:strRef>
          </c:cat>
          <c:val>
            <c:numRef>
              <c:f>Interprétation!$R$9:$R$14</c:f>
              <c:numCache>
                <c:formatCode>0.00</c:formatCode>
                <c:ptCount val="6"/>
                <c:pt idx="0">
                  <c:v>12.591916666666666</c:v>
                </c:pt>
                <c:pt idx="1">
                  <c:v>11.3475</c:v>
                </c:pt>
                <c:pt idx="2">
                  <c:v>13.595000000000001</c:v>
                </c:pt>
                <c:pt idx="3">
                  <c:v>10.9</c:v>
                </c:pt>
                <c:pt idx="4">
                  <c:v>8.3958333333333339</c:v>
                </c:pt>
                <c:pt idx="5">
                  <c:v>12.213461538461539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A-4C4F-BB36-98DE4F098320}"/>
            </c:ext>
          </c:extLst>
        </c:ser>
        <c:ser>
          <c:idx val="1"/>
          <c:order val="1"/>
          <c:tx>
            <c:strRef>
              <c:f>Interprétation!$S$8</c:f>
              <c:strCache>
                <c:ptCount val="1"/>
                <c:pt idx="0">
                  <c:v>Moyenne classe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Interprétation!$Q$9:$Q$14</c:f>
              <c:strCache>
                <c:ptCount val="6"/>
                <c:pt idx="0">
                  <c:v>S1 C1</c:v>
                </c:pt>
                <c:pt idx="1">
                  <c:v>S1 C2</c:v>
                </c:pt>
                <c:pt idx="2">
                  <c:v>S1 C3</c:v>
                </c:pt>
                <c:pt idx="3">
                  <c:v>S2 C1</c:v>
                </c:pt>
                <c:pt idx="4">
                  <c:v>S2 C2</c:v>
                </c:pt>
                <c:pt idx="5">
                  <c:v>S2 C3</c:v>
                </c:pt>
              </c:strCache>
            </c:strRef>
          </c:cat>
          <c:val>
            <c:numRef>
              <c:f>Interprétation!$S$9:$S$14</c:f>
              <c:numCache>
                <c:formatCode>General</c:formatCode>
                <c:ptCount val="6"/>
                <c:pt idx="0">
                  <c:v>9</c:v>
                </c:pt>
                <c:pt idx="1">
                  <c:v>11</c:v>
                </c:pt>
                <c:pt idx="2">
                  <c:v>0</c:v>
                </c:pt>
                <c:pt idx="3">
                  <c:v>0</c:v>
                </c:pt>
                <c:pt idx="4">
                  <c:v>9.5</c:v>
                </c:pt>
                <c:pt idx="5">
                  <c:v>13.15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2A-4C4F-BB36-98DE4F098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20272"/>
        <c:axId val="411221712"/>
      </c:radarChart>
      <c:catAx>
        <c:axId val="41122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1221712"/>
        <c:crosses val="autoZero"/>
        <c:auto val="1"/>
        <c:lblAlgn val="ctr"/>
        <c:lblOffset val="100"/>
        <c:noMultiLvlLbl val="0"/>
      </c:catAx>
      <c:valAx>
        <c:axId val="411221712"/>
        <c:scaling>
          <c:orientation val="minMax"/>
          <c:max val="2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122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45720</xdr:rowOff>
        </xdr:from>
        <xdr:to>
          <xdr:col>9</xdr:col>
          <xdr:colOff>1569720</xdr:colOff>
          <xdr:row>12</xdr:row>
          <xdr:rowOff>45720</xdr:rowOff>
        </xdr:to>
        <xdr:sp macro="" textlink="">
          <xdr:nvSpPr>
            <xdr:cNvPr id="1027" name="BoutonAjoute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16</xdr:row>
          <xdr:rowOff>0</xdr:rowOff>
        </xdr:from>
        <xdr:to>
          <xdr:col>9</xdr:col>
          <xdr:colOff>1569720</xdr:colOff>
          <xdr:row>17</xdr:row>
          <xdr:rowOff>182880</xdr:rowOff>
        </xdr:to>
        <xdr:sp macro="" textlink="">
          <xdr:nvSpPr>
            <xdr:cNvPr id="1028" name="BoutonEffac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182880</xdr:rowOff>
        </xdr:from>
        <xdr:to>
          <xdr:col>9</xdr:col>
          <xdr:colOff>1569720</xdr:colOff>
          <xdr:row>14</xdr:row>
          <xdr:rowOff>167640</xdr:rowOff>
        </xdr:to>
        <xdr:sp macro="" textlink="">
          <xdr:nvSpPr>
            <xdr:cNvPr id="1030" name="BoutonModifi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3550920</xdr:colOff>
          <xdr:row>5</xdr:row>
          <xdr:rowOff>53340</xdr:rowOff>
        </xdr:from>
        <xdr:to>
          <xdr:col>1</xdr:col>
          <xdr:colOff>5227320</xdr:colOff>
          <xdr:row>6</xdr:row>
          <xdr:rowOff>144780</xdr:rowOff>
        </xdr:to>
        <xdr:sp macro="" textlink="">
          <xdr:nvSpPr>
            <xdr:cNvPr id="1031" name="BoutonAbsenc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320040</xdr:colOff>
          <xdr:row>4</xdr:row>
          <xdr:rowOff>38100</xdr:rowOff>
        </xdr:from>
        <xdr:to>
          <xdr:col>0</xdr:col>
          <xdr:colOff>579120</xdr:colOff>
          <xdr:row>7</xdr:row>
          <xdr:rowOff>0</xdr:rowOff>
        </xdr:to>
        <xdr:sp macro="" textlink="">
          <xdr:nvSpPr>
            <xdr:cNvPr id="1034" name="SBcp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815340</xdr:colOff>
          <xdr:row>4</xdr:row>
          <xdr:rowOff>167640</xdr:rowOff>
        </xdr:from>
        <xdr:to>
          <xdr:col>0</xdr:col>
          <xdr:colOff>2331720</xdr:colOff>
          <xdr:row>6</xdr:row>
          <xdr:rowOff>83820</xdr:rowOff>
        </xdr:to>
        <xdr:sp macro="" textlink="">
          <xdr:nvSpPr>
            <xdr:cNvPr id="1037" name="CheckRese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19</xdr:row>
          <xdr:rowOff>7620</xdr:rowOff>
        </xdr:from>
        <xdr:to>
          <xdr:col>9</xdr:col>
          <xdr:colOff>2308860</xdr:colOff>
          <xdr:row>21</xdr:row>
          <xdr:rowOff>7620</xdr:rowOff>
        </xdr:to>
        <xdr:sp macro="" textlink="">
          <xdr:nvSpPr>
            <xdr:cNvPr id="1038" name="BoutonMoyenneClass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1386236</xdr:colOff>
      <xdr:row>36</xdr:row>
      <xdr:rowOff>66040</xdr:rowOff>
    </xdr:from>
    <xdr:to>
      <xdr:col>1</xdr:col>
      <xdr:colOff>3977640</xdr:colOff>
      <xdr:row>63</xdr:row>
      <xdr:rowOff>76200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4F1A8629-F2B4-8302-7348-EC9CE4BEAC24}"/>
            </a:ext>
          </a:extLst>
        </xdr:cNvPr>
        <xdr:cNvGrpSpPr/>
      </xdr:nvGrpSpPr>
      <xdr:grpSpPr>
        <a:xfrm>
          <a:off x="1386236" y="6978469"/>
          <a:ext cx="7555290" cy="5006702"/>
          <a:chOff x="15666116" y="3053080"/>
          <a:chExt cx="7856824" cy="4963924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0632F228-A26B-C621-CFD6-9CB85506032C}"/>
              </a:ext>
            </a:extLst>
          </xdr:cNvPr>
          <xdr:cNvGraphicFramePr>
            <a:graphicFrameLocks noChangeAspect="1"/>
          </xdr:cNvGraphicFramePr>
        </xdr:nvGraphicFramePr>
        <xdr:xfrm>
          <a:off x="15675791" y="3320869"/>
          <a:ext cx="7847149" cy="37135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J$9">
        <xdr:nvSpPr>
          <xdr:cNvPr id="4" name="ZoneTexte 3">
            <a:extLst>
              <a:ext uri="{FF2B5EF4-FFF2-40B4-BE49-F238E27FC236}">
                <a16:creationId xmlns:a16="http://schemas.microsoft.com/office/drawing/2014/main" id="{1DD17804-5510-EDEA-0724-3F2950B65A9B}"/>
              </a:ext>
            </a:extLst>
          </xdr:cNvPr>
          <xdr:cNvSpPr txBox="1"/>
        </xdr:nvSpPr>
        <xdr:spPr>
          <a:xfrm>
            <a:off x="16069853" y="7167469"/>
            <a:ext cx="2172427" cy="834246"/>
          </a:xfrm>
          <a:prstGeom prst="roundRect">
            <a:avLst/>
          </a:prstGeom>
          <a:solidFill>
            <a:srgbClr val="FED969"/>
          </a:solidFill>
          <a:ln w="9525" cmpd="sng">
            <a:solidFill>
              <a:srgbClr val="FED969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72AE645B-6D51-445A-8DF7-CB53D5676452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Compétence 1 :
Traiter des données à des fins décisionnelles</a:t>
            </a:fld>
            <a:endParaRPr lang="fr-FR" sz="1200" b="1" kern="1200"/>
          </a:p>
        </xdr:txBody>
      </xdr:sp>
      <xdr:sp macro="" textlink="$J$10">
        <xdr:nvSpPr>
          <xdr:cNvPr id="6" name="ZoneTexte 5">
            <a:extLst>
              <a:ext uri="{FF2B5EF4-FFF2-40B4-BE49-F238E27FC236}">
                <a16:creationId xmlns:a16="http://schemas.microsoft.com/office/drawing/2014/main" id="{18C40A34-54F8-47BE-A8CC-47352F167623}"/>
              </a:ext>
            </a:extLst>
          </xdr:cNvPr>
          <xdr:cNvSpPr txBox="1"/>
        </xdr:nvSpPr>
        <xdr:spPr>
          <a:xfrm>
            <a:off x="18377896" y="7153441"/>
            <a:ext cx="1921784" cy="848274"/>
          </a:xfrm>
          <a:prstGeom prst="roundRect">
            <a:avLst/>
          </a:prstGeom>
          <a:solidFill>
            <a:srgbClr val="F69200"/>
          </a:solidFill>
          <a:ln w="9525" cmpd="sng">
            <a:solidFill>
              <a:srgbClr val="F692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967A273-16E6-4E01-B1BE-EA7BE170CCFF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Compétence 2 :
Analyser statistiquement les données</a:t>
            </a:fld>
            <a:endParaRPr lang="fr-FR" sz="1200" b="1" kern="1200"/>
          </a:p>
        </xdr:txBody>
      </xdr:sp>
      <xdr:sp macro="" textlink="$J$11">
        <xdr:nvSpPr>
          <xdr:cNvPr id="7" name="ZoneTexte 6">
            <a:extLst>
              <a:ext uri="{FF2B5EF4-FFF2-40B4-BE49-F238E27FC236}">
                <a16:creationId xmlns:a16="http://schemas.microsoft.com/office/drawing/2014/main" id="{DC90A3BD-C4AF-45FA-8873-E6A6E6324CF9}"/>
              </a:ext>
            </a:extLst>
          </xdr:cNvPr>
          <xdr:cNvSpPr txBox="1"/>
        </xdr:nvSpPr>
        <xdr:spPr>
          <a:xfrm>
            <a:off x="20453168" y="7181430"/>
            <a:ext cx="2391592" cy="835574"/>
          </a:xfrm>
          <a:prstGeom prst="roundRect">
            <a:avLst/>
          </a:prstGeom>
          <a:solidFill>
            <a:srgbClr val="EC987B"/>
          </a:solidFill>
          <a:ln w="9525" cmpd="sng">
            <a:solidFill>
              <a:srgbClr val="EC987B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766EFFBE-6558-403A-A15C-6E913FF475F8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Compétence 3 :
Valoriser une production dans un contexte professionnel</a:t>
            </a:fld>
            <a:endParaRPr lang="fr-FR" sz="1200" b="1" kern="1200"/>
          </a:p>
        </xdr:txBody>
      </xdr:sp>
      <xdr:sp macro="" textlink="$M$8">
        <xdr:nvSpPr>
          <xdr:cNvPr id="9" name="ZoneTexte 8">
            <a:extLst>
              <a:ext uri="{FF2B5EF4-FFF2-40B4-BE49-F238E27FC236}">
                <a16:creationId xmlns:a16="http://schemas.microsoft.com/office/drawing/2014/main" id="{5392E619-B7E1-DC1B-C98E-2988ADE69AA5}"/>
              </a:ext>
            </a:extLst>
          </xdr:cNvPr>
          <xdr:cNvSpPr txBox="1"/>
        </xdr:nvSpPr>
        <xdr:spPr>
          <a:xfrm>
            <a:off x="15666116" y="3053080"/>
            <a:ext cx="4686300" cy="392700"/>
          </a:xfrm>
          <a:prstGeom prst="round2Same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1C86093-DECF-4CB1-82D8-87A8FB481E5F}" type="TxLink">
              <a:rPr lang="en-US" sz="1800" b="0" i="0" u="none" strike="noStrike" kern="1200">
                <a:solidFill>
                  <a:schemeClr val="bg1"/>
                </a:solidFill>
                <a:latin typeface="Aptos Narrow" panose="020B0004020202020204" pitchFamily="34" charset="0"/>
                <a:ea typeface="Calibri"/>
                <a:cs typeface="Calibri"/>
              </a:rPr>
              <a:pPr algn="l"/>
              <a:t>Taux évolution entre les deux semestres</a:t>
            </a:fld>
            <a:endParaRPr lang="fr-FR" sz="1800" kern="1200">
              <a:solidFill>
                <a:schemeClr val="bg1"/>
              </a:solidFill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1</xdr:col>
      <xdr:colOff>5641975</xdr:colOff>
      <xdr:row>4</xdr:row>
      <xdr:rowOff>15240</xdr:rowOff>
    </xdr:from>
    <xdr:to>
      <xdr:col>5</xdr:col>
      <xdr:colOff>838200</xdr:colOff>
      <xdr:row>33</xdr:row>
      <xdr:rowOff>48281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A71A61D7-F850-02BB-54FF-DAB72745B6B9}"/>
            </a:ext>
          </a:extLst>
        </xdr:cNvPr>
        <xdr:cNvGrpSpPr/>
      </xdr:nvGrpSpPr>
      <xdr:grpSpPr>
        <a:xfrm>
          <a:off x="10605861" y="755469"/>
          <a:ext cx="8161110" cy="5650069"/>
          <a:chOff x="5200015" y="3159760"/>
          <a:chExt cx="7522845" cy="4752361"/>
        </a:xfrm>
      </xdr:grpSpPr>
      <xdr:graphicFrame macro="">
        <xdr:nvGraphicFramePr>
          <xdr:cNvPr id="2" name="Graphique 1">
            <a:extLst>
              <a:ext uri="{FF2B5EF4-FFF2-40B4-BE49-F238E27FC236}">
                <a16:creationId xmlns:a16="http://schemas.microsoft.com/office/drawing/2014/main" id="{45ED59B6-7EA9-2FD6-6A7F-DD9B1BEB325E}"/>
              </a:ext>
            </a:extLst>
          </xdr:cNvPr>
          <xdr:cNvGraphicFramePr/>
        </xdr:nvGraphicFramePr>
        <xdr:xfrm>
          <a:off x="5201376" y="3516903"/>
          <a:ext cx="7521484" cy="371447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G$4">
        <xdr:nvSpPr>
          <xdr:cNvPr id="11" name="ZoneTexte 10">
            <a:extLst>
              <a:ext uri="{FF2B5EF4-FFF2-40B4-BE49-F238E27FC236}">
                <a16:creationId xmlns:a16="http://schemas.microsoft.com/office/drawing/2014/main" id="{A69F21C9-8C23-4D32-8F7D-8BD62A0F6C7F}"/>
              </a:ext>
            </a:extLst>
          </xdr:cNvPr>
          <xdr:cNvSpPr txBox="1"/>
        </xdr:nvSpPr>
        <xdr:spPr>
          <a:xfrm>
            <a:off x="5200015" y="3159760"/>
            <a:ext cx="5102225" cy="41656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00C664BA-83C9-4A7C-A3E3-AF3AF57E0117}" type="TxLink">
              <a:rPr lang="en-US" sz="1800" b="0" i="0" u="none" strike="noStrike" kern="1200">
                <a:solidFill>
                  <a:schemeClr val="bg1"/>
                </a:solidFill>
                <a:latin typeface="Aptos Narrow" panose="020B0004020202020204" pitchFamily="34" charset="0"/>
                <a:ea typeface="Calibri"/>
                <a:cs typeface="Calibri"/>
              </a:rPr>
              <a:pPr algn="l"/>
              <a:t>Moyenne des compétences selon le semestre</a:t>
            </a:fld>
            <a:endParaRPr lang="fr-FR" sz="1800" kern="1200">
              <a:solidFill>
                <a:schemeClr val="bg1"/>
              </a:solidFill>
              <a:latin typeface="Aptos Narrow" panose="020B0004020202020204" pitchFamily="34" charset="0"/>
            </a:endParaRPr>
          </a:p>
        </xdr:txBody>
      </xdr:sp>
      <xdr:sp macro="" textlink="$K$8">
        <xdr:nvSpPr>
          <xdr:cNvPr id="15" name="ZoneTexte 14">
            <a:extLst>
              <a:ext uri="{FF2B5EF4-FFF2-40B4-BE49-F238E27FC236}">
                <a16:creationId xmlns:a16="http://schemas.microsoft.com/office/drawing/2014/main" id="{1960B68D-E1F7-4C6D-A718-D4048C2EEF15}"/>
              </a:ext>
            </a:extLst>
          </xdr:cNvPr>
          <xdr:cNvSpPr txBox="1"/>
        </xdr:nvSpPr>
        <xdr:spPr>
          <a:xfrm>
            <a:off x="5768340" y="7401561"/>
            <a:ext cx="1447800" cy="51056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D54E097-423F-44E6-898B-F3C53B802948}" type="TxLink">
              <a:rPr lang="en-US" sz="16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Semestre 1</a:t>
            </a:fld>
            <a:endParaRPr lang="fr-FR" sz="1600" b="1" kern="1200"/>
          </a:p>
        </xdr:txBody>
      </xdr:sp>
      <xdr:sp macro="" textlink="$L$8">
        <xdr:nvSpPr>
          <xdr:cNvPr id="16" name="ZoneTexte 15">
            <a:extLst>
              <a:ext uri="{FF2B5EF4-FFF2-40B4-BE49-F238E27FC236}">
                <a16:creationId xmlns:a16="http://schemas.microsoft.com/office/drawing/2014/main" id="{704CB25C-3582-4649-8845-7E09DEE80EF6}"/>
              </a:ext>
            </a:extLst>
          </xdr:cNvPr>
          <xdr:cNvSpPr txBox="1"/>
        </xdr:nvSpPr>
        <xdr:spPr>
          <a:xfrm>
            <a:off x="7673340" y="7401560"/>
            <a:ext cx="1511300" cy="510560"/>
          </a:xfrm>
          <a:prstGeom prst="round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15A2215-9FF3-4700-899C-EE85FD72BE8B}" type="TxLink">
              <a:rPr lang="en-US" sz="16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Semestre 2</a:t>
            </a:fld>
            <a:endParaRPr lang="fr-FR" sz="1600" b="1" kern="1200"/>
          </a:p>
        </xdr:txBody>
      </xdr:sp>
    </xdr:grpSp>
    <xdr:clientData/>
  </xdr:twoCellAnchor>
  <xdr:twoCellAnchor>
    <xdr:from>
      <xdr:col>0</xdr:col>
      <xdr:colOff>1325880</xdr:colOff>
      <xdr:row>4</xdr:row>
      <xdr:rowOff>0</xdr:rowOff>
    </xdr:from>
    <xdr:to>
      <xdr:col>1</xdr:col>
      <xdr:colOff>3855720</xdr:colOff>
      <xdr:row>33</xdr:row>
      <xdr:rowOff>30480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95E2B75-1DE6-34F4-C024-F20E9CE61151}"/>
            </a:ext>
          </a:extLst>
        </xdr:cNvPr>
        <xdr:cNvGrpSpPr/>
      </xdr:nvGrpSpPr>
      <xdr:grpSpPr>
        <a:xfrm>
          <a:off x="1325880" y="740229"/>
          <a:ext cx="7493726" cy="5647508"/>
          <a:chOff x="24292560" y="1539240"/>
          <a:chExt cx="7498080" cy="5577840"/>
        </a:xfrm>
      </xdr:grpSpPr>
      <xdr:graphicFrame macro="">
        <xdr:nvGraphicFramePr>
          <xdr:cNvPr id="5" name="Graphique 4">
            <a:extLst>
              <a:ext uri="{FF2B5EF4-FFF2-40B4-BE49-F238E27FC236}">
                <a16:creationId xmlns:a16="http://schemas.microsoft.com/office/drawing/2014/main" id="{5A360E80-EB26-55B5-FE63-47C64D78CDA8}"/>
              </a:ext>
            </a:extLst>
          </xdr:cNvPr>
          <xdr:cNvGraphicFramePr/>
        </xdr:nvGraphicFramePr>
        <xdr:xfrm>
          <a:off x="24315420" y="1905000"/>
          <a:ext cx="7475220" cy="4251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K$14">
        <xdr:nvSpPr>
          <xdr:cNvPr id="12" name="ZoneTexte 11">
            <a:extLst>
              <a:ext uri="{FF2B5EF4-FFF2-40B4-BE49-F238E27FC236}">
                <a16:creationId xmlns:a16="http://schemas.microsoft.com/office/drawing/2014/main" id="{F4FCC4EE-3207-4B2A-AB34-4FE7D0768B47}"/>
              </a:ext>
            </a:extLst>
          </xdr:cNvPr>
          <xdr:cNvSpPr txBox="1"/>
        </xdr:nvSpPr>
        <xdr:spPr>
          <a:xfrm>
            <a:off x="24292560" y="1539240"/>
            <a:ext cx="5102225" cy="416560"/>
          </a:xfrm>
          <a:prstGeom prst="round2SameRect">
            <a:avLst/>
          </a:prstGeom>
          <a:solidFill>
            <a:schemeClr val="accent6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2A1C23E8-0AB3-412F-84A6-E22D764D04AA}" type="TxLink">
              <a:rPr lang="en-US" sz="1800" b="0" i="0" u="none" strike="noStrike" kern="1200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l"/>
              <a:t>Moyenne année par compétences</a:t>
            </a:fld>
            <a:endParaRPr lang="fr-FR" sz="1800" kern="1200">
              <a:solidFill>
                <a:schemeClr val="bg1"/>
              </a:solidFill>
              <a:latin typeface="Aptos Narrow" panose="020B0004020202020204" pitchFamily="34" charset="0"/>
            </a:endParaRPr>
          </a:p>
        </xdr:txBody>
      </xdr:sp>
      <xdr:sp macro="" textlink="$J$9">
        <xdr:nvSpPr>
          <xdr:cNvPr id="13" name="ZoneTexte 12">
            <a:extLst>
              <a:ext uri="{FF2B5EF4-FFF2-40B4-BE49-F238E27FC236}">
                <a16:creationId xmlns:a16="http://schemas.microsoft.com/office/drawing/2014/main" id="{68FAA1B1-7154-426B-A809-7F69D3C8B51D}"/>
              </a:ext>
            </a:extLst>
          </xdr:cNvPr>
          <xdr:cNvSpPr txBox="1"/>
        </xdr:nvSpPr>
        <xdr:spPr>
          <a:xfrm>
            <a:off x="24886920" y="6294120"/>
            <a:ext cx="1798320" cy="807720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72AE645B-6D51-445A-8DF7-CB53D5676452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Compétence 1 :
Traiter des données à des fins décisionnelles</a:t>
            </a:fld>
            <a:endParaRPr lang="fr-FR" sz="1200" b="1" kern="1200"/>
          </a:p>
        </xdr:txBody>
      </xdr:sp>
      <xdr:sp macro="" textlink="$J$10">
        <xdr:nvSpPr>
          <xdr:cNvPr id="14" name="ZoneTexte 13">
            <a:extLst>
              <a:ext uri="{FF2B5EF4-FFF2-40B4-BE49-F238E27FC236}">
                <a16:creationId xmlns:a16="http://schemas.microsoft.com/office/drawing/2014/main" id="{0D32A68B-9722-4F4F-A935-146AE1EA1A52}"/>
              </a:ext>
            </a:extLst>
          </xdr:cNvPr>
          <xdr:cNvSpPr txBox="1"/>
        </xdr:nvSpPr>
        <xdr:spPr>
          <a:xfrm>
            <a:off x="27194963" y="6295480"/>
            <a:ext cx="1928677" cy="821600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967A273-16E6-4E01-B1BE-EA7BE170CCFF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Compétence 2 :
Analyser statistiquement les données</a:t>
            </a:fld>
            <a:endParaRPr lang="fr-FR" sz="1200" b="1" kern="1200"/>
          </a:p>
        </xdr:txBody>
      </xdr:sp>
      <xdr:sp macro="" textlink="$J$11">
        <xdr:nvSpPr>
          <xdr:cNvPr id="17" name="ZoneTexte 16">
            <a:extLst>
              <a:ext uri="{FF2B5EF4-FFF2-40B4-BE49-F238E27FC236}">
                <a16:creationId xmlns:a16="http://schemas.microsoft.com/office/drawing/2014/main" id="{4A3F1AC2-5C8E-4E7A-8E3C-E7BD362FB6FB}"/>
              </a:ext>
            </a:extLst>
          </xdr:cNvPr>
          <xdr:cNvSpPr txBox="1"/>
        </xdr:nvSpPr>
        <xdr:spPr>
          <a:xfrm>
            <a:off x="29407395" y="6277700"/>
            <a:ext cx="2200365" cy="824140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766EFFBE-6558-403A-A15C-6E913FF475F8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Compétence 3 :
Valoriser une production dans un contexte professionnel</a:t>
            </a:fld>
            <a:endParaRPr lang="fr-FR" sz="1200" b="1" kern="1200"/>
          </a:p>
        </xdr:txBody>
      </xdr:sp>
    </xdr:grpSp>
    <xdr:clientData/>
  </xdr:twoCellAnchor>
  <xdr:twoCellAnchor>
    <xdr:from>
      <xdr:col>1</xdr:col>
      <xdr:colOff>5475515</xdr:colOff>
      <xdr:row>38</xdr:row>
      <xdr:rowOff>76200</xdr:rowOff>
    </xdr:from>
    <xdr:to>
      <xdr:col>5</xdr:col>
      <xdr:colOff>15240</xdr:colOff>
      <xdr:row>62</xdr:row>
      <xdr:rowOff>152400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B89D5167-F98C-AAF5-749E-343DE0B09458}"/>
            </a:ext>
          </a:extLst>
        </xdr:cNvPr>
        <xdr:cNvGrpSpPr/>
      </xdr:nvGrpSpPr>
      <xdr:grpSpPr>
        <a:xfrm>
          <a:off x="10439401" y="7358743"/>
          <a:ext cx="7504610" cy="4517571"/>
          <a:chOff x="10550435" y="7071360"/>
          <a:chExt cx="7524205" cy="3764280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C6C11FEA-18C0-B1CE-2925-D2C27DDCF3D9}"/>
              </a:ext>
            </a:extLst>
          </xdr:cNvPr>
          <xdr:cNvGraphicFramePr/>
        </xdr:nvGraphicFramePr>
        <xdr:xfrm>
          <a:off x="10550435" y="7071360"/>
          <a:ext cx="7524205" cy="37642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J$9">
        <xdr:nvSpPr>
          <xdr:cNvPr id="22" name="ZoneTexte 21">
            <a:extLst>
              <a:ext uri="{FF2B5EF4-FFF2-40B4-BE49-F238E27FC236}">
                <a16:creationId xmlns:a16="http://schemas.microsoft.com/office/drawing/2014/main" id="{99282EAC-44CD-4A77-B466-53ECD860088E}"/>
              </a:ext>
            </a:extLst>
          </xdr:cNvPr>
          <xdr:cNvSpPr txBox="1"/>
        </xdr:nvSpPr>
        <xdr:spPr>
          <a:xfrm>
            <a:off x="13234221" y="7391925"/>
            <a:ext cx="594360" cy="252436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1200" b="1" kern="1200"/>
              <a:t>S1</a:t>
            </a:r>
            <a:r>
              <a:rPr lang="fr-FR" sz="1200" b="1" kern="1200" baseline="0"/>
              <a:t> C1</a:t>
            </a:r>
            <a:endParaRPr lang="fr-FR" sz="1200" b="1" kern="1200"/>
          </a:p>
        </xdr:txBody>
      </xdr:sp>
      <xdr:sp macro="" textlink="$Q$11">
        <xdr:nvSpPr>
          <xdr:cNvPr id="23" name="ZoneTexte 22">
            <a:extLst>
              <a:ext uri="{FF2B5EF4-FFF2-40B4-BE49-F238E27FC236}">
                <a16:creationId xmlns:a16="http://schemas.microsoft.com/office/drawing/2014/main" id="{F2B32096-FF9B-41BE-81F6-70356F142E8C}"/>
              </a:ext>
            </a:extLst>
          </xdr:cNvPr>
          <xdr:cNvSpPr txBox="1"/>
        </xdr:nvSpPr>
        <xdr:spPr>
          <a:xfrm>
            <a:off x="11525303" y="8203817"/>
            <a:ext cx="594360" cy="252436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03E78F58-502A-4138-B5CA-D5952D427DB2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S1 C3</a:t>
            </a:fld>
            <a:endParaRPr lang="fr-FR" sz="1200" b="1" kern="1200"/>
          </a:p>
        </xdr:txBody>
      </xdr:sp>
      <xdr:sp macro="" textlink="$Q$14">
        <xdr:nvSpPr>
          <xdr:cNvPr id="24" name="ZoneTexte 23">
            <a:extLst>
              <a:ext uri="{FF2B5EF4-FFF2-40B4-BE49-F238E27FC236}">
                <a16:creationId xmlns:a16="http://schemas.microsoft.com/office/drawing/2014/main" id="{41B4FE5D-A97F-4CD2-A10C-70D39EE85E08}"/>
              </a:ext>
            </a:extLst>
          </xdr:cNvPr>
          <xdr:cNvSpPr txBox="1"/>
        </xdr:nvSpPr>
        <xdr:spPr>
          <a:xfrm>
            <a:off x="14878104" y="9640023"/>
            <a:ext cx="594360" cy="252436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359F8AF-309C-44D5-841F-79F11820166A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S2 C3</a:t>
            </a:fld>
            <a:endParaRPr lang="fr-FR" sz="1200" b="1" kern="1200"/>
          </a:p>
        </xdr:txBody>
      </xdr:sp>
      <xdr:sp macro="" textlink="$Q$10">
        <xdr:nvSpPr>
          <xdr:cNvPr id="25" name="ZoneTexte 24">
            <a:extLst>
              <a:ext uri="{FF2B5EF4-FFF2-40B4-BE49-F238E27FC236}">
                <a16:creationId xmlns:a16="http://schemas.microsoft.com/office/drawing/2014/main" id="{A6C414D0-0711-40B4-8716-F68DCCFAC6A1}"/>
              </a:ext>
            </a:extLst>
          </xdr:cNvPr>
          <xdr:cNvSpPr txBox="1"/>
        </xdr:nvSpPr>
        <xdr:spPr>
          <a:xfrm>
            <a:off x="14889480" y="8186606"/>
            <a:ext cx="594360" cy="252436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6F1B27B-10A6-4881-BC16-BBFB9D3BF47F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S1 C2</a:t>
            </a:fld>
            <a:endParaRPr lang="fr-FR" sz="1200" b="1" kern="1200"/>
          </a:p>
        </xdr:txBody>
      </xdr:sp>
      <xdr:sp macro="" textlink="$Q$12">
        <xdr:nvSpPr>
          <xdr:cNvPr id="27" name="ZoneTexte 26">
            <a:extLst>
              <a:ext uri="{FF2B5EF4-FFF2-40B4-BE49-F238E27FC236}">
                <a16:creationId xmlns:a16="http://schemas.microsoft.com/office/drawing/2014/main" id="{4F1CAE01-4AED-4602-B755-DFD3DCE17D0E}"/>
              </a:ext>
            </a:extLst>
          </xdr:cNvPr>
          <xdr:cNvSpPr txBox="1"/>
        </xdr:nvSpPr>
        <xdr:spPr>
          <a:xfrm>
            <a:off x="13213080" y="10408165"/>
            <a:ext cx="594360" cy="252436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873F38A-EF6E-480A-AA00-D1504876D4BF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S2 C1</a:t>
            </a:fld>
            <a:endParaRPr lang="fr-FR" sz="1200" b="1" kern="1200"/>
          </a:p>
        </xdr:txBody>
      </xdr:sp>
      <xdr:sp macro="" textlink="$Q$13">
        <xdr:nvSpPr>
          <xdr:cNvPr id="28" name="ZoneTexte 27">
            <a:extLst>
              <a:ext uri="{FF2B5EF4-FFF2-40B4-BE49-F238E27FC236}">
                <a16:creationId xmlns:a16="http://schemas.microsoft.com/office/drawing/2014/main" id="{82A148B0-4276-4F93-932D-F0F3DE93917B}"/>
              </a:ext>
            </a:extLst>
          </xdr:cNvPr>
          <xdr:cNvSpPr txBox="1"/>
        </xdr:nvSpPr>
        <xdr:spPr>
          <a:xfrm>
            <a:off x="11523265" y="9641993"/>
            <a:ext cx="594360" cy="252436"/>
          </a:xfrm>
          <a:prstGeom prst="roundRect">
            <a:avLst/>
          </a:prstGeom>
          <a:solidFill>
            <a:schemeClr val="bg2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E5BAC37-A2F6-4179-A67E-27453A9B61F0}" type="TxLink">
              <a:rPr lang="en-US" sz="1200" b="1" i="0" u="none" strike="noStrike" kern="12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l"/>
              <a:t>S2 C2</a:t>
            </a:fld>
            <a:endParaRPr lang="fr-FR" sz="1200" b="1" kern="1200"/>
          </a:p>
        </xdr:txBody>
      </xdr:sp>
    </xdr:grpSp>
    <xdr:clientData/>
  </xdr:twoCellAnchor>
  <xdr:twoCellAnchor>
    <xdr:from>
      <xdr:col>1</xdr:col>
      <xdr:colOff>5440680</xdr:colOff>
      <xdr:row>36</xdr:row>
      <xdr:rowOff>91440</xdr:rowOff>
    </xdr:from>
    <xdr:to>
      <xdr:col>3</xdr:col>
      <xdr:colOff>2192563</xdr:colOff>
      <xdr:row>38</xdr:row>
      <xdr:rowOff>117114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86CC881A-C6F7-482A-82F1-2E312A977CBA}"/>
            </a:ext>
          </a:extLst>
        </xdr:cNvPr>
        <xdr:cNvSpPr txBox="1"/>
      </xdr:nvSpPr>
      <xdr:spPr>
        <a:xfrm>
          <a:off x="10408920" y="6934200"/>
          <a:ext cx="4509043" cy="391434"/>
        </a:xfrm>
        <a:prstGeom prst="round2Same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800" b="0" i="0" u="none" strike="noStrike" kern="1200">
              <a:solidFill>
                <a:schemeClr val="bg1"/>
              </a:solidFill>
              <a:latin typeface="Aptos Narrow" panose="020B0004020202020204" pitchFamily="34" charset="0"/>
              <a:ea typeface="Calibri"/>
              <a:cs typeface="Calibri"/>
            </a:rPr>
            <a:t>Moyennes</a:t>
          </a:r>
          <a:r>
            <a:rPr lang="en-US" sz="1800" b="0" i="0" u="none" strike="noStrike" kern="1200" baseline="0">
              <a:solidFill>
                <a:schemeClr val="bg1"/>
              </a:solidFill>
              <a:latin typeface="Aptos Narrow" panose="020B0004020202020204" pitchFamily="34" charset="0"/>
              <a:ea typeface="Calibri"/>
              <a:cs typeface="Calibri"/>
            </a:rPr>
            <a:t> des compétences- Eleve vs Classe</a:t>
          </a:r>
          <a:endParaRPr lang="en-US" sz="1800" b="0" i="0" u="none" strike="noStrike" kern="1200">
            <a:solidFill>
              <a:schemeClr val="bg1"/>
            </a:solidFill>
            <a:latin typeface="Aptos Narrow" panose="020B0004020202020204" pitchFamily="34" charset="0"/>
            <a:ea typeface="Calibri"/>
            <a:cs typeface="Calibri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2:J64"/>
  <sheetViews>
    <sheetView topLeftCell="A10" zoomScale="80" zoomScaleNormal="80" workbookViewId="0">
      <selection activeCell="F15" sqref="F15"/>
    </sheetView>
  </sheetViews>
  <sheetFormatPr baseColWidth="10" defaultColWidth="47.44140625" defaultRowHeight="14.4" x14ac:dyDescent="0.3"/>
  <cols>
    <col min="1" max="1" width="41.44140625" style="12" bestFit="1" customWidth="1"/>
    <col min="2" max="2" width="77" bestFit="1" customWidth="1"/>
    <col min="3" max="3" width="18.77734375" style="13" bestFit="1" customWidth="1"/>
    <col min="4" max="4" width="18.109375" bestFit="1" customWidth="1"/>
    <col min="5" max="5" width="6.5546875" bestFit="1" customWidth="1"/>
    <col min="6" max="7" width="6.88671875" bestFit="1" customWidth="1"/>
    <col min="8" max="8" width="16.77734375" bestFit="1" customWidth="1"/>
    <col min="9" max="9" width="5.6640625" bestFit="1" customWidth="1"/>
    <col min="10" max="10" width="64.33203125" bestFit="1" customWidth="1"/>
  </cols>
  <sheetData>
    <row r="2" spans="1:8" x14ac:dyDescent="0.3">
      <c r="A2" s="12" t="s">
        <v>56</v>
      </c>
    </row>
    <row r="3" spans="1:8" x14ac:dyDescent="0.3">
      <c r="A3" s="1" t="s">
        <v>47</v>
      </c>
      <c r="B3" s="1" t="s">
        <v>44</v>
      </c>
      <c r="H3" s="59"/>
    </row>
    <row r="4" spans="1:8" x14ac:dyDescent="0.3">
      <c r="A4" s="52">
        <v>0</v>
      </c>
      <c r="B4" s="14">
        <f>IF(A4&gt;=6, (0.2) *( A4 - 5), 0)</f>
        <v>0</v>
      </c>
    </row>
    <row r="5" spans="1:8" x14ac:dyDescent="0.3">
      <c r="A5" s="15"/>
      <c r="B5" s="16"/>
      <c r="D5" s="17"/>
    </row>
    <row r="6" spans="1:8" x14ac:dyDescent="0.3">
      <c r="A6" s="15"/>
      <c r="B6" s="2"/>
    </row>
    <row r="7" spans="1:8" x14ac:dyDescent="0.3">
      <c r="A7" s="18"/>
      <c r="B7" s="19" t="s">
        <v>50</v>
      </c>
    </row>
    <row r="8" spans="1:8" x14ac:dyDescent="0.3">
      <c r="B8" t="str">
        <f>IF(COUNTIF(E13:G63,"ABID")&gt;=1,"Le jury peut décider de transformer ABID en 0","")</f>
        <v/>
      </c>
    </row>
    <row r="9" spans="1:8" x14ac:dyDescent="0.3">
      <c r="A9"/>
    </row>
    <row r="11" spans="1:8" x14ac:dyDescent="0.3">
      <c r="D11" s="76" t="s">
        <v>45</v>
      </c>
      <c r="E11" s="76"/>
      <c r="F11" s="76"/>
      <c r="G11" s="76"/>
    </row>
    <row r="12" spans="1:8" ht="18" x14ac:dyDescent="0.35">
      <c r="A12" s="83" t="s">
        <v>0</v>
      </c>
      <c r="B12" s="83"/>
      <c r="C12" s="83"/>
      <c r="D12" s="1" t="s">
        <v>40</v>
      </c>
      <c r="E12" s="1" t="str">
        <f>IF(OR(E13,E14,E15,E16,E17,E18,E20,E21,E22,E23,E24,E26,E27,E28,E29,E30,E31,E32,E35,E36,E36,E37,E38,E40,E39,E40,E41,E42,E43,E45,E46,E47,E48,E49,E50,E51,E52,E53,E54,E56,E57,E58,E59,E60,E61,E62,E63="*"),"Note 1","")</f>
        <v>Note 1</v>
      </c>
      <c r="F12" s="1" t="str">
        <f>IF(OR(F13,F14,F15,F16,F17,F18,F20,F21,F22,F23,F24,F26,F27,F28,F29,F30,F31,F32,F35,F36,F36,F37,F38,F39,F40,F41,F42,F43,F45,F46,F47,F48,F49,F50,F51,F52,F53,F54,F56,F57,F58,F59,F60,F61,F62,F63="*"),"Note 2","")</f>
        <v>Note 2</v>
      </c>
      <c r="G12" s="57" t="str">
        <f>IF(OR(G13,G14,G15,G16,G17,G18,G20,G21,G22,G23,G24,G26,G27,G28,G29,G30,G31,G32,G35,G36,G36,G37,G38,G39,G40,G41,G42,G43,G45,G46,G47,G48,G49,G50,G51,G52,G53,G54,G56,G57,G58,G59,G60,G61,G62,G63="*"),"Note 3","")</f>
        <v>Note 3</v>
      </c>
      <c r="H12" s="1" t="s">
        <v>57</v>
      </c>
    </row>
    <row r="13" spans="1:8" ht="15" customHeight="1" x14ac:dyDescent="0.3">
      <c r="A13" s="84" t="s">
        <v>1</v>
      </c>
      <c r="B13" s="20" t="s">
        <v>3</v>
      </c>
      <c r="C13" s="21">
        <v>15</v>
      </c>
      <c r="D13" s="61">
        <f>IF(COUNTIF(E$13:G$63, "*ABI*") &gt; 0, "Moyenne Bloquée",IFERROR(AVERAGE(E13:G13),""))</f>
        <v>11.335000000000001</v>
      </c>
      <c r="E13" s="3">
        <v>11.335000000000001</v>
      </c>
      <c r="F13" s="3"/>
      <c r="G13" s="58"/>
      <c r="H13" s="72"/>
    </row>
    <row r="14" spans="1:8" ht="15.6" x14ac:dyDescent="0.3">
      <c r="A14" s="85"/>
      <c r="B14" s="20" t="s">
        <v>4</v>
      </c>
      <c r="C14" s="21">
        <v>20</v>
      </c>
      <c r="D14" s="60">
        <f>IF(COUNTIF(E$13:G$63, "*ABI*") &gt; 0, "Moyenne Bloquée",IFERROR(AVERAGE(E14:G14),""))</f>
        <v>10.25</v>
      </c>
      <c r="E14" s="3">
        <v>12.5</v>
      </c>
      <c r="F14" s="3">
        <v>8</v>
      </c>
      <c r="G14" s="58"/>
      <c r="H14" s="72"/>
    </row>
    <row r="15" spans="1:8" ht="15.6" x14ac:dyDescent="0.3">
      <c r="A15" s="85"/>
      <c r="B15" s="20" t="s">
        <v>2</v>
      </c>
      <c r="C15" s="21">
        <v>20</v>
      </c>
      <c r="D15" s="60">
        <f>IF(COUNTIF(E$13:G$63, "*ABI*") &gt; 0, "Moyenne Bloquée",IFERROR(AVERAGE(E15:G15),""))</f>
        <v>11.833333333333334</v>
      </c>
      <c r="E15" s="3">
        <v>16.5</v>
      </c>
      <c r="F15" s="3">
        <v>10</v>
      </c>
      <c r="G15" s="58">
        <v>9</v>
      </c>
      <c r="H15" s="72">
        <v>9</v>
      </c>
    </row>
    <row r="16" spans="1:8" ht="15.6" x14ac:dyDescent="0.3">
      <c r="A16" s="85"/>
      <c r="B16" s="22" t="s">
        <v>37</v>
      </c>
      <c r="C16" s="21">
        <v>5</v>
      </c>
      <c r="D16" s="60">
        <f t="shared" ref="D16:D17" si="0">IF(COUNTIF(E$13:G$63, "*ABI*") &gt; 0, "Moyenne Bloquée",IFERROR(AVERAGE(E16:G16),""))</f>
        <v>14.5</v>
      </c>
      <c r="E16" s="3">
        <v>16</v>
      </c>
      <c r="F16" s="3">
        <v>13</v>
      </c>
      <c r="G16" s="58"/>
      <c r="H16" s="72"/>
    </row>
    <row r="17" spans="1:10" ht="15.6" x14ac:dyDescent="0.3">
      <c r="A17" s="85"/>
      <c r="B17" s="20" t="s">
        <v>13</v>
      </c>
      <c r="C17" s="21">
        <v>30</v>
      </c>
      <c r="D17" s="60">
        <f t="shared" si="0"/>
        <v>13.5</v>
      </c>
      <c r="E17" s="3">
        <v>13.5</v>
      </c>
      <c r="F17" s="3"/>
      <c r="G17" s="58"/>
      <c r="H17" s="72"/>
    </row>
    <row r="18" spans="1:10" ht="16.2" thickBot="1" x14ac:dyDescent="0.35">
      <c r="A18" s="86"/>
      <c r="B18" s="20" t="s">
        <v>14</v>
      </c>
      <c r="C18" s="23">
        <v>10</v>
      </c>
      <c r="D18" s="62">
        <f>IF(COUNTIF(E$13:G$63, "*ABI*") &gt; 0, "Moyenne Bloquée",IFERROR(AVERAGE(E18:G18),""))</f>
        <v>17</v>
      </c>
      <c r="E18" s="3">
        <v>17</v>
      </c>
      <c r="F18" s="3"/>
      <c r="G18" s="58"/>
      <c r="H18" s="73"/>
    </row>
    <row r="19" spans="1:10" ht="16.2" thickBot="1" x14ac:dyDescent="0.35">
      <c r="A19" s="24"/>
      <c r="B19" s="25"/>
      <c r="C19" s="26" t="s">
        <v>41</v>
      </c>
      <c r="D19" s="63" cm="1">
        <f t="array" ref="D19">IF(SUM(IF(D13:D18&lt;&gt;"", C13:C18, 0))=0,"",SUMPRODUCT(C13:C18,D13:D18)/SUM(IF(D13:D18&lt;&gt;"",C13:C18,0)))</f>
        <v>12.591916666666666</v>
      </c>
      <c r="E19" s="4"/>
      <c r="F19" s="4"/>
      <c r="G19" s="4"/>
      <c r="H19" s="69" cm="1">
        <f t="array" ref="H19">IF(SUM(IF(H13:H18&lt;&gt;"", C13:C18, 0))=0,"",SUMPRODUCT(C13:C18,H13:H18)/SUM(IF(H13:H18&lt;&gt;"",C13:C18,0)))</f>
        <v>9</v>
      </c>
    </row>
    <row r="20" spans="1:10" ht="15" customHeight="1" x14ac:dyDescent="0.3">
      <c r="A20" s="87" t="s">
        <v>5</v>
      </c>
      <c r="B20" s="27" t="s">
        <v>6</v>
      </c>
      <c r="C20" s="28">
        <v>20</v>
      </c>
      <c r="D20" s="64">
        <f>IF(COUNTIF(E$13:G$63, "*ABI*") &gt; 0, "Moyenne Bloquée",IFERROR(AVERAGE(E20:G20), ""))</f>
        <v>8.75</v>
      </c>
      <c r="E20" s="3">
        <v>8</v>
      </c>
      <c r="F20" s="3">
        <v>9.5</v>
      </c>
      <c r="G20" s="58"/>
      <c r="H20" s="74"/>
    </row>
    <row r="21" spans="1:10" ht="15" customHeight="1" x14ac:dyDescent="0.3">
      <c r="A21" s="88"/>
      <c r="B21" s="27" t="s">
        <v>7</v>
      </c>
      <c r="C21" s="29">
        <v>15</v>
      </c>
      <c r="D21" s="60">
        <f t="shared" ref="D21:D24" si="1">IF(COUNTIF(E$13:G$63, "*ABI*") &gt; 0, "Moyenne Bloquée",IFERROR(AVERAGE(E21:G21), ""))</f>
        <v>10.75</v>
      </c>
      <c r="E21" s="3">
        <v>10.5</v>
      </c>
      <c r="F21" s="3">
        <v>11</v>
      </c>
      <c r="G21" s="58"/>
      <c r="H21" s="72"/>
    </row>
    <row r="22" spans="1:10" ht="15.6" x14ac:dyDescent="0.3">
      <c r="A22" s="88"/>
      <c r="B22" s="27" t="s">
        <v>8</v>
      </c>
      <c r="C22" s="29">
        <v>20</v>
      </c>
      <c r="D22" s="60">
        <f t="shared" si="1"/>
        <v>11.5</v>
      </c>
      <c r="E22" s="3">
        <v>15</v>
      </c>
      <c r="F22" s="3" t="s">
        <v>66</v>
      </c>
      <c r="G22" s="58">
        <v>8</v>
      </c>
      <c r="H22" s="72"/>
    </row>
    <row r="23" spans="1:10" ht="15.6" x14ac:dyDescent="0.3">
      <c r="A23" s="88"/>
      <c r="B23" s="22" t="s">
        <v>37</v>
      </c>
      <c r="C23" s="29">
        <v>5</v>
      </c>
      <c r="D23" s="60">
        <f t="shared" si="1"/>
        <v>14.5</v>
      </c>
      <c r="E23" s="3">
        <v>16</v>
      </c>
      <c r="F23" s="3">
        <v>13</v>
      </c>
      <c r="G23" s="58"/>
      <c r="H23" s="72"/>
    </row>
    <row r="24" spans="1:10" ht="29.4" thickBot="1" x14ac:dyDescent="0.35">
      <c r="A24" s="89"/>
      <c r="B24" s="27" t="s">
        <v>15</v>
      </c>
      <c r="C24" s="30">
        <v>40</v>
      </c>
      <c r="D24" s="62">
        <f t="shared" si="1"/>
        <v>12.4</v>
      </c>
      <c r="E24" s="3">
        <v>12.4</v>
      </c>
      <c r="F24" s="3"/>
      <c r="G24" s="58"/>
      <c r="H24" s="73">
        <v>11</v>
      </c>
    </row>
    <row r="25" spans="1:10" ht="16.2" thickBot="1" x14ac:dyDescent="0.35">
      <c r="A25" s="24"/>
      <c r="C25" s="31" t="s">
        <v>42</v>
      </c>
      <c r="D25" s="65" cm="1">
        <f t="array" ref="D25">IF(SUM(IF(D20:D24&lt;&gt;"", C20:C24, 0))=0,"",SUMPRODUCT(C20:C24,D20:D24)/SUM(IF(D20:D24&lt;&gt;"",C20:C24,0)))</f>
        <v>11.3475</v>
      </c>
      <c r="E25" s="5"/>
      <c r="F25" s="5"/>
      <c r="G25" s="5"/>
      <c r="H25" s="69" cm="1">
        <f t="array" ref="H25">IF(SUM(IF(H20:H24&lt;&gt;"", C20:C24, 0))=0,"",SUMPRODUCT(C20:C24,H20:H24)/SUM(IF(H20:H24&lt;&gt;"",C20:C24,0)))</f>
        <v>11</v>
      </c>
    </row>
    <row r="26" spans="1:10" ht="15" customHeight="1" x14ac:dyDescent="0.3">
      <c r="A26" s="94" t="s">
        <v>9</v>
      </c>
      <c r="B26" s="32" t="s">
        <v>10</v>
      </c>
      <c r="C26" s="33">
        <v>15</v>
      </c>
      <c r="D26" s="64">
        <f>IF(COUNTIF(E$13:G$63, "*ABI*") &gt; 0, "Moyenne Bloquée",IFERROR(AVERAGE(E26:G26), ""))</f>
        <v>17.25</v>
      </c>
      <c r="E26" s="3">
        <v>17.25</v>
      </c>
      <c r="F26" s="3"/>
      <c r="G26" s="58"/>
      <c r="H26" s="74"/>
      <c r="J26" s="34"/>
    </row>
    <row r="27" spans="1:10" ht="15.6" x14ac:dyDescent="0.3">
      <c r="A27" s="95"/>
      <c r="B27" s="32" t="s">
        <v>11</v>
      </c>
      <c r="C27" s="35">
        <v>15</v>
      </c>
      <c r="D27" s="60">
        <f>IF(COUNTIF(E$13:G$63, "*ABI*") &gt; 0, "Moyenne Bloquée",IFERROR(AVERAGE(E27:G27), ""))</f>
        <v>12.6</v>
      </c>
      <c r="E27" s="3">
        <v>12.2</v>
      </c>
      <c r="F27" s="3">
        <v>13</v>
      </c>
      <c r="G27" s="58"/>
      <c r="H27" s="72"/>
    </row>
    <row r="28" spans="1:10" ht="15.6" x14ac:dyDescent="0.3">
      <c r="A28" s="95"/>
      <c r="B28" s="32" t="s">
        <v>12</v>
      </c>
      <c r="C28" s="35">
        <v>25</v>
      </c>
      <c r="D28" s="60">
        <f t="shared" ref="D28:D32" si="2">IF(COUNTIF(E$13:G$63, "*ABI*") &gt; 0, "Moyenne Bloquée",IFERROR(AVERAGE(E28:G28), ""))</f>
        <v>12.04</v>
      </c>
      <c r="E28" s="3">
        <v>12.04</v>
      </c>
      <c r="F28" s="3"/>
      <c r="G28" s="58"/>
      <c r="H28" s="72"/>
    </row>
    <row r="29" spans="1:10" ht="15.6" x14ac:dyDescent="0.3">
      <c r="A29" s="95"/>
      <c r="B29" s="22" t="s">
        <v>37</v>
      </c>
      <c r="C29" s="35">
        <v>5</v>
      </c>
      <c r="D29" s="60">
        <f t="shared" si="2"/>
        <v>14.5</v>
      </c>
      <c r="E29" s="3">
        <v>16</v>
      </c>
      <c r="F29" s="3">
        <v>13</v>
      </c>
      <c r="G29" s="58"/>
      <c r="H29" s="72"/>
    </row>
    <row r="30" spans="1:10" ht="15.6" x14ac:dyDescent="0.3">
      <c r="A30" s="95"/>
      <c r="B30" s="32" t="s">
        <v>16</v>
      </c>
      <c r="C30" s="35">
        <v>15</v>
      </c>
      <c r="D30" s="60">
        <f t="shared" si="2"/>
        <v>14.5</v>
      </c>
      <c r="E30" s="3">
        <v>14.5</v>
      </c>
      <c r="F30" s="3"/>
      <c r="G30" s="58"/>
      <c r="H30" s="72"/>
    </row>
    <row r="31" spans="1:10" ht="15.6" x14ac:dyDescent="0.3">
      <c r="A31" s="95"/>
      <c r="B31" s="32" t="s">
        <v>17</v>
      </c>
      <c r="C31" s="35">
        <v>10</v>
      </c>
      <c r="D31" s="60">
        <f t="shared" si="2"/>
        <v>14.824999999999999</v>
      </c>
      <c r="E31" s="3">
        <v>14.824999999999999</v>
      </c>
      <c r="F31" s="3"/>
      <c r="G31" s="58"/>
      <c r="H31" s="72">
        <v>15</v>
      </c>
    </row>
    <row r="32" spans="1:10" ht="16.2" thickBot="1" x14ac:dyDescent="0.35">
      <c r="A32" s="95"/>
      <c r="B32" s="36" t="s">
        <v>18</v>
      </c>
      <c r="C32" s="37">
        <v>15</v>
      </c>
      <c r="D32" s="62">
        <f t="shared" si="2"/>
        <v>11.5</v>
      </c>
      <c r="E32" s="3">
        <v>11.5</v>
      </c>
      <c r="F32" s="3"/>
      <c r="G32" s="58"/>
      <c r="H32" s="73"/>
    </row>
    <row r="33" spans="1:8" ht="16.2" thickBot="1" x14ac:dyDescent="0.35">
      <c r="A33" s="38"/>
      <c r="C33" s="39" t="s">
        <v>43</v>
      </c>
      <c r="D33" s="66" cm="1">
        <f t="array" ref="D33">IF(SUM(IF(D26:D32&lt;&gt;"", C26:C32, 0))=0,"",SUMPRODUCT(C26:C32,D26:D32)/SUM(IF(D26:D32&lt;&gt;"",C26:C32,0)))</f>
        <v>13.595000000000001</v>
      </c>
      <c r="E33" s="6"/>
      <c r="F33" s="6"/>
      <c r="G33" s="6"/>
      <c r="H33" s="69"/>
    </row>
    <row r="34" spans="1:8" ht="18" x14ac:dyDescent="0.35">
      <c r="A34" s="90" t="s">
        <v>19</v>
      </c>
      <c r="B34" s="90"/>
      <c r="C34" s="91"/>
      <c r="D34" s="67"/>
      <c r="E34" s="7"/>
      <c r="F34" s="7"/>
      <c r="G34" s="7"/>
      <c r="H34" s="75"/>
    </row>
    <row r="35" spans="1:8" ht="15" customHeight="1" x14ac:dyDescent="0.3">
      <c r="A35" s="92" t="s">
        <v>1</v>
      </c>
      <c r="B35" s="40" t="s">
        <v>23</v>
      </c>
      <c r="C35" s="41">
        <v>10</v>
      </c>
      <c r="D35" s="60" t="str">
        <f>IF(COUNTIF(E$13:G$63, "*ABI*") &gt; 0, "Moyenne Bloquée",IFERROR(AVERAGE(E35:G35), ""))</f>
        <v/>
      </c>
      <c r="E35" s="3"/>
      <c r="F35" s="3"/>
      <c r="G35" s="58"/>
      <c r="H35" s="72"/>
    </row>
    <row r="36" spans="1:8" ht="15.6" x14ac:dyDescent="0.3">
      <c r="A36" s="92"/>
      <c r="B36" s="42" t="s">
        <v>20</v>
      </c>
      <c r="C36" s="21">
        <v>15</v>
      </c>
      <c r="D36" s="60">
        <f>IF(COUNTIF(E$13:G$63, "*ABI*") &gt; 0, "Moyenne Bloquée",IFERROR(AVERAGE(E36:G36), ""))</f>
        <v>10.5</v>
      </c>
      <c r="E36" s="3">
        <v>10</v>
      </c>
      <c r="F36" s="3">
        <v>11</v>
      </c>
      <c r="G36" s="58"/>
      <c r="H36" s="72"/>
    </row>
    <row r="37" spans="1:8" ht="15.6" x14ac:dyDescent="0.3">
      <c r="A37" s="92"/>
      <c r="B37" s="42" t="s">
        <v>21</v>
      </c>
      <c r="C37" s="21">
        <v>15</v>
      </c>
      <c r="D37" s="60">
        <f t="shared" ref="D37:D43" si="3">IF(COUNTIF(E$13:G$63, "*ABI*") &gt; 0, "Moyenne Bloquée",IFERROR(AVERAGE(E37:G37), ""))</f>
        <v>9</v>
      </c>
      <c r="E37" s="3">
        <v>9</v>
      </c>
      <c r="F37" s="3"/>
      <c r="G37" s="58"/>
      <c r="H37" s="72"/>
    </row>
    <row r="38" spans="1:8" ht="15.6" x14ac:dyDescent="0.3">
      <c r="A38" s="92"/>
      <c r="B38" s="42" t="s">
        <v>22</v>
      </c>
      <c r="C38" s="21">
        <v>15</v>
      </c>
      <c r="D38" s="60" t="str">
        <f t="shared" si="3"/>
        <v/>
      </c>
      <c r="E38" s="3"/>
      <c r="F38" s="3"/>
      <c r="G38" s="58"/>
      <c r="H38" s="72"/>
    </row>
    <row r="39" spans="1:8" ht="15.6" x14ac:dyDescent="0.3">
      <c r="A39" s="92"/>
      <c r="B39" s="22" t="s">
        <v>38</v>
      </c>
      <c r="C39" s="21">
        <v>5</v>
      </c>
      <c r="D39" s="60">
        <f t="shared" si="3"/>
        <v>14</v>
      </c>
      <c r="E39" s="3">
        <v>14</v>
      </c>
      <c r="F39" s="3">
        <v>14</v>
      </c>
      <c r="G39" s="58"/>
      <c r="H39" s="72"/>
    </row>
    <row r="40" spans="1:8" ht="15.9" customHeight="1" x14ac:dyDescent="0.3">
      <c r="A40" s="92"/>
      <c r="B40" s="42" t="s">
        <v>31</v>
      </c>
      <c r="C40" s="21">
        <v>10</v>
      </c>
      <c r="D40" s="60">
        <f t="shared" si="3"/>
        <v>12</v>
      </c>
      <c r="E40" s="3">
        <v>12</v>
      </c>
      <c r="F40" s="3"/>
      <c r="G40" s="58"/>
      <c r="H40" s="72">
        <v>12</v>
      </c>
    </row>
    <row r="41" spans="1:8" ht="15.9" customHeight="1" x14ac:dyDescent="0.3">
      <c r="A41" s="92"/>
      <c r="B41" s="43" t="s">
        <v>34</v>
      </c>
      <c r="C41" s="21">
        <v>5</v>
      </c>
      <c r="D41" s="60">
        <f t="shared" si="3"/>
        <v>12.5</v>
      </c>
      <c r="E41" s="3">
        <v>12.5</v>
      </c>
      <c r="F41" s="3"/>
      <c r="G41" s="58"/>
      <c r="H41" s="72"/>
    </row>
    <row r="42" spans="1:8" ht="15.6" x14ac:dyDescent="0.3">
      <c r="A42" s="92"/>
      <c r="B42" s="43" t="s">
        <v>36</v>
      </c>
      <c r="C42" s="21">
        <v>20</v>
      </c>
      <c r="D42" s="60" t="str">
        <f t="shared" si="3"/>
        <v/>
      </c>
      <c r="E42" s="3"/>
      <c r="F42" s="3"/>
      <c r="G42" s="58"/>
      <c r="H42" s="72"/>
    </row>
    <row r="43" spans="1:8" ht="16.2" thickBot="1" x14ac:dyDescent="0.35">
      <c r="A43" s="93"/>
      <c r="B43" s="22" t="s">
        <v>39</v>
      </c>
      <c r="C43" s="23">
        <v>5</v>
      </c>
      <c r="D43" s="62" t="str">
        <f t="shared" si="3"/>
        <v/>
      </c>
      <c r="E43" s="3"/>
      <c r="F43" s="3"/>
      <c r="G43" s="58"/>
      <c r="H43" s="73"/>
    </row>
    <row r="44" spans="1:8" ht="16.2" thickBot="1" x14ac:dyDescent="0.35">
      <c r="A44" s="24"/>
      <c r="C44" s="31" t="s">
        <v>41</v>
      </c>
      <c r="D44" s="68" cm="1">
        <f t="array" ref="D44">IF(SUM(IF(D35:D43&lt;&gt;"", C35:C43, 0))=0,"",SUMPRODUCT(C35:C43,D35:D43)/SUM(IF(D35:D43&lt;&gt;"",C35:C43,0)))</f>
        <v>10.9</v>
      </c>
      <c r="E44" s="5"/>
      <c r="F44" s="5"/>
      <c r="G44" s="5"/>
      <c r="H44" s="69"/>
    </row>
    <row r="45" spans="1:8" ht="15" customHeight="1" x14ac:dyDescent="0.3">
      <c r="A45" s="77" t="s">
        <v>5</v>
      </c>
      <c r="B45" s="44" t="s">
        <v>24</v>
      </c>
      <c r="C45" s="45">
        <v>10</v>
      </c>
      <c r="D45" s="64">
        <f>IF(COUNTIF(E$13:G$63, "*ABI*") &gt; 0, "Moyenne Bloquée",IFERROR(AVERAGE(E45:G45), ""))</f>
        <v>8.5</v>
      </c>
      <c r="E45" s="3">
        <v>8.5</v>
      </c>
      <c r="F45" s="3"/>
      <c r="G45" s="58"/>
      <c r="H45" s="74"/>
    </row>
    <row r="46" spans="1:8" ht="15.6" x14ac:dyDescent="0.3">
      <c r="A46" s="78"/>
      <c r="B46" s="44" t="s">
        <v>26</v>
      </c>
      <c r="C46" s="46">
        <v>15</v>
      </c>
      <c r="D46" s="60">
        <f t="shared" ref="D46:D54" si="4">IF(COUNTIF(E$13:G$63, "*ABI*") &gt; 0, "Moyenne Bloquée",IFERROR(AVERAGE(E46:G46), ""))</f>
        <v>5.25</v>
      </c>
      <c r="E46" s="3">
        <v>6</v>
      </c>
      <c r="F46" s="3">
        <v>4.5</v>
      </c>
      <c r="G46" s="58"/>
      <c r="H46" s="72"/>
    </row>
    <row r="47" spans="1:8" ht="15.6" x14ac:dyDescent="0.3">
      <c r="A47" s="78"/>
      <c r="B47" s="44" t="s">
        <v>27</v>
      </c>
      <c r="C47" s="46">
        <v>15</v>
      </c>
      <c r="D47" s="60">
        <f t="shared" si="4"/>
        <v>6.5</v>
      </c>
      <c r="E47" s="3">
        <v>6.5</v>
      </c>
      <c r="F47" s="3"/>
      <c r="G47" s="58"/>
      <c r="H47" s="72"/>
    </row>
    <row r="48" spans="1:8" ht="15.6" x14ac:dyDescent="0.3">
      <c r="A48" s="78"/>
      <c r="B48" s="44" t="s">
        <v>25</v>
      </c>
      <c r="C48" s="46">
        <v>15</v>
      </c>
      <c r="D48" s="60" t="str">
        <f t="shared" si="4"/>
        <v/>
      </c>
      <c r="E48" s="3"/>
      <c r="F48" s="3"/>
      <c r="G48" s="58"/>
      <c r="H48" s="72"/>
    </row>
    <row r="49" spans="1:8" ht="15.6" x14ac:dyDescent="0.3">
      <c r="A49" s="78"/>
      <c r="B49" s="22" t="s">
        <v>38</v>
      </c>
      <c r="C49" s="46">
        <v>5</v>
      </c>
      <c r="D49" s="60">
        <f t="shared" si="4"/>
        <v>14</v>
      </c>
      <c r="E49" s="3">
        <v>14</v>
      </c>
      <c r="F49" s="3">
        <v>14</v>
      </c>
      <c r="G49" s="58"/>
      <c r="H49" s="72"/>
    </row>
    <row r="50" spans="1:8" ht="15.6" x14ac:dyDescent="0.3">
      <c r="A50" s="78"/>
      <c r="B50" s="44" t="s">
        <v>32</v>
      </c>
      <c r="C50" s="46">
        <v>10</v>
      </c>
      <c r="D50" s="60" t="str">
        <f t="shared" si="4"/>
        <v/>
      </c>
      <c r="E50" s="3"/>
      <c r="F50" s="3"/>
      <c r="G50" s="58"/>
      <c r="H50" s="72"/>
    </row>
    <row r="51" spans="1:8" ht="15.6" x14ac:dyDescent="0.3">
      <c r="A51" s="78"/>
      <c r="B51" s="44" t="s">
        <v>33</v>
      </c>
      <c r="C51" s="46">
        <v>10</v>
      </c>
      <c r="D51" s="60">
        <f t="shared" si="4"/>
        <v>11</v>
      </c>
      <c r="E51" s="3">
        <v>11</v>
      </c>
      <c r="F51" s="3"/>
      <c r="G51" s="58"/>
      <c r="H51" s="72">
        <v>9.5</v>
      </c>
    </row>
    <row r="52" spans="1:8" ht="15.6" x14ac:dyDescent="0.3">
      <c r="A52" s="78"/>
      <c r="B52" s="43" t="s">
        <v>34</v>
      </c>
      <c r="C52" s="46">
        <v>5</v>
      </c>
      <c r="D52" s="60">
        <f t="shared" si="4"/>
        <v>12.5</v>
      </c>
      <c r="E52" s="3">
        <v>12.5</v>
      </c>
      <c r="F52" s="3"/>
      <c r="G52" s="58"/>
      <c r="H52" s="72"/>
    </row>
    <row r="53" spans="1:8" ht="15.6" x14ac:dyDescent="0.3">
      <c r="A53" s="78"/>
      <c r="B53" s="43" t="s">
        <v>36</v>
      </c>
      <c r="C53" s="46">
        <v>10</v>
      </c>
      <c r="D53" s="60" t="str">
        <f t="shared" si="4"/>
        <v/>
      </c>
      <c r="E53" s="3"/>
      <c r="F53" s="3"/>
      <c r="G53" s="58"/>
      <c r="H53" s="72"/>
    </row>
    <row r="54" spans="1:8" ht="16.2" thickBot="1" x14ac:dyDescent="0.35">
      <c r="A54" s="79"/>
      <c r="B54" s="22" t="s">
        <v>39</v>
      </c>
      <c r="C54" s="47">
        <v>5</v>
      </c>
      <c r="D54" s="62" t="str">
        <f t="shared" si="4"/>
        <v/>
      </c>
      <c r="E54" s="3"/>
      <c r="F54" s="3"/>
      <c r="G54" s="58"/>
      <c r="H54" s="73"/>
    </row>
    <row r="55" spans="1:8" ht="16.2" thickBot="1" x14ac:dyDescent="0.35">
      <c r="A55" s="24"/>
      <c r="C55" s="31" t="s">
        <v>42</v>
      </c>
      <c r="D55" s="68" cm="1">
        <f t="array" ref="D55">IF(SUM(IF(D45:D54&lt;&gt;"", C45:C54, 0))=0,"",SUMPRODUCT(C45:C54,D45:D54)/SUM(IF(D45:D54&lt;&gt;"",C45:C54,0)))</f>
        <v>8.3958333333333339</v>
      </c>
      <c r="E55" s="5"/>
      <c r="F55" s="5"/>
      <c r="G55" s="5"/>
      <c r="H55" s="69" cm="1">
        <f t="array" ref="H55">IF(SUM(IF(H45:H54&lt;&gt;"", C45:C54, 0))=0,"",SUMPRODUCT(C45:C54,H45:H54)/SUM(IF(H45:H54&lt;&gt;"",C45:C54,0)))</f>
        <v>9.5</v>
      </c>
    </row>
    <row r="56" spans="1:8" ht="15" customHeight="1" x14ac:dyDescent="0.3">
      <c r="A56" s="80" t="s">
        <v>9</v>
      </c>
      <c r="B56" s="32" t="s">
        <v>28</v>
      </c>
      <c r="C56" s="33">
        <v>15</v>
      </c>
      <c r="D56" s="64">
        <f>IF(COUNTIF(E$13:G$63, "*ABI*") &gt; 0, "Moyenne Bloquée",IFERROR(AVERAGE(E56:G56), ""))</f>
        <v>16</v>
      </c>
      <c r="E56" s="3">
        <v>16</v>
      </c>
      <c r="F56" s="3"/>
      <c r="G56" s="58"/>
      <c r="H56" s="74"/>
    </row>
    <row r="57" spans="1:8" ht="15.6" x14ac:dyDescent="0.3">
      <c r="A57" s="81"/>
      <c r="B57" s="32" t="s">
        <v>29</v>
      </c>
      <c r="C57" s="35">
        <v>15</v>
      </c>
      <c r="D57" s="60">
        <f t="shared" ref="D57:D63" si="5">IF(COUNTIF(E$13:G$63, "*ABI*") &gt; 0, "Moyenne Bloquée",IFERROR(AVERAGE(E57:G57), ""))</f>
        <v>13.925000000000001</v>
      </c>
      <c r="E57" s="3">
        <v>13.05</v>
      </c>
      <c r="F57" s="3">
        <v>14.8</v>
      </c>
      <c r="G57" s="58"/>
      <c r="H57" s="72"/>
    </row>
    <row r="58" spans="1:8" ht="15.6" x14ac:dyDescent="0.3">
      <c r="A58" s="81"/>
      <c r="B58" s="32" t="s">
        <v>30</v>
      </c>
      <c r="C58" s="35">
        <v>25</v>
      </c>
      <c r="D58" s="60">
        <f t="shared" si="5"/>
        <v>8.5</v>
      </c>
      <c r="E58" s="3">
        <v>8.5</v>
      </c>
      <c r="F58" s="3"/>
      <c r="G58" s="58"/>
      <c r="H58" s="72"/>
    </row>
    <row r="59" spans="1:8" ht="15.6" x14ac:dyDescent="0.3">
      <c r="A59" s="81"/>
      <c r="B59" s="22" t="s">
        <v>38</v>
      </c>
      <c r="C59" s="35">
        <v>5</v>
      </c>
      <c r="D59" s="60">
        <f t="shared" si="5"/>
        <v>14</v>
      </c>
      <c r="E59" s="3">
        <v>14</v>
      </c>
      <c r="F59" s="3">
        <v>14</v>
      </c>
      <c r="G59" s="58"/>
      <c r="H59" s="72"/>
    </row>
    <row r="60" spans="1:8" ht="15.6" x14ac:dyDescent="0.3">
      <c r="A60" s="81"/>
      <c r="B60" s="48" t="s">
        <v>34</v>
      </c>
      <c r="C60" s="35">
        <v>5</v>
      </c>
      <c r="D60" s="60">
        <f t="shared" si="5"/>
        <v>12.5</v>
      </c>
      <c r="E60" s="3">
        <v>12.5</v>
      </c>
      <c r="F60" s="3"/>
      <c r="G60" s="58"/>
      <c r="H60" s="72">
        <v>13.15</v>
      </c>
    </row>
    <row r="61" spans="1:8" ht="15.6" x14ac:dyDescent="0.3">
      <c r="A61" s="81"/>
      <c r="B61" s="32" t="s">
        <v>35</v>
      </c>
      <c r="C61" s="35">
        <v>10</v>
      </c>
      <c r="D61" s="60" t="str">
        <f t="shared" si="5"/>
        <v/>
      </c>
      <c r="E61" s="3"/>
      <c r="F61" s="3"/>
      <c r="G61" s="58"/>
      <c r="H61" s="72"/>
    </row>
    <row r="62" spans="1:8" ht="15.6" x14ac:dyDescent="0.3">
      <c r="A62" s="81"/>
      <c r="B62" s="43" t="s">
        <v>36</v>
      </c>
      <c r="C62" s="35">
        <v>20</v>
      </c>
      <c r="D62" s="60" t="str">
        <f t="shared" si="5"/>
        <v/>
      </c>
      <c r="E62" s="3"/>
      <c r="F62" s="3"/>
      <c r="G62" s="58"/>
      <c r="H62" s="72"/>
    </row>
    <row r="63" spans="1:8" ht="16.2" thickBot="1" x14ac:dyDescent="0.35">
      <c r="A63" s="82"/>
      <c r="B63" s="49" t="s">
        <v>39</v>
      </c>
      <c r="C63" s="37">
        <v>5</v>
      </c>
      <c r="D63" s="62" t="str">
        <f t="shared" si="5"/>
        <v/>
      </c>
      <c r="E63" s="3"/>
      <c r="F63" s="3"/>
      <c r="G63" s="58"/>
      <c r="H63" s="73"/>
    </row>
    <row r="64" spans="1:8" ht="16.2" thickBot="1" x14ac:dyDescent="0.35">
      <c r="C64" s="50" t="s">
        <v>43</v>
      </c>
      <c r="D64" s="66" cm="1">
        <f t="array" ref="D64">IF(SUM(IF(D56:D63&lt;&gt;"", C56:C63, 0))=0,"",SUMPRODUCT(C56:C63,D56:D63)/SUM(IF(D56:D63&lt;&gt;"",C56:C63,0)))</f>
        <v>12.213461538461539</v>
      </c>
      <c r="H64" s="69" cm="1">
        <f t="array" ref="H64">IF(SUM(IF(H56:H63&lt;&gt;"", C56:C63, 0))=0,"",SUMPRODUCT(C56:C63,H56:H63)/SUM(IF(H56:H63&lt;&gt;"",C56:C63,0)))</f>
        <v>13.15</v>
      </c>
    </row>
  </sheetData>
  <sheetProtection sheet="1" objects="1" scenarios="1"/>
  <mergeCells count="9">
    <mergeCell ref="D11:G11"/>
    <mergeCell ref="A45:A54"/>
    <mergeCell ref="A56:A63"/>
    <mergeCell ref="A12:C12"/>
    <mergeCell ref="A13:A18"/>
    <mergeCell ref="A20:A24"/>
    <mergeCell ref="A34:C34"/>
    <mergeCell ref="A35:A43"/>
    <mergeCell ref="A26:A32"/>
  </mergeCells>
  <conditionalFormatting sqref="J26">
    <cfRule type="containsText" dxfId="17" priority="14" operator="containsText" text="Admis">
      <formula>NOT(ISERROR(SEARCH("Admis",J26)))</formula>
    </cfRule>
    <cfRule type="containsText" dxfId="16" priority="15" operator="containsText" text="Non admis">
      <formula>NOT(ISERROR(SEARCH("Non admis",J26)))</formula>
    </cfRule>
  </conditionalFormatting>
  <conditionalFormatting sqref="E13:G63">
    <cfRule type="containsText" dxfId="15" priority="13" operator="containsText" text="ABID">
      <formula>NOT(ISERROR(SEARCH("ABID",E13)))</formula>
    </cfRule>
  </conditionalFormatting>
  <conditionalFormatting sqref="B4">
    <cfRule type="cellIs" dxfId="14" priority="3" operator="equal">
      <formula>0</formula>
    </cfRule>
    <cfRule type="cellIs" dxfId="13" priority="5" operator="greaterThanOrEqual">
      <formula>0.2</formula>
    </cfRule>
  </conditionalFormatting>
  <conditionalFormatting sqref="A4">
    <cfRule type="cellIs" dxfId="12" priority="2" operator="lessThan">
      <formula>6</formula>
    </cfRule>
    <cfRule type="cellIs" dxfId="11" priority="4" operator="greaterThanOrEqual">
      <formula>6</formula>
    </cfRule>
  </conditionalFormatting>
  <dataValidations count="2">
    <dataValidation type="decimal" allowBlank="1" showInputMessage="1" showErrorMessage="1" errorTitle="Erreur de saisie" error="Veuillez entrer une note positive" sqref="E13:G18 E45:G54 E56:G63 E26:G32" xr:uid="{DAF10132-A197-4A7D-BC04-26BE8701446F}">
      <formula1>0</formula1>
      <formula2>20</formula2>
    </dataValidation>
    <dataValidation type="decimal" allowBlank="1" showInputMessage="1" showErrorMessage="1" errorTitle="Erreur de saise" error="Veuillez entrer une note positive" sqref="E35:G43 E20:G24" xr:uid="{6293288A-7F24-48D3-BAA6-F5E04E63EDC5}">
      <formula1>0</formula1>
      <formula2>20</formula2>
    </dataValidation>
  </dataValidations>
  <pageMargins left="0.7" right="0.7" top="0.75" bottom="0.75" header="0.3" footer="0.3"/>
  <pageSetup paperSize="9" scale="87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SBcpt">
          <controlPr defaultSize="0" autoLine="0" r:id="rId5">
            <anchor moveWithCells="1">
              <from>
                <xdr:col>0</xdr:col>
                <xdr:colOff>320040</xdr:colOff>
                <xdr:row>4</xdr:row>
                <xdr:rowOff>38100</xdr:rowOff>
              </from>
              <to>
                <xdr:col>0</xdr:col>
                <xdr:colOff>579120</xdr:colOff>
                <xdr:row>7</xdr:row>
                <xdr:rowOff>0</xdr:rowOff>
              </to>
            </anchor>
          </controlPr>
        </control>
      </mc:Choice>
      <mc:Fallback>
        <control shapeId="1034" r:id="rId4" name="SBcpt"/>
      </mc:Fallback>
    </mc:AlternateContent>
    <mc:AlternateContent xmlns:mc="http://schemas.openxmlformats.org/markup-compatibility/2006">
      <mc:Choice Requires="x14">
        <control shapeId="1030" r:id="rId6" name="BoutonModifier">
          <controlPr defaultSize="0" autoLine="0" r:id="rId7">
            <anchor moveWithCells="1">
              <from>
                <xdr:col>9</xdr:col>
                <xdr:colOff>0</xdr:colOff>
                <xdr:row>12</xdr:row>
                <xdr:rowOff>182880</xdr:rowOff>
              </from>
              <to>
                <xdr:col>9</xdr:col>
                <xdr:colOff>1569720</xdr:colOff>
                <xdr:row>14</xdr:row>
                <xdr:rowOff>167640</xdr:rowOff>
              </to>
            </anchor>
          </controlPr>
        </control>
      </mc:Choice>
      <mc:Fallback>
        <control shapeId="1030" r:id="rId6" name="BoutonModifier"/>
      </mc:Fallback>
    </mc:AlternateContent>
    <mc:AlternateContent xmlns:mc="http://schemas.openxmlformats.org/markup-compatibility/2006">
      <mc:Choice Requires="x14">
        <control shapeId="1027" r:id="rId8" name="BoutonAjouter">
          <controlPr defaultSize="0" autoFill="0" autoLine="0" r:id="rId9">
            <anchor moveWithCells="1">
              <from>
                <xdr:col>9</xdr:col>
                <xdr:colOff>0</xdr:colOff>
                <xdr:row>10</xdr:row>
                <xdr:rowOff>45720</xdr:rowOff>
              </from>
              <to>
                <xdr:col>9</xdr:col>
                <xdr:colOff>1569720</xdr:colOff>
                <xdr:row>12</xdr:row>
                <xdr:rowOff>45720</xdr:rowOff>
              </to>
            </anchor>
          </controlPr>
        </control>
      </mc:Choice>
      <mc:Fallback>
        <control shapeId="1027" r:id="rId8" name="BoutonAjouter"/>
      </mc:Fallback>
    </mc:AlternateContent>
    <mc:AlternateContent xmlns:mc="http://schemas.openxmlformats.org/markup-compatibility/2006">
      <mc:Choice Requires="x14">
        <control shapeId="1028" r:id="rId10" name="BoutonEffacer">
          <controlPr defaultSize="0" autoLine="0" r:id="rId11">
            <anchor moveWithCells="1">
              <from>
                <xdr:col>8</xdr:col>
                <xdr:colOff>381000</xdr:colOff>
                <xdr:row>16</xdr:row>
                <xdr:rowOff>0</xdr:rowOff>
              </from>
              <to>
                <xdr:col>9</xdr:col>
                <xdr:colOff>1569720</xdr:colOff>
                <xdr:row>17</xdr:row>
                <xdr:rowOff>182880</xdr:rowOff>
              </to>
            </anchor>
          </controlPr>
        </control>
      </mc:Choice>
      <mc:Fallback>
        <control shapeId="1028" r:id="rId10" name="BoutonEffacer"/>
      </mc:Fallback>
    </mc:AlternateContent>
    <mc:AlternateContent xmlns:mc="http://schemas.openxmlformats.org/markup-compatibility/2006">
      <mc:Choice Requires="x14">
        <control shapeId="1031" r:id="rId12" name="BoutonAbsence">
          <controlPr defaultSize="0" autoLine="0" r:id="rId13">
            <anchor moveWithCells="1">
              <from>
                <xdr:col>1</xdr:col>
                <xdr:colOff>3550920</xdr:colOff>
                <xdr:row>5</xdr:row>
                <xdr:rowOff>53340</xdr:rowOff>
              </from>
              <to>
                <xdr:col>1</xdr:col>
                <xdr:colOff>5227320</xdr:colOff>
                <xdr:row>6</xdr:row>
                <xdr:rowOff>144780</xdr:rowOff>
              </to>
            </anchor>
          </controlPr>
        </control>
      </mc:Choice>
      <mc:Fallback>
        <control shapeId="1031" r:id="rId12" name="BoutonAbsence"/>
      </mc:Fallback>
    </mc:AlternateContent>
    <mc:AlternateContent xmlns:mc="http://schemas.openxmlformats.org/markup-compatibility/2006">
      <mc:Choice Requires="x14">
        <control shapeId="1037" r:id="rId14" name="CheckReset">
          <controlPr defaultSize="0" autoLine="0" r:id="rId15">
            <anchor moveWithCells="1">
              <from>
                <xdr:col>0</xdr:col>
                <xdr:colOff>815340</xdr:colOff>
                <xdr:row>4</xdr:row>
                <xdr:rowOff>167640</xdr:rowOff>
              </from>
              <to>
                <xdr:col>0</xdr:col>
                <xdr:colOff>2331720</xdr:colOff>
                <xdr:row>6</xdr:row>
                <xdr:rowOff>83820</xdr:rowOff>
              </to>
            </anchor>
          </controlPr>
        </control>
      </mc:Choice>
      <mc:Fallback>
        <control shapeId="1037" r:id="rId14" name="CheckReset"/>
      </mc:Fallback>
    </mc:AlternateContent>
    <mc:AlternateContent xmlns:mc="http://schemas.openxmlformats.org/markup-compatibility/2006">
      <mc:Choice Requires="x14">
        <control shapeId="1038" r:id="rId16" name="BoutonMoyenneClasse">
          <controlPr defaultSize="0" autoLine="0" autoPict="0" r:id="rId17">
            <anchor moveWithCells="1">
              <from>
                <xdr:col>8</xdr:col>
                <xdr:colOff>381000</xdr:colOff>
                <xdr:row>19</xdr:row>
                <xdr:rowOff>7620</xdr:rowOff>
              </from>
              <to>
                <xdr:col>9</xdr:col>
                <xdr:colOff>2308860</xdr:colOff>
                <xdr:row>21</xdr:row>
                <xdr:rowOff>7620</xdr:rowOff>
              </to>
            </anchor>
          </controlPr>
        </control>
      </mc:Choice>
      <mc:Fallback>
        <control shapeId="1038" r:id="rId16" name="BoutonMoyenneClas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F035-425A-4206-AFB2-8C2CD2334B35}">
  <sheetPr codeName="Feuil2"/>
  <dimension ref="G4:AC41"/>
  <sheetViews>
    <sheetView tabSelected="1" topLeftCell="B5" zoomScale="70" zoomScaleNormal="70" workbookViewId="0">
      <selection activeCell="M16" sqref="M16"/>
    </sheetView>
  </sheetViews>
  <sheetFormatPr baseColWidth="10" defaultRowHeight="14.4" x14ac:dyDescent="0.3"/>
  <cols>
    <col min="1" max="1" width="72.33203125" bestFit="1" customWidth="1"/>
    <col min="2" max="2" width="101" bestFit="1" customWidth="1"/>
    <col min="3" max="3" width="12" bestFit="1" customWidth="1"/>
    <col min="4" max="4" width="40.6640625" bestFit="1" customWidth="1"/>
    <col min="5" max="5" width="35.44140625" bestFit="1" customWidth="1"/>
    <col min="6" max="6" width="13" bestFit="1" customWidth="1"/>
    <col min="7" max="7" width="2" customWidth="1"/>
    <col min="10" max="10" width="69.44140625" bestFit="1" customWidth="1"/>
    <col min="11" max="11" width="33.21875" customWidth="1"/>
    <col min="13" max="13" width="39" customWidth="1"/>
    <col min="14" max="14" width="36.109375" bestFit="1" customWidth="1"/>
    <col min="18" max="18" width="12.77734375" bestFit="1" customWidth="1"/>
    <col min="19" max="19" width="13.88671875" bestFit="1" customWidth="1"/>
  </cols>
  <sheetData>
    <row r="4" spans="7:19" x14ac:dyDescent="0.3">
      <c r="G4" s="11" t="s">
        <v>53</v>
      </c>
    </row>
    <row r="8" spans="7:19" x14ac:dyDescent="0.3">
      <c r="J8" s="1"/>
      <c r="K8" s="1" t="s">
        <v>0</v>
      </c>
      <c r="L8" s="1" t="s">
        <v>19</v>
      </c>
      <c r="M8" s="1" t="s">
        <v>51</v>
      </c>
      <c r="N8" s="1" t="s">
        <v>49</v>
      </c>
      <c r="Q8" s="1" t="s">
        <v>58</v>
      </c>
      <c r="R8" s="1" t="s">
        <v>59</v>
      </c>
      <c r="S8" s="1" t="s">
        <v>57</v>
      </c>
    </row>
    <row r="9" spans="7:19" x14ac:dyDescent="0.3">
      <c r="J9" s="9" t="s">
        <v>1</v>
      </c>
      <c r="K9" s="10">
        <f>IF((Gestion!D19-Gestion!B4)&lt;0,0,Gestion!D19-Gestion!B4)</f>
        <v>12.591916666666666</v>
      </c>
      <c r="L9" s="10">
        <f>IF((Gestion!D44-Gestion!B4)&lt;0,0,Gestion!D44-Gestion!B4)</f>
        <v>10.9</v>
      </c>
      <c r="M9" s="8">
        <f>IF(K9=0,IF(L9=0,0,"Non applicable"),((L9-K9)/K9))</f>
        <v>-0.13436530049039391</v>
      </c>
      <c r="N9" s="54" t="str">
        <f>IF(M9=0, "Vos résultats stagnent 😐", IF(M9&gt;0, "Vos résultats s'améliorent 😊", "Vos résultats se dégradent 😟"))</f>
        <v>Vos résultats se dégradent 😟</v>
      </c>
      <c r="Q9" s="1" t="s">
        <v>60</v>
      </c>
      <c r="R9" s="71">
        <f>K9</f>
        <v>12.591916666666666</v>
      </c>
      <c r="S9" s="1">
        <f>Gestion!H19</f>
        <v>9</v>
      </c>
    </row>
    <row r="10" spans="7:19" x14ac:dyDescent="0.3">
      <c r="J10" s="1" t="s">
        <v>5</v>
      </c>
      <c r="K10" s="10">
        <f>IF((Gestion!D25-Gestion!B4)&lt;0,0,Gestion!D25-Gestion!B4)</f>
        <v>11.3475</v>
      </c>
      <c r="L10" s="10">
        <f>IF((Gestion!D55-Gestion!B4)&lt;0,0,Gestion!D55-Gestion!B4)</f>
        <v>8.3958333333333339</v>
      </c>
      <c r="M10" s="8">
        <f>IF(K10=0,IF(L10=0,0,"Non applicable"),((L10-K10)/K10))</f>
        <v>-0.26011603143129908</v>
      </c>
      <c r="N10" s="54" t="str">
        <f>IF(M10=0, "Vos résultats stagnent 😐", IF(M10&gt;0, "Vos résultats s'améliorent 😊", "Vos résultats se dégradent 😟"))</f>
        <v>Vos résultats se dégradent 😟</v>
      </c>
      <c r="Q10" s="1" t="s">
        <v>61</v>
      </c>
      <c r="R10" s="71">
        <f>K10</f>
        <v>11.3475</v>
      </c>
      <c r="S10" s="1">
        <f>Gestion!H25</f>
        <v>11</v>
      </c>
    </row>
    <row r="11" spans="7:19" x14ac:dyDescent="0.3">
      <c r="J11" s="1" t="s">
        <v>9</v>
      </c>
      <c r="K11" s="10">
        <f>IF((Gestion!D33-Gestion!B4)&lt;0,0,Gestion!D33-Gestion!B4)</f>
        <v>13.595000000000001</v>
      </c>
      <c r="L11" s="10">
        <f>IF((Gestion!D64-Gestion!B4)&lt;0,0,Gestion!D64-Gestion!B4)</f>
        <v>12.213461538461539</v>
      </c>
      <c r="M11" s="8">
        <f>IF(K11=0,IF(L11=0,0,"Non applicable"),((L11-K11)/K11))</f>
        <v>-0.10162107109514244</v>
      </c>
      <c r="N11" s="54" t="str">
        <f t="shared" ref="N11" si="0">IF(M11=0, "Vos résultats stagnent 😐", IF(M11&gt;0, "Vos résultats s'améliorent 😊", "Vos résultats se dégradent 😟"))</f>
        <v>Vos résultats se dégradent 😟</v>
      </c>
      <c r="Q11" s="1" t="s">
        <v>62</v>
      </c>
      <c r="R11" s="71">
        <f>K11</f>
        <v>13.595000000000001</v>
      </c>
      <c r="S11" s="1">
        <f>Gestion!H33</f>
        <v>0</v>
      </c>
    </row>
    <row r="12" spans="7:19" x14ac:dyDescent="0.3">
      <c r="Q12" s="1" t="s">
        <v>63</v>
      </c>
      <c r="R12" s="71">
        <f>L9</f>
        <v>10.9</v>
      </c>
      <c r="S12" s="1">
        <f>Gestion!H44</f>
        <v>0</v>
      </c>
    </row>
    <row r="13" spans="7:19" x14ac:dyDescent="0.3">
      <c r="Q13" s="1" t="s">
        <v>64</v>
      </c>
      <c r="R13" s="71">
        <f>L10</f>
        <v>8.3958333333333339</v>
      </c>
      <c r="S13" s="1">
        <f>Gestion!H55</f>
        <v>9.5</v>
      </c>
    </row>
    <row r="14" spans="7:19" x14ac:dyDescent="0.3">
      <c r="J14" s="1"/>
      <c r="K14" s="1" t="s">
        <v>46</v>
      </c>
      <c r="L14" s="1" t="s">
        <v>48</v>
      </c>
      <c r="M14" s="1" t="s">
        <v>54</v>
      </c>
      <c r="N14" s="1" t="s">
        <v>55</v>
      </c>
      <c r="Q14" s="1" t="s">
        <v>65</v>
      </c>
      <c r="R14" s="71">
        <f>L11</f>
        <v>12.213461538461539</v>
      </c>
      <c r="S14" s="1">
        <f>Gestion!H64</f>
        <v>13.15</v>
      </c>
    </row>
    <row r="15" spans="7:19" x14ac:dyDescent="0.3">
      <c r="J15" s="9" t="s">
        <v>1</v>
      </c>
      <c r="K15" s="53">
        <f>IF(Gestion!B4&gt;0,((Gestion!D19+Gestion!D44)/2)-Gestion!B4,(Gestion!D19+Gestion!D44)/2)</f>
        <v>11.745958333333334</v>
      </c>
      <c r="L15" s="55" t="str">
        <f>IF(K15&gt;=10, "P", "O")</f>
        <v>P</v>
      </c>
      <c r="M15" s="1">
        <f>IF(K15&gt;=8,K15,0)</f>
        <v>11.745958333333334</v>
      </c>
      <c r="N15" s="1">
        <f>IF(K15&lt;8,K15,0)</f>
        <v>0</v>
      </c>
    </row>
    <row r="16" spans="7:19" x14ac:dyDescent="0.3">
      <c r="J16" s="1" t="s">
        <v>5</v>
      </c>
      <c r="K16" s="53">
        <f>IF(Gestion!B4&gt;0,((Gestion!D25+Gestion!D55)/2)-Gestion!B4,(Gestion!D25+Gestion!D55)/2)</f>
        <v>9.8716666666666661</v>
      </c>
      <c r="L16" s="55" t="str">
        <f>IF(K16&gt;=10, "P", "O")</f>
        <v>O</v>
      </c>
      <c r="M16" s="1">
        <f t="shared" ref="M16:M17" si="1">IF(K16&gt;=8,K16,0)</f>
        <v>9.8716666666666661</v>
      </c>
      <c r="N16" s="1">
        <f t="shared" ref="N16:N17" si="2">IF(K16&lt;8,K16,0)</f>
        <v>0</v>
      </c>
    </row>
    <row r="17" spans="10:29" x14ac:dyDescent="0.3">
      <c r="J17" s="1" t="s">
        <v>9</v>
      </c>
      <c r="K17" s="53">
        <f>IF(Gestion!B4&gt;0,((Gestion!D33+Gestion!D64)/2)-Gestion!B4,(Gestion!D33+Gestion!D64)/2)</f>
        <v>12.90423076923077</v>
      </c>
      <c r="L17" s="55" t="str">
        <f>IF(K17&gt;=10, "P", "O")</f>
        <v>P</v>
      </c>
      <c r="M17" s="1">
        <f t="shared" si="1"/>
        <v>12.90423076923077</v>
      </c>
      <c r="N17" s="1">
        <f t="shared" si="2"/>
        <v>0</v>
      </c>
    </row>
    <row r="18" spans="10:29" x14ac:dyDescent="0.3">
      <c r="K18" s="56" t="str">
        <f>IF(OR(K15&lt;8,K16&lt;8,K17&lt;8),"Le redoublement n’est pas automatique. Il est soumis à l’acceptation du jury (notes et comportement).","")</f>
        <v/>
      </c>
    </row>
    <row r="23" spans="10:29" ht="15" thickBot="1" x14ac:dyDescent="0.35">
      <c r="J23" s="2" t="s">
        <v>52</v>
      </c>
      <c r="AC23" s="70"/>
    </row>
    <row r="24" spans="10:29" ht="15" thickBot="1" x14ac:dyDescent="0.35">
      <c r="J24" s="51" t="str">
        <f>IF(AND(MIN(K15:K17)&gt;=8, COUNTIF(K15:K17,"&gt;=10")&gt;=2), "Admis", "Non admis")</f>
        <v>Admis</v>
      </c>
    </row>
    <row r="26" spans="10:29" ht="32.4" customHeight="1" x14ac:dyDescent="0.3"/>
    <row r="41" spans="8:8" x14ac:dyDescent="0.3">
      <c r="H41" t="str">
        <f>IF(COUNTIF(Gestion!E$13:G$63,"*ABI*")&gt;0,"La moyenne de l'élève est bloquée","")</f>
        <v/>
      </c>
    </row>
  </sheetData>
  <conditionalFormatting sqref="J24">
    <cfRule type="containsText" dxfId="10" priority="27" operator="containsText" text="Non admis">
      <formula>NOT(ISERROR(SEARCH("Non admis",J24)))</formula>
    </cfRule>
  </conditionalFormatting>
  <conditionalFormatting sqref="K15:K17">
    <cfRule type="cellIs" dxfId="9" priority="25" operator="greaterThanOrEqual">
      <formula>8</formula>
    </cfRule>
    <cfRule type="cellIs" dxfId="8" priority="26" operator="lessThan">
      <formula>8</formula>
    </cfRule>
  </conditionalFormatting>
  <conditionalFormatting sqref="L15:L17">
    <cfRule type="expression" dxfId="7" priority="7">
      <formula>K15&lt;10</formula>
    </cfRule>
    <cfRule type="expression" dxfId="6" priority="8">
      <formula>K15&gt;=10</formula>
    </cfRule>
  </conditionalFormatting>
  <conditionalFormatting sqref="F5:F7">
    <cfRule type="containsText" dxfId="5" priority="3" operator="containsText" text="😟">
      <formula>NOT(ISERROR(SEARCH("😟",F5)))</formula>
    </cfRule>
    <cfRule type="containsText" dxfId="4" priority="4" operator="containsText" text="😊">
      <formula>NOT(ISERROR(SEARCH("😊",F5)))</formula>
    </cfRule>
  </conditionalFormatting>
  <conditionalFormatting sqref="N9:N11">
    <cfRule type="containsText" dxfId="3" priority="2" operator="containsText" text="Vos résultats stagnent 😐">
      <formula>NOT(ISERROR(SEARCH("Vos résultats stagnent 😐",N9)))</formula>
    </cfRule>
    <cfRule type="containsText" dxfId="2" priority="5" operator="containsText" text="Vos résultats se dégradent 😟">
      <formula>NOT(ISERROR(SEARCH("Vos résultats se dégradent 😟",N9)))</formula>
    </cfRule>
    <cfRule type="containsText" dxfId="1" priority="6" operator="containsText" text="Vos résultats s'améliorent 😊">
      <formula>NOT(ISERROR(SEARCH("Vos résultats s'améliorent 😊",N9)))</formula>
    </cfRule>
  </conditionalFormatting>
  <conditionalFormatting sqref="J24">
    <cfRule type="containsText" dxfId="0" priority="28" operator="containsText" text="Admis">
      <formula>NOT(ISERROR(SEARCH("Admis",J24)))</formula>
    </cfRule>
  </conditionalFormatting>
  <conditionalFormatting sqref="H41">
    <cfRule type="cellIs" priority="1" operator="equal">
      <formula>"La moyenne de l'élève est bloquée"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b1ed24f2-a78f-4e52-8aa3-2bfee2962d64"/>
    <ds:schemaRef ds:uri="http://purl.org/dc/terms/"/>
    <ds:schemaRef ds:uri="http://schemas.microsoft.com/office/infopath/2007/PartnerControls"/>
    <ds:schemaRef ds:uri="976320d1-acf9-470b-91fd-984afe3f64f8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Gestion</vt:lpstr>
      <vt:lpstr>Interprétation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Constant Audibert</cp:lastModifiedBy>
  <cp:revision/>
  <dcterms:created xsi:type="dcterms:W3CDTF">2021-04-11T08:18:39Z</dcterms:created>
  <dcterms:modified xsi:type="dcterms:W3CDTF">2025-06-06T09:19:16Z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