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ID_NATTAWUT\Coding\seleniu_cenproject\"/>
    </mc:Choice>
  </mc:AlternateContent>
  <xr:revisionPtr revIDLastSave="0" documentId="8_{C893EB8D-7A8F-4524-87D5-7CA41D231E20}" xr6:coauthVersionLast="47" xr6:coauthVersionMax="47" xr10:uidLastSave="{00000000-0000-0000-0000-000000000000}"/>
  <bookViews>
    <workbookView xWindow="-120" yWindow="-120" windowWidth="29040" windowHeight="15840" xr2:uid="{E1730641-9A75-4C6D-8C46-78DF16E68F98}"/>
  </bookViews>
  <sheets>
    <sheet name="พรบ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\a">#REF!</definedName>
    <definedName name="\b">#REF!</definedName>
    <definedName name="\c">#REF!</definedName>
    <definedName name="\e">#REF!</definedName>
    <definedName name="\m">#REF!</definedName>
    <definedName name="\n">#REF!</definedName>
    <definedName name="\p">#REF!</definedName>
    <definedName name="\q">#REF!</definedName>
    <definedName name="\r">#REF!</definedName>
    <definedName name="\s">#REF!</definedName>
    <definedName name="\w">#REF!</definedName>
    <definedName name="\x">#REF!</definedName>
    <definedName name="\X2">#REF!</definedName>
    <definedName name="\z">#REF!</definedName>
    <definedName name="_">'[2]ผ1-ผ2 (2538)'!#REF!</definedName>
    <definedName name="_f" hidden="1">#REF!</definedName>
    <definedName name="_Fill" hidden="1">#REF!</definedName>
    <definedName name="_xlnm._FilterDatabase" localSheetId="0" hidden="1">พรบ!$A$8:$DR$557</definedName>
    <definedName name="_hua1">#REF!</definedName>
    <definedName name="_hua2">#REF!</definedName>
    <definedName name="_hua3">#REF!</definedName>
    <definedName name="_hua4">#REF!</definedName>
    <definedName name="_Key1" hidden="1">'[3]220'!#REF!</definedName>
    <definedName name="_Key2" hidden="1">#REF!</definedName>
    <definedName name="_loa1">#REF!</definedName>
    <definedName name="_loa2">#REF!</definedName>
    <definedName name="_loa3">#REF!</definedName>
    <definedName name="_loa4">#REF!</definedName>
    <definedName name="_Order1" hidden="1">255</definedName>
    <definedName name="_Order2" hidden="1">255</definedName>
    <definedName name="_R">#REF!</definedName>
    <definedName name="_Sort" hidden="1">'[3]220'!#REF!</definedName>
    <definedName name="_T1">#REF!</definedName>
    <definedName name="_T2">#REF!</definedName>
    <definedName name="_t3">#REF!</definedName>
    <definedName name="_T4">#REF!</definedName>
    <definedName name="_T5">#REF!</definedName>
    <definedName name="_T6">#REF!</definedName>
    <definedName name="_T7">#REF!</definedName>
    <definedName name="_T8">#REF!</definedName>
    <definedName name="A">#REF!</definedName>
    <definedName name="Amt">"Text Box 56"</definedName>
    <definedName name="b">[4]ขนาดกลาง!#REF!</definedName>
    <definedName name="B.">#REF!</definedName>
    <definedName name="BA">#REF!</definedName>
    <definedName name="BI">#REF!</definedName>
    <definedName name="BS">#REF!</definedName>
    <definedName name="C_">#REF!</definedName>
    <definedName name="Capacity">#REF!</definedName>
    <definedName name="_xlnm.Criteria">#REF!</definedName>
    <definedName name="Criteria_MI">#REF!</definedName>
    <definedName name="CS">#REF!</definedName>
    <definedName name="d">'[5]ทำนบดิน 4'!#REF!</definedName>
    <definedName name="_xlnm.Database">#REF!</definedName>
    <definedName name="DS">#REF!</definedName>
    <definedName name="E">#REF!</definedName>
    <definedName name="F">#REF!</definedName>
    <definedName name="F_DRY">#REF!</definedName>
    <definedName name="F_RAIN">#REF!</definedName>
    <definedName name="fa">'[6]กสย11.1'!#REF!</definedName>
    <definedName name="G">#REF!</definedName>
    <definedName name="ggg">#REF!</definedName>
    <definedName name="H">#REF!</definedName>
    <definedName name="ha">#REF!</definedName>
    <definedName name="hc">#REF!</definedName>
    <definedName name="HH">#REF!</definedName>
    <definedName name="HI">#REF!</definedName>
    <definedName name="HII">#REF!</definedName>
    <definedName name="HIII">#REF!</definedName>
    <definedName name="I_DRY">#REF!</definedName>
    <definedName name="I_RAIN">#REF!</definedName>
    <definedName name="L">#REF!</definedName>
    <definedName name="LA">#REF!</definedName>
    <definedName name="LB">#REF!</definedName>
    <definedName name="LC">#REF!</definedName>
    <definedName name="LF">#REF!</definedName>
    <definedName name="LI">#REF!</definedName>
    <definedName name="LII">#REF!</definedName>
    <definedName name="LIII">#REF!</definedName>
    <definedName name="LIV">#REF!</definedName>
    <definedName name="LRF">'[5]ทำนบดิน 4'!#REF!</definedName>
    <definedName name="LV">#REF!</definedName>
    <definedName name="LVI">#REF!</definedName>
    <definedName name="new">#REF!</definedName>
    <definedName name="o">#REF!</definedName>
    <definedName name="ping1">#REF!</definedName>
    <definedName name="ping2">#REF!</definedName>
    <definedName name="ping3">#REF!</definedName>
    <definedName name="ping4">#REF!</definedName>
    <definedName name="pop">#REF!</definedName>
    <definedName name="_xlnm.Print_Area" localSheetId="0">พรบ!$A$1:$DT$555</definedName>
    <definedName name="_xlnm.Print_Area">#REF!</definedName>
    <definedName name="PRINT_AREA_MI">#REF!</definedName>
    <definedName name="_xlnm.Print_Titles" localSheetId="0">พรบ!$4:$7</definedName>
    <definedName name="_xlnm.Print_Titles">#REF!</definedName>
    <definedName name="Print_Titles_MI">#REF!</definedName>
    <definedName name="R_">#REF!</definedName>
    <definedName name="_xlnm.Recorder">#REF!</definedName>
    <definedName name="S1_">#REF!</definedName>
    <definedName name="seaw1">#REF!</definedName>
    <definedName name="seaw2">#REF!</definedName>
    <definedName name="seaw3">#REF!</definedName>
    <definedName name="seaw4">#REF!</definedName>
    <definedName name="Select1">#REF!</definedName>
    <definedName name="Select2">#REF!</definedName>
    <definedName name="Select3">#REF!</definedName>
    <definedName name="Select4">#REF!</definedName>
    <definedName name="SI">#REF!</definedName>
    <definedName name="SII">#REF!</definedName>
    <definedName name="ss">#REF!</definedName>
    <definedName name="stopvalve">#REF!</definedName>
    <definedName name="t">#REF!</definedName>
    <definedName name="tbu">#REF!</definedName>
    <definedName name="tdig">#REF!</definedName>
    <definedName name="tdong">#REF!</definedName>
    <definedName name="TH">#REF!</definedName>
    <definedName name="thuay">#REF!</definedName>
    <definedName name="TI">#REF!</definedName>
    <definedName name="TII">#REF!</definedName>
    <definedName name="tiii">#REF!</definedName>
    <definedName name="tloa">#REF!</definedName>
    <definedName name="tma">#REF!</definedName>
    <definedName name="Totalcost">#REF!</definedName>
    <definedName name="tping">#REF!</definedName>
    <definedName name="tpipe">#REF!</definedName>
    <definedName name="troad">#REF!</definedName>
    <definedName name="tsaew">#REF!</definedName>
    <definedName name="tsin">#REF!</definedName>
    <definedName name="tsmall">#REF!</definedName>
    <definedName name="ttung">#REF!</definedName>
    <definedName name="tung1">#REF!</definedName>
    <definedName name="tung2">#REF!</definedName>
    <definedName name="tung3">#REF!</definedName>
    <definedName name="tung4">#REF!</definedName>
    <definedName name="TV">#REF!</definedName>
    <definedName name="twang">#REF!</definedName>
    <definedName name="twodisk">#REF!</definedName>
    <definedName name="U_DRY">#REF!</definedName>
    <definedName name="U_RAIN">#REF!</definedName>
    <definedName name="W">#REF!</definedName>
    <definedName name="XIII">#REF!</definedName>
    <definedName name="Year50">#REF!</definedName>
    <definedName name="Year51">#REF!</definedName>
    <definedName name="Year52">#REF!</definedName>
    <definedName name="Year53">#REF!</definedName>
    <definedName name="ก">#REF!</definedName>
    <definedName name="กปรอนุมัติโครงการ">#REF!</definedName>
    <definedName name="กปรอนุมัติบาท">#REF!</definedName>
    <definedName name="กปรอนุมัติเพิ่มโครงการ">#REF!</definedName>
    <definedName name="กปรอนุมัติเพิ่มบาท">#REF!</definedName>
    <definedName name="กรมลงนามกปรอนุมัติโครงการ">#REF!</definedName>
    <definedName name="กรมลงนามกปรอนุมัติบาท">#REF!</definedName>
    <definedName name="กรมลงนามโครงการ">#REF!</definedName>
    <definedName name="กรมลงนามบาท">[7]โครงการที่ส่งแบบฟอร์มแล้ว!$U$139</definedName>
    <definedName name="กันส่วนกลาง">#REF!</definedName>
    <definedName name="ข">#REF!</definedName>
    <definedName name="ค">#REF!</definedName>
    <definedName name="คงเหลือ">#REF!</definedName>
    <definedName name="คงเหลือพรบ.สชป.1">#REF!</definedName>
    <definedName name="คงเหลือพรบ.สชป.10">#REF!</definedName>
    <definedName name="คงเหลือพรบ.สชป.11">#REF!</definedName>
    <definedName name="คงเหลือพรบ.สชป.12">#REF!</definedName>
    <definedName name="คงเหลือพรบ.สชป.13">#REF!</definedName>
    <definedName name="คงเหลือพรบ.สชป.14">#REF!</definedName>
    <definedName name="คงเหลือพรบ.สชป.15">#REF!</definedName>
    <definedName name="คงเหลือพรบ.สชป.16">#REF!</definedName>
    <definedName name="คงเหลือพรบ.สชป.17">#REF!</definedName>
    <definedName name="คงเหลือพรบ.สชป.2">#REF!</definedName>
    <definedName name="คงเหลือพรบ.สชป.3">#REF!</definedName>
    <definedName name="คงเหลือพรบ.สชป.4">#REF!</definedName>
    <definedName name="คงเหลือพรบ.สชป.5">#REF!</definedName>
    <definedName name="คงเหลือพรบ.สชป.6">#REF!</definedName>
    <definedName name="คงเหลือพรบ.สชป.7">#REF!</definedName>
    <definedName name="คงเหลือพรบ.สชป.8">#REF!</definedName>
    <definedName name="คงเหลือพรบ.สชป.9">#REF!</definedName>
    <definedName name="คงเหลือสชป.1">#REF!</definedName>
    <definedName name="คงเหลือสชป.10">#REF!</definedName>
    <definedName name="คงเหลือสชป.11">#REF!</definedName>
    <definedName name="คงเหลือสชป.12">#REF!</definedName>
    <definedName name="คงเหลือสชป.13">#REF!</definedName>
    <definedName name="คงเหลือสชป.14">#REF!</definedName>
    <definedName name="คงเหลือสชป.15">#REF!</definedName>
    <definedName name="คงเหลือสชป.16">#REF!</definedName>
    <definedName name="คงเหลือสชป.17">#REF!</definedName>
    <definedName name="คงเหลือสชป.2">#REF!</definedName>
    <definedName name="คงเหลือสชป.3">#REF!</definedName>
    <definedName name="คงเหลือสชป.4">#REF!</definedName>
    <definedName name="คงเหลือสชป.5">#REF!</definedName>
    <definedName name="คงเหลือสชป.6">#REF!</definedName>
    <definedName name="คงเหลือสชป.7">#REF!</definedName>
    <definedName name="คงเหลือสชป.8">#REF!</definedName>
    <definedName name="คงเหลือสชป.9">#REF!</definedName>
    <definedName name="ความต้องการ">#REF!</definedName>
    <definedName name="ความต้องการงปม.">#REF!</definedName>
    <definedName name="ความต้องการงปม.สชป.1">#REF!</definedName>
    <definedName name="ความต้องการงปม.สชป.10">#REF!</definedName>
    <definedName name="ความต้องการงปม.สชป.11">#REF!</definedName>
    <definedName name="ความต้องการงปม.สชป.12">#REF!</definedName>
    <definedName name="ความต้องการงปม.สชป.13">#REF!</definedName>
    <definedName name="ความต้องการงปม.สชป.14">#REF!</definedName>
    <definedName name="ความต้องการงปม.สชป.15">#REF!</definedName>
    <definedName name="ความต้องการงปม.สชป.16">#REF!</definedName>
    <definedName name="ความต้องการงปม.สชป.17">#REF!</definedName>
    <definedName name="ความต้องการงปม.สชป.2">#REF!</definedName>
    <definedName name="ความต้องการงปม.สชป.3">#REF!</definedName>
    <definedName name="ความต้องการงปม.สชป.4">#REF!</definedName>
    <definedName name="ความต้องการงปม.สชป.5">#REF!</definedName>
    <definedName name="ความต้องการงปม.สชป.6">#REF!</definedName>
    <definedName name="ความต้องการงปม.สชป.7">#REF!</definedName>
    <definedName name="ความต้องการงปม.สชป.8">#REF!</definedName>
    <definedName name="ความต้องการงปม.สชป.9">#REF!</definedName>
    <definedName name="ค้างปมก.">#REF!</definedName>
    <definedName name="ค้างปมก.ทางย่อย">#REF!</definedName>
    <definedName name="ค้างปมก.ทางย่อยสชป.1">#REF!</definedName>
    <definedName name="ค้างปมก.ทางย่อยสชป.10">#REF!</definedName>
    <definedName name="ค้างปมก.ทางย่อยสชป.11">#REF!</definedName>
    <definedName name="ค้างปมก.ทางย่อยสชป.12">#REF!</definedName>
    <definedName name="ค้างปมก.ทางย่อยสชป.2">#REF!</definedName>
    <definedName name="ค้างปมก.ทางย่อยสชป.3">#REF!</definedName>
    <definedName name="ค้างปมก.ทางย่อยสชป.4">#REF!</definedName>
    <definedName name="ค้างปมก.ทางย่อยสชป.5">#REF!</definedName>
    <definedName name="ค้างปมก.ทางย่อยสชป.6">#REF!</definedName>
    <definedName name="ค้างปมก.ทางย่อยสชป.7">#REF!</definedName>
    <definedName name="ค้างปมก.ทางย่อยสชป.8">#REF!</definedName>
    <definedName name="ค้างปมก.ทางย่อยสชป.9">#REF!</definedName>
    <definedName name="ค้างปมก.ปรับปรุงระบบ">#REF!</definedName>
    <definedName name="ค้างปมก.ปรับปรุงฯสชป.1">#REF!</definedName>
    <definedName name="ค้างปมก.ปรับปรุงฯสชป.10">#REF!</definedName>
    <definedName name="ค้างปมก.ปรับปรุงฯสชป.11">#REF!</definedName>
    <definedName name="ค้างปมก.ปรับปรุงฯสชป.12">#REF!</definedName>
    <definedName name="ค้างปมก.ปรับปรุงฯสชป.2">#REF!</definedName>
    <definedName name="ค้างปมก.ปรับปรุงฯสชป.3">#REF!</definedName>
    <definedName name="ค้างปมก.ปรับปรุงฯสชป.4">#REF!</definedName>
    <definedName name="ค้างปมก.ปรับปรุงฯสชป.5">#REF!</definedName>
    <definedName name="ค้างปมก.ปรับปรุงฯสชป.6">#REF!</definedName>
    <definedName name="ค้างปมก.ปรับปรุงฯสชป.7">#REF!</definedName>
    <definedName name="ค้างปมก.ปรับปรุงฯสชป.8">#REF!</definedName>
    <definedName name="ค้างปมก.ปรับปรุงฯสชป.9">#REF!</definedName>
    <definedName name="ค้างปมก.สชป.1">#REF!</definedName>
    <definedName name="ค้างปมก.สชป.10">#REF!</definedName>
    <definedName name="ค้างปมก.สชป.11">#REF!</definedName>
    <definedName name="ค้างปมก.สชป.12">#REF!</definedName>
    <definedName name="ค้างปมก.สชป.13">#REF!</definedName>
    <definedName name="ค้างปมก.สชป.14">#REF!</definedName>
    <definedName name="ค้างปมก.สชป.15">#REF!</definedName>
    <definedName name="ค้างปมก.สชป.16">#REF!</definedName>
    <definedName name="ค้างปมก.สชป.17">#REF!</definedName>
    <definedName name="ค้างปมก.สชป.2">#REF!</definedName>
    <definedName name="ค้างปมก.สชป.3">#REF!</definedName>
    <definedName name="ค้างปมก.สชป.4">#REF!</definedName>
    <definedName name="ค้างปมก.สชป.5">#REF!</definedName>
    <definedName name="ค้างปมก.สชป.6">#REF!</definedName>
    <definedName name="ค้างปมก.สชป.7">#REF!</definedName>
    <definedName name="ค้างปมก.สชป.8">#REF!</definedName>
    <definedName name="ค้างปมก.สชป.9">#REF!</definedName>
    <definedName name="ง">#REF!</definedName>
    <definedName name="งปม.รวม">#REF!</definedName>
    <definedName name="งปม.รวมปรับปรุงระบบ">#REF!</definedName>
    <definedName name="งปม.รวมสชป.1">#REF!</definedName>
    <definedName name="งปม.รวมสชป.10">#REF!</definedName>
    <definedName name="งปม.รวมสชป.11">#REF!</definedName>
    <definedName name="งปม.รวมสชป.12">#REF!</definedName>
    <definedName name="งปม.รวมสชป.13">#REF!</definedName>
    <definedName name="งปม.รวมสชป.14">#REF!</definedName>
    <definedName name="งปม.รวมสชป.15">#REF!</definedName>
    <definedName name="งปม.รวมสชป.16">#REF!</definedName>
    <definedName name="งปม.รวมสชป.17">#REF!</definedName>
    <definedName name="งปม.รวมสชป.2">#REF!</definedName>
    <definedName name="งปม.รวมสชป.3">#REF!</definedName>
    <definedName name="งปม.รวมสชป.4">#REF!</definedName>
    <definedName name="งปม.รวมสชป.5">#REF!</definedName>
    <definedName name="งปม.รวมสชป.6">#REF!</definedName>
    <definedName name="งปม.รวมสชป.7">#REF!</definedName>
    <definedName name="งปม.รวมสชป.8">#REF!</definedName>
    <definedName name="งปม.รวมสชป.9">#REF!</definedName>
    <definedName name="งวดทางย่อย">#REF!</definedName>
    <definedName name="งวดทางย่อยสชป.1">#REF!</definedName>
    <definedName name="งวดทางย่อยสชป.10">#REF!</definedName>
    <definedName name="งวดทางย่อยสชป.11">#REF!</definedName>
    <definedName name="งวดทางย่อยสชป.12">#REF!</definedName>
    <definedName name="งวดทางย่อยสชป.2">#REF!</definedName>
    <definedName name="งวดทางย่อยสชป.3">#REF!</definedName>
    <definedName name="งวดทางย่อยสชป.4">#REF!</definedName>
    <definedName name="งวดทางย่อยสชป.5">#REF!</definedName>
    <definedName name="งวดทางย่อยสชป.6">#REF!</definedName>
    <definedName name="งวดทางย่อยสชป.7">#REF!</definedName>
    <definedName name="งวดทางย่อยสชป.8">#REF!</definedName>
    <definedName name="งวดทางย่อยสชป.9">#REF!</definedName>
    <definedName name="งวดปรับปรุงระบบ">#REF!</definedName>
    <definedName name="งวดปรับปรุงฯสชป.1">#REF!</definedName>
    <definedName name="งวดปรับปรุงฯสชป.10">#REF!</definedName>
    <definedName name="งวดปรับปรุงฯสชป.11">#REF!</definedName>
    <definedName name="งวดปรับปรุงฯสชป.12">#REF!</definedName>
    <definedName name="งวดปรับปรุงฯสชป.2">#REF!</definedName>
    <definedName name="งวดปรับปรุงฯสชป.3">#REF!</definedName>
    <definedName name="งวดปรับปรุงฯสชป.4">#REF!</definedName>
    <definedName name="งวดปรับปรุงฯสชป.5">#REF!</definedName>
    <definedName name="งวดปรับปรุงฯสชป.6">#REF!</definedName>
    <definedName name="งวดปรับปรุงฯสชป.7">#REF!</definedName>
    <definedName name="งวดปรับปรุงฯสชป.8">#REF!</definedName>
    <definedName name="งวดปรับปรุงฯสชป.9">#REF!</definedName>
    <definedName name="งวดสชป.1">#REF!</definedName>
    <definedName name="งวดสชป.10">#REF!</definedName>
    <definedName name="งวดสชป.11">#REF!</definedName>
    <definedName name="งวดสชป.12">#REF!</definedName>
    <definedName name="งวดสชป.13">#REF!</definedName>
    <definedName name="งวดสชป.14">#REF!</definedName>
    <definedName name="งวดสชป.15">#REF!</definedName>
    <definedName name="งวดสชป.16">#REF!</definedName>
    <definedName name="งวดสชป.17">#REF!</definedName>
    <definedName name="งวดสชป.2">#REF!</definedName>
    <definedName name="งวดสชป.3">#REF!</definedName>
    <definedName name="งวดสชป.4">#REF!</definedName>
    <definedName name="งวดสชป.5">#REF!</definedName>
    <definedName name="งวดสชป.6">#REF!</definedName>
    <definedName name="งวดสชป.7">#REF!</definedName>
    <definedName name="งวดสชป.8">#REF!</definedName>
    <definedName name="งวดสชป.9">#REF!</definedName>
    <definedName name="งานปรับปรุงฝายวังตะเข้">#REF!</definedName>
    <definedName name="งานยกเลิก">#REF!</definedName>
    <definedName name="เงินงวด">#REF!</definedName>
    <definedName name="เงินงวดค่าจ้าง">#REF!</definedName>
    <definedName name="เงินงวดค่าจ้างสชป.1">#REF!</definedName>
    <definedName name="เงินงวดค่าจ้างสชป.10">#REF!</definedName>
    <definedName name="เงินงวดค่าจ้างสชป.11">#REF!</definedName>
    <definedName name="เงินงวดค่าจ้างสชป.12">#REF!</definedName>
    <definedName name="เงินงวดค่าจ้างสชป.13">#REF!</definedName>
    <definedName name="เงินงวดค่าจ้างสชป.14">#REF!</definedName>
    <definedName name="เงินงวดค่าจ้างสชป.15">#REF!</definedName>
    <definedName name="เงินงวดค่าจ้างสชป.16">#REF!</definedName>
    <definedName name="เงินงวดค่าจ้างสชป.17">#REF!</definedName>
    <definedName name="เงินงวดค่าจ้างสชป.2">#REF!</definedName>
    <definedName name="เงินงวดค่าจ้างสชป.3">#REF!</definedName>
    <definedName name="เงินงวดค่าจ้างสชป.4">#REF!</definedName>
    <definedName name="เงินงวดค่าจ้างสชป.5">#REF!</definedName>
    <definedName name="เงินงวดค่าจ้างสชป.6">#REF!</definedName>
    <definedName name="เงินงวดค่าจ้างสชป.7">#REF!</definedName>
    <definedName name="เงินงวดค่าจ้างสชป.8">#REF!</definedName>
    <definedName name="เงินงวดค่าจ้างสชป.9">#REF!</definedName>
    <definedName name="เงินงวดจ้างเหมา">#REF!</definedName>
    <definedName name="เงินงวดจ้างเหมาสชป.1">#REF!</definedName>
    <definedName name="เงินงวดจ้างเหมาสชป.10">#REF!</definedName>
    <definedName name="เงินงวดจ้างเหมาสชป.11">#REF!</definedName>
    <definedName name="เงินงวดจ้างเหมาสชป.12">#REF!</definedName>
    <definedName name="เงินงวดจ้างเหมาสชป.13">#REF!</definedName>
    <definedName name="เงินงวดจ้างเหมาสชป.14">#REF!</definedName>
    <definedName name="เงินงวดจ้างเหมาสชป.15">#REF!</definedName>
    <definedName name="เงินงวดจ้างเหมาสชป.16">#REF!</definedName>
    <definedName name="เงินงวดจ้างเหมาสชป.17">#REF!</definedName>
    <definedName name="เงินงวดจ้างเหมาสชป.2">#REF!</definedName>
    <definedName name="เงินงวดจ้างเหมาสชป.3">#REF!</definedName>
    <definedName name="เงินงวดจ้างเหมาสชป.4">#REF!</definedName>
    <definedName name="เงินงวดจ้างเหมาสชป.5">#REF!</definedName>
    <definedName name="เงินงวดจ้างเหมาสชป.6">#REF!</definedName>
    <definedName name="เงินงวดจ้างเหมาสชป.7">#REF!</definedName>
    <definedName name="เงินงวดจ้างเหมาสชป.8">#REF!</definedName>
    <definedName name="เงินงวดจ้างเหมาสชป.9">#REF!</definedName>
    <definedName name="เงินงวดทำเองโดยกันส่วนกลาง">#REF!</definedName>
    <definedName name="เงินงวดทำเองโดยกันส่วนกลางสชป.1">#REF!</definedName>
    <definedName name="เงินงวดทำเองโดยกันส่วนกลางสชป.10">#REF!</definedName>
    <definedName name="เงินงวดทำเองโดยกันส่วนกลางสชป.11">#REF!</definedName>
    <definedName name="เงินงวดทำเองโดยกันส่วนกลางสชป.12">#REF!</definedName>
    <definedName name="เงินงวดทำเองโดยกันส่วนกลางสชป.13">#REF!</definedName>
    <definedName name="เงินงวดทำเองโดยกันส่วนกลางสชป.14">#REF!</definedName>
    <definedName name="เงินงวดทำเองโดยกันส่วนกลางสชป.15">#REF!</definedName>
    <definedName name="เงินงวดทำเองโดยกันส่วนกลางสชป.16">#REF!</definedName>
    <definedName name="เงินงวดทำเองโดยกันส่วนกลางสชป.17">#REF!</definedName>
    <definedName name="เงินงวดทำเองโดยกันส่วนกลางสชป.2">#REF!</definedName>
    <definedName name="เงินงวดทำเองโดยกันส่วนกลางสชป.3">#REF!</definedName>
    <definedName name="เงินงวดทำเองโดยกันส่วนกลางสชป.4">#REF!</definedName>
    <definedName name="เงินงวดทำเองโดยกันส่วนกลางสชป.5">#REF!</definedName>
    <definedName name="เงินงวดทำเองโดยกันส่วนกลางสชป.6">#REF!</definedName>
    <definedName name="เงินงวดทำเองโดยกันส่วนกลางสชป.7">#REF!</definedName>
    <definedName name="เงินงวดทำเองโดยกันส่วนกลางสชป.8">#REF!</definedName>
    <definedName name="เงินงวดทำเองโดยกันส่วนกลางสชป.9">#REF!</definedName>
    <definedName name="เงินงวดทำเองโดยโครงการ">#REF!</definedName>
    <definedName name="เงินงวดทำเองโดยโครงการสชป.1">#REF!</definedName>
    <definedName name="เงินงวดทำเองโดยโครงการสชป.10">#REF!</definedName>
    <definedName name="เงินงวดทำเองโดยโครงการสชป.11">#REF!</definedName>
    <definedName name="เงินงวดทำเองโดยโครงการสชป.12">#REF!</definedName>
    <definedName name="เงินงวดทำเองโดยโครงการสชป.13">#REF!</definedName>
    <definedName name="เงินงวดทำเองโดยโครงการสชป.14">#REF!</definedName>
    <definedName name="เงินงวดทำเองโดยโครงการสชป.15">#REF!</definedName>
    <definedName name="เงินงวดทำเองโดยโครงการสชป.16">#REF!</definedName>
    <definedName name="เงินงวดทำเองโดยโครงการสชป.17">#REF!</definedName>
    <definedName name="เงินงวดทำเองโดยโครงการสชป.2">#REF!</definedName>
    <definedName name="เงินงวดทำเองโดยโครงการสชป.3">#REF!</definedName>
    <definedName name="เงินงวดทำเองโดยโครงการสชป.4">#REF!</definedName>
    <definedName name="เงินงวดทำเองโดยโครงการสชป.5">#REF!</definedName>
    <definedName name="เงินงวดทำเองโดยโครงการสชป.6">#REF!</definedName>
    <definedName name="เงินงวดทำเองโดยโครงการสชป.7">#REF!</definedName>
    <definedName name="เงินงวดทำเองโดยโครงการสชป.8">#REF!</definedName>
    <definedName name="เงินงวดทำเองโดยโครงการสชป.9">#REF!</definedName>
    <definedName name="เงินงวดทำเองโดยหน่วยงานอื่น">#REF!</definedName>
    <definedName name="เงินงวดทำเองโดยหน่วยงานอื่นสชป.1">#REF!</definedName>
    <definedName name="เงินงวดทำเองโดยหน่วยงานอื่นสชป.10">#REF!</definedName>
    <definedName name="เงินงวดทำเองโดยหน่วยงานอื่นสชป.11">#REF!</definedName>
    <definedName name="เงินงวดทำเองโดยหน่วยงานอื่นสชป.12">#REF!</definedName>
    <definedName name="เงินงวดทำเองโดยหน่วยงานอื่นสชป.13">#REF!</definedName>
    <definedName name="เงินงวดทำเองโดยหน่วยงานอื่นสชป.14">#REF!</definedName>
    <definedName name="เงินงวดทำเองโดยหน่วยงานอื่นสชป.15">#REF!</definedName>
    <definedName name="เงินงวดทำเองโดยหน่วยงานอื่นสชป.16">#REF!</definedName>
    <definedName name="เงินงวดทำเองโดยหน่วยงานอื่นสชป.17">#REF!</definedName>
    <definedName name="เงินงวดทำเองโดยหน่วยงานอื่นสชป.2">#REF!</definedName>
    <definedName name="เงินงวดทำเองโดยหน่วยงานอื่นสชป.3">#REF!</definedName>
    <definedName name="เงินงวดทำเองโดยหน่วยงานอื่นสชป.4">#REF!</definedName>
    <definedName name="เงินงวดทำเองโดยหน่วยงานอื่นสชป.5">#REF!</definedName>
    <definedName name="เงินงวดทำเองโดยหน่วยงานอื่นสชป.6">#REF!</definedName>
    <definedName name="เงินงวดทำเองโดยหน่วยงานอื่นสชป.7">#REF!</definedName>
    <definedName name="เงินงวดทำเองโดยหน่วยงานอื่นสชป.8">#REF!</definedName>
    <definedName name="เงินงวดทำเองโดยหน่วยงานอื่นสชป.9">#REF!</definedName>
    <definedName name="เงินงวดสชป.1">#REF!</definedName>
    <definedName name="เงินงวดสชป.10">#REF!</definedName>
    <definedName name="เงินงวดสชป.11">#REF!</definedName>
    <definedName name="เงินงวดสชป.12">#REF!</definedName>
    <definedName name="เงินงวดสชป.13">#REF!</definedName>
    <definedName name="เงินงวดสชป.14">#REF!</definedName>
    <definedName name="เงินงวดสชป.15">#REF!</definedName>
    <definedName name="เงินงวดสชป.16">#REF!</definedName>
    <definedName name="เงินงวดสชป.17">#REF!</definedName>
    <definedName name="เงินงวดสชป.2">#REF!</definedName>
    <definedName name="เงินงวดสชป.3">#REF!</definedName>
    <definedName name="เงินงวดสชป.4">#REF!</definedName>
    <definedName name="เงินงวดสชป.5">#REF!</definedName>
    <definedName name="เงินงวดสชป.6">#REF!</definedName>
    <definedName name="เงินงวดสชป.7">#REF!</definedName>
    <definedName name="เงินงวดสชป.8">#REF!</definedName>
    <definedName name="เงินงวดสชป.9">#REF!</definedName>
    <definedName name="จ">#REF!</definedName>
    <definedName name="จังหวัด">#REF!</definedName>
    <definedName name="จัดสรรกันส่วนกลาง">#REF!</definedName>
    <definedName name="จัดสรรต้นปี">#REF!</definedName>
    <definedName name="จัดสรรต้นปีสชป.1">#REF!</definedName>
    <definedName name="จัดสรรต้นปีสชป.10">#REF!</definedName>
    <definedName name="จัดสรรต้นปีสชป.11">#REF!</definedName>
    <definedName name="จัดสรรต้นปีสชป.12">#REF!</definedName>
    <definedName name="จัดสรรต้นปีสชป.2">#REF!</definedName>
    <definedName name="จัดสรรต้นปีสชป.3">#REF!</definedName>
    <definedName name="จัดสรรต้นปีสชป.4">#REF!</definedName>
    <definedName name="จัดสรรต้นปีสชป.5">#REF!</definedName>
    <definedName name="จัดสรรต้นปีสชป.6">#REF!</definedName>
    <definedName name="จัดสรรต้นปีสชป.7">#REF!</definedName>
    <definedName name="จัดสรรต้นปีสชป.8">#REF!</definedName>
    <definedName name="จัดสรรต้นปีสชป.9">#REF!</definedName>
    <definedName name="จัดสรรเพิ่ม">#REF!</definedName>
    <definedName name="จัดสรรเพิ่มสชป.1">#REF!</definedName>
    <definedName name="จัดสรรเพิ่มสชป.10">#REF!</definedName>
    <definedName name="จัดสรรเพิ่มสชป.11">#REF!</definedName>
    <definedName name="จัดสรรเพิ่มสชป.12">#REF!</definedName>
    <definedName name="จัดสรรเพิ่มสชป.13">#REF!</definedName>
    <definedName name="จัดสรรเพิ่มสชป.14">#REF!</definedName>
    <definedName name="จัดสรรเพิ่มสชป.15">#REF!</definedName>
    <definedName name="จัดสรรเพิ่มสชป.16">#REF!</definedName>
    <definedName name="จัดสรรเพิ่มสชป.17">#REF!</definedName>
    <definedName name="จัดสรรเพิ่มสชป.2">#REF!</definedName>
    <definedName name="จัดสรรเพิ่มสชป.3">#REF!</definedName>
    <definedName name="จัดสรรเพิ่มสชป.4">#REF!</definedName>
    <definedName name="จัดสรรเพิ่มสชป.5">#REF!</definedName>
    <definedName name="จัดสรรเพิ่มสชป.6">#REF!</definedName>
    <definedName name="จัดสรรเพิ่มสชป.7">#REF!</definedName>
    <definedName name="จัดสรรเพิ่มสชป.8">#REF!</definedName>
    <definedName name="จัดสรรเพิ่มสชป.9">#REF!</definedName>
    <definedName name="จัดสรรให้สชป.1">#REF!</definedName>
    <definedName name="จัดสรรให้สชป.10">#REF!</definedName>
    <definedName name="จัดสรรให้สชป.11">#REF!</definedName>
    <definedName name="จัดสรรให้สชป.12">#REF!</definedName>
    <definedName name="จัดสรรให้สชป.13">#REF!</definedName>
    <definedName name="จัดสรรให้สชป.14">#REF!</definedName>
    <definedName name="จัดสรรให้สชป.15">#REF!</definedName>
    <definedName name="จัดสรรให้สชป.16">#REF!</definedName>
    <definedName name="จัดสรรให้สชป.17">#REF!</definedName>
    <definedName name="จัดสรรให้สชป.2">#REF!</definedName>
    <definedName name="จัดสรรให้สชป.3">#REF!</definedName>
    <definedName name="จัดสรรให้สชป.4">#REF!</definedName>
    <definedName name="จัดสรรให้สชป.5">#REF!</definedName>
    <definedName name="จัดสรรให้สชป.6">#REF!</definedName>
    <definedName name="จัดสรรให้สชป.7">#REF!</definedName>
    <definedName name="จัดสรรให้สชป.8">#REF!</definedName>
    <definedName name="จัดสรรให้สชป.9">#REF!</definedName>
    <definedName name="จัดสรรให้ส่วนกลาง">#REF!</definedName>
    <definedName name="ฉ">#REF!</definedName>
    <definedName name="ช">#REF!</definedName>
    <definedName name="ช่องระบายทราย">#REF!</definedName>
    <definedName name="ชื่อ_สกุล">#REF!</definedName>
    <definedName name="ฌ">#REF!</definedName>
    <definedName name="ญ">#REF!</definedName>
    <definedName name="ฎีกา84ขอไปปแล้วบาท">#REF!</definedName>
    <definedName name="ฎีกา84ขอไปแล้วโครงการ">#REF!</definedName>
    <definedName name="ฎีกา84ขอมาแล้วโครงการ">#REF!</definedName>
    <definedName name="ฎีกาขอไปแล้วบาท">#REF!</definedName>
    <definedName name="ด">#REF!</definedName>
    <definedName name="ต">#REF!</definedName>
    <definedName name="ตรวจสอบทางย่อย">#REF!</definedName>
    <definedName name="ตรวจสอบทางย่อยสชป.1">#REF!</definedName>
    <definedName name="ตรวจสอบทางย่อยสชป.10">#REF!</definedName>
    <definedName name="ตรวจสอบทางย่อยสชป.11">#REF!</definedName>
    <definedName name="ตรวจสอบทางย่อยสชป.12">#REF!</definedName>
    <definedName name="ตรวจสอบทางย่อยสชป.2">#REF!</definedName>
    <definedName name="ตรวจสอบทางย่อยสชป.3">#REF!</definedName>
    <definedName name="ตรวจสอบทางย่อยสชป.4">#REF!</definedName>
    <definedName name="ตรวจสอบทางย่อยสชป.5">#REF!</definedName>
    <definedName name="ตรวจสอบทางย่อยสชป.6">#REF!</definedName>
    <definedName name="ตรวจสอบทางย่อยสชป.7">#REF!</definedName>
    <definedName name="ตรวจสอบทางย่อยสชป.8">#REF!</definedName>
    <definedName name="ตรวจสอบทางย่อยสชป.9">#REF!</definedName>
    <definedName name="ตัวย่อ">#REF!</definedName>
    <definedName name="ถ">#REF!</definedName>
    <definedName name="ที่ตั้ง_จังหวัด">#REF!</definedName>
    <definedName name="ที่ตั้ง_ตำบล">#REF!</definedName>
    <definedName name="ที่ตั้ง_อำเภอ">#REF!</definedName>
    <definedName name="โทรบ้านพัก">#REF!</definedName>
    <definedName name="โทรมือถือ">#REF!</definedName>
    <definedName name="โทรสายตรง">#REF!</definedName>
    <definedName name="โทรสายใน">#REF!</definedName>
    <definedName name="โทรสาร">#REF!</definedName>
    <definedName name="น">#REF!</definedName>
    <definedName name="นอกแผนขอแล้วโครงการ">#REF!</definedName>
    <definedName name="นอกแผนขอแล้วบาท">[7]โครงการที่ส่งแบบฟอร์มแล้ว!$U$148</definedName>
    <definedName name="นอกแผนโครงการ">#REF!</definedName>
    <definedName name="นอกแผนบาท">#REF!</definedName>
    <definedName name="ในแผนขอแล้วโครงการ">#REF!</definedName>
    <definedName name="ในแผนขอแล้วบาท">[7]โครงการที่ส่งแบบฟอร์มแล้ว!$U$147</definedName>
    <definedName name="ในแผนโครงการ">#REF!</definedName>
    <definedName name="ในแผนบาท">#REF!</definedName>
    <definedName name="บ">#REF!</definedName>
    <definedName name="บก">#REF!</definedName>
    <definedName name="บส">#REF!</definedName>
    <definedName name="เบิกจ่าย">#REF!</definedName>
    <definedName name="ปก">'[8]หน้า ปมก'!$K$848</definedName>
    <definedName name="ปกม.ทำเองโดยกันส่วนกลาง">#REF!</definedName>
    <definedName name="ปกม.ทำเองโดยกันส่วนกลางสชป.1">#REF!</definedName>
    <definedName name="ปกม.ทำเองโดยกันส่วนกลางสชป.10">#REF!</definedName>
    <definedName name="ปกม.ทำเองโดยกันส่วนกลางสชป.11">#REF!</definedName>
    <definedName name="ปกม.ทำเองโดยกันส่วนกลางสชป.12">#REF!</definedName>
    <definedName name="ปกม.ทำเองโดยกันส่วนกลางสชป.13">#REF!</definedName>
    <definedName name="ปกม.ทำเองโดยกันส่วนกลางสชป.14">#REF!</definedName>
    <definedName name="ปกม.ทำเองโดยกันส่วนกลางสชป.15">#REF!</definedName>
    <definedName name="ปกม.ทำเองโดยกันส่วนกลางสชป.16">#REF!</definedName>
    <definedName name="ปกม.ทำเองโดยกันส่วนกลางสชป.17">#REF!</definedName>
    <definedName name="ปกม.ทำเองโดยกันส่วนกลางสชป.2">#REF!</definedName>
    <definedName name="ปกม.ทำเองโดยกันส่วนกลางสชป.3">#REF!</definedName>
    <definedName name="ปกม.ทำเองโดยกันส่วนกลางสชป.4">#REF!</definedName>
    <definedName name="ปกม.ทำเองโดยกันส่วนกลางสชป.5">#REF!</definedName>
    <definedName name="ปกม.ทำเองโดยกันส่วนกลางสชป.6">#REF!</definedName>
    <definedName name="ปกม.ทำเองโดยกันส่วนกลางสชป.7">#REF!</definedName>
    <definedName name="ปกม.ทำเองโดยกันส่วนกลางสชป.8">#REF!</definedName>
    <definedName name="ปกม.ทำเองโดยกันส่วนกลางสชป.9">#REF!</definedName>
    <definedName name="ปกม.ทำเองโดยโครงการ">#REF!</definedName>
    <definedName name="ปกม.ทำเองโดยโครงการสชป.1">#REF!</definedName>
    <definedName name="ปกม.ทำเองโดยโครงการสชป.10">#REF!</definedName>
    <definedName name="ปกม.ทำเองโดยโครงการสชป.11">#REF!</definedName>
    <definedName name="ปกม.ทำเองโดยโครงการสชป.12">#REF!</definedName>
    <definedName name="ปกม.ทำเองโดยโครงการสชป.13">#REF!</definedName>
    <definedName name="ปกม.ทำเองโดยโครงการสชป.14">#REF!</definedName>
    <definedName name="ปกม.ทำเองโดยโครงการสชป.15">#REF!</definedName>
    <definedName name="ปกม.ทำเองโดยโครงการสชป.16">#REF!</definedName>
    <definedName name="ปกม.ทำเองโดยโครงการสชป.17">#REF!</definedName>
    <definedName name="ปกม.ทำเองโดยโครงการสชป.2">#REF!</definedName>
    <definedName name="ปกม.ทำเองโดยโครงการสชป.3">#REF!</definedName>
    <definedName name="ปกม.ทำเองโดยโครงการสชป.4">#REF!</definedName>
    <definedName name="ปกม.ทำเองโดยโครงการสชป.5">#REF!</definedName>
    <definedName name="ปกม.ทำเองโดยโครงการสชป.6">#REF!</definedName>
    <definedName name="ปกม.ทำเองโดยโครงการสชป.7">#REF!</definedName>
    <definedName name="ปกม.ทำเองโดยโครงการสชป.8">#REF!</definedName>
    <definedName name="ปกม.ทำเองโดยโครงการสชป.9">#REF!</definedName>
    <definedName name="ปกม.ทำเองโดยหน่วยงานอื่น">#REF!</definedName>
    <definedName name="ปกม.ทำเองโดยหน่วยงานอื่นสชป.1">#REF!</definedName>
    <definedName name="ปกม.ทำเองโดยหน่วยงานอื่นสชป.10">#REF!</definedName>
    <definedName name="ปกม.ทำเองโดยหน่วยงานอื่นสชป.11">#REF!</definedName>
    <definedName name="ปกม.ทำเองโดยหน่วยงานอื่นสชป.12">#REF!</definedName>
    <definedName name="ปกม.ทำเองโดยหน่วยงานอื่นสชป.13">#REF!</definedName>
    <definedName name="ปกม.ทำเองโดยหน่วยงานอื่นสชป.14">#REF!</definedName>
    <definedName name="ปกม.ทำเองโดยหน่วยงานอื่นสชป.15">#REF!</definedName>
    <definedName name="ปกม.ทำเองโดยหน่วยงานอื่นสชป.16">#REF!</definedName>
    <definedName name="ปกม.ทำเองโดยหน่วยงานอื่นสชป.17">#REF!</definedName>
    <definedName name="ปกม.ทำเองโดยหน่วยงานอื่นสชป.2">#REF!</definedName>
    <definedName name="ปกม.ทำเองโดยหน่วยงานอื่นสชป.3">#REF!</definedName>
    <definedName name="ปกม.ทำเองโดยหน่วยงานอื่นสชป.4">#REF!</definedName>
    <definedName name="ปกม.ทำเองโดยหน่วยงานอื่นสชป.5">#REF!</definedName>
    <definedName name="ปกม.ทำเองโดยหน่วยงานอื่นสชป.6">#REF!</definedName>
    <definedName name="ปกม.ทำเองโดยหน่วยงานอื่นสชป.7">#REF!</definedName>
    <definedName name="ปกม.ทำเองโดยหน่วยงานอื่นสชป.8">#REF!</definedName>
    <definedName name="ปกม.ทำเองโดยหน่วยงานอื่นสชป.9">#REF!</definedName>
    <definedName name="ปกม.ทำเองโดยหน่วยงานอื่นสชป13">#REF!</definedName>
    <definedName name="ปกม.ทำเองโดยหน่วยงานอื่นสชป14">#REF!</definedName>
    <definedName name="ปกม.ทำเองโดยหน่วยงานอื่นสชป15">#REF!</definedName>
    <definedName name="ปกม.ทำเองโดยหน่วยงานอื่นสชป16">#REF!</definedName>
    <definedName name="ปกม.ทำเองโดยหน่วยงานอื่นสชป17">#REF!</definedName>
    <definedName name="ปมก.">#REF!</definedName>
    <definedName name="ปมก.ค่าจ้าง">#REF!</definedName>
    <definedName name="ปมก.ค่าจ้างสชป.1">#REF!</definedName>
    <definedName name="ปมก.ค่าจ้างสชป.10">#REF!</definedName>
    <definedName name="ปมก.ค่าจ้างสชป.11">#REF!</definedName>
    <definedName name="ปมก.ค่าจ้างสชป.12">#REF!</definedName>
    <definedName name="ปมก.ค่าจ้างสชป.13">#REF!</definedName>
    <definedName name="ปมก.ค่าจ้างสชป.14">#REF!</definedName>
    <definedName name="ปมก.ค่าจ้างสชป.15">#REF!</definedName>
    <definedName name="ปมก.ค่าจ้างสชป.16">#REF!</definedName>
    <definedName name="ปมก.ค่าจ้างสชป.17">#REF!</definedName>
    <definedName name="ปมก.ค่าจ้างสชป.2">#REF!</definedName>
    <definedName name="ปมก.ค่าจ้างสชป.3">#REF!</definedName>
    <definedName name="ปมก.ค่าจ้างสชป.4">#REF!</definedName>
    <definedName name="ปมก.ค่าจ้างสชป.5">#REF!</definedName>
    <definedName name="ปมก.ค่าจ้างสชป.6">#REF!</definedName>
    <definedName name="ปมก.ค่าจ้างสชป.7">#REF!</definedName>
    <definedName name="ปมก.ค่าจ้างสชป.8">#REF!</definedName>
    <definedName name="ปมก.ค่าจ้างสชป.9">#REF!</definedName>
    <definedName name="ปมก.จ้างเหมา">#REF!</definedName>
    <definedName name="ปมก.จ้างเหมาสชป.1">#REF!</definedName>
    <definedName name="ปมก.จ้างเหมาสชป.10">#REF!</definedName>
    <definedName name="ปมก.จ้างเหมาสชป.11">#REF!</definedName>
    <definedName name="ปมก.จ้างเหมาสชป.12">#REF!</definedName>
    <definedName name="ปมก.จ้างเหมาสชป.13">#REF!</definedName>
    <definedName name="ปมก.จ้างเหมาสชป.14">#REF!</definedName>
    <definedName name="ปมก.จ้างเหมาสชป.15">#REF!</definedName>
    <definedName name="ปมก.จ้างเหมาสชป.16">#REF!</definedName>
    <definedName name="ปมก.จ้างเหมาสชป.17">#REF!</definedName>
    <definedName name="ปมก.จ้างเหมาสชป.2">#REF!</definedName>
    <definedName name="ปมก.จ้างเหมาสชป.3">#REF!</definedName>
    <definedName name="ปมก.จ้างเหมาสชป.4">#REF!</definedName>
    <definedName name="ปมก.จ้างเหมาสชป.5">#REF!</definedName>
    <definedName name="ปมก.จ้างเหมาสชป.6">#REF!</definedName>
    <definedName name="ปมก.จ้างเหมาสชป.7">#REF!</definedName>
    <definedName name="ปมก.จ้างเหมาสชป.8">#REF!</definedName>
    <definedName name="ปมก.จ้างเหมาสชป.9">#REF!</definedName>
    <definedName name="ปมก.จ้างเหมาสชป14">#REF!</definedName>
    <definedName name="ปมก.จ้างเหมาสชป15">#REF!</definedName>
    <definedName name="ปมก.จ้างเหมาสชป16">#REF!</definedName>
    <definedName name="ปมก.จ้างเหมาสชป17">#REF!</definedName>
    <definedName name="ปมก.ทั้งหมด">#REF!</definedName>
    <definedName name="ปมก.ทั้งหมดสชป.1">#REF!</definedName>
    <definedName name="ปมก.ทั้งหมดสชป.10">#REF!</definedName>
    <definedName name="ปมก.ทั้งหมดสชป.11">#REF!</definedName>
    <definedName name="ปมก.ทั้งหมดสชป.12">#REF!</definedName>
    <definedName name="ปมก.ทั้งหมดสชป.13">#REF!</definedName>
    <definedName name="ปมก.ทั้งหมดสชป.14">#REF!</definedName>
    <definedName name="ปมก.ทั้งหมดสชป.15">#REF!</definedName>
    <definedName name="ปมก.ทั้งหมดสชป.16">#REF!</definedName>
    <definedName name="ปมก.ทั้งหมดสชป.17">#REF!</definedName>
    <definedName name="ปมก.ทั้งหมดสชป.2">#REF!</definedName>
    <definedName name="ปมก.ทั้งหมดสชป.3">#REF!</definedName>
    <definedName name="ปมก.ทั้งหมดสชป.4">#REF!</definedName>
    <definedName name="ปมก.ทั้งหมดสชป.5">#REF!</definedName>
    <definedName name="ปมก.ทั้งหมดสชป.6">#REF!</definedName>
    <definedName name="ปมก.ทั้งหมดสชป.7">#REF!</definedName>
    <definedName name="ปมก.ทั้งหมดสชป.8">#REF!</definedName>
    <definedName name="ปมก.ทั้งหมดสชป.9">#REF!</definedName>
    <definedName name="ปมก.ทางย่อย">#REF!</definedName>
    <definedName name="ปมก.ทางย่อยสชป.1">#REF!</definedName>
    <definedName name="ปมก.ทางย่อยสชป.10">#REF!</definedName>
    <definedName name="ปมก.ทางย่อยสชป.11">#REF!</definedName>
    <definedName name="ปมก.ทางย่อยสชป.12">#REF!</definedName>
    <definedName name="ปมก.ทางย่อยสชป.2">#REF!</definedName>
    <definedName name="ปมก.ทางย่อยสชป.3">#REF!</definedName>
    <definedName name="ปมก.ทางย่อยสชป.4">#REF!</definedName>
    <definedName name="ปมก.ทางย่อยสชป.5">#REF!</definedName>
    <definedName name="ปมก.ทางย่อยสชป.6">#REF!</definedName>
    <definedName name="ปมก.ทางย่อยสชป.7">#REF!</definedName>
    <definedName name="ปมก.ทางย่อยสชป.8">#REF!</definedName>
    <definedName name="ปมก.ทางย่อยสชป.9">#REF!</definedName>
    <definedName name="ปมก.ทำเองโดยโครงการสชป.13">#REF!</definedName>
    <definedName name="ปมก.ทำเองโดยโครงการสชป.14">#REF!</definedName>
    <definedName name="ปมก.ทำเองโดยโครงการสชป.15">#REF!</definedName>
    <definedName name="ปมก.ทำเองโดยโครงการสชป.16">#REF!</definedName>
    <definedName name="ปมก.ทำเองโดยโครงการสชป.17">#REF!</definedName>
    <definedName name="ปมก.ปรับปรุงระบบ">#REF!</definedName>
    <definedName name="ปมก.ปรับปรุงฯสชป.1">#REF!</definedName>
    <definedName name="ปมก.ปรับปรุงฯสชป.10">#REF!</definedName>
    <definedName name="ปมก.ปรับปรุงฯสชป.11">#REF!</definedName>
    <definedName name="ปมก.ปรับปรุงฯสชป.12">#REF!</definedName>
    <definedName name="ปมก.ปรับปรุงฯสชป.2">#REF!</definedName>
    <definedName name="ปมก.ปรับปรุงฯสชป.3">#REF!</definedName>
    <definedName name="ปมก.ปรับปรุงฯสชป.4">#REF!</definedName>
    <definedName name="ปมก.ปรับปรุงฯสชป.5">#REF!</definedName>
    <definedName name="ปมก.ปรับปรุงฯสชป.6">#REF!</definedName>
    <definedName name="ปมก.ปรับปรุงฯสชป.7">#REF!</definedName>
    <definedName name="ปมก.ปรับปรุงฯสชป.8">#REF!</definedName>
    <definedName name="ปมก.ปรับปรุงฯสชป.9">#REF!</definedName>
    <definedName name="ปมก.สชป.1">#REF!</definedName>
    <definedName name="ปมก.สชป.10">#REF!</definedName>
    <definedName name="ปมก.สชป.11">#REF!</definedName>
    <definedName name="ปมก.สชป.12">#REF!</definedName>
    <definedName name="ปมก.สชป.13">#REF!</definedName>
    <definedName name="ปมก.สชป.14">#REF!</definedName>
    <definedName name="ปมก.สชป.15">#REF!</definedName>
    <definedName name="ปมก.สชป.16">#REF!</definedName>
    <definedName name="ปมก.สชป.17">#REF!</definedName>
    <definedName name="ปมก.สชป.2">#REF!</definedName>
    <definedName name="ปมก.สชป.3">#REF!</definedName>
    <definedName name="ปมก.สชป.4">#REF!</definedName>
    <definedName name="ปมก.สชป.5">#REF!</definedName>
    <definedName name="ปมก.สชป.6">#REF!</definedName>
    <definedName name="ปมก.สชป.7">#REF!</definedName>
    <definedName name="ปมก.สชป.8">#REF!</definedName>
    <definedName name="ปมก.สชป.9">#REF!</definedName>
    <definedName name="ปมก.สชป.ส่วนกลาง">#REF!</definedName>
    <definedName name="แผน">#REF!</definedName>
    <definedName name="แผนทั้งหมด">#REF!</definedName>
    <definedName name="แผนทั้งหมดสชป.1">#REF!</definedName>
    <definedName name="แผนทั้งหมดสชป.10">#REF!</definedName>
    <definedName name="แผนทั้งหมดสชป.11">#REF!</definedName>
    <definedName name="แผนทั้งหมดสชป.12">#REF!</definedName>
    <definedName name="แผนทั้งหมดสชป.13">#REF!</definedName>
    <definedName name="แผนทั้งหมดสชป.14">#REF!</definedName>
    <definedName name="แผนทั้งหมดสชป.15">#REF!</definedName>
    <definedName name="แผนทั้งหมดสชป.16">#REF!</definedName>
    <definedName name="แผนทั้งหมดสชป.17">#REF!</definedName>
    <definedName name="แผนทั้งหมดสชป.2">#REF!</definedName>
    <definedName name="แผนทั้งหมดสชป.3">#REF!</definedName>
    <definedName name="แผนทั้งหมดสชป.4">#REF!</definedName>
    <definedName name="แผนทั้งหมดสชป.5">#REF!</definedName>
    <definedName name="แผนทั้งหมดสชป.6">#REF!</definedName>
    <definedName name="แผนทั้งหมดสชป.7">#REF!</definedName>
    <definedName name="แผนทั้งหมดสชป.8">#REF!</definedName>
    <definedName name="แผนทั้งหมดสชป.9">#REF!</definedName>
    <definedName name="แผนทางย่อย">#REF!</definedName>
    <definedName name="แผนปรับปรุงระบบ">#REF!</definedName>
    <definedName name="แผนปรับปรุงฯสชป.1">#REF!</definedName>
    <definedName name="แผนปรับปรุงฯสชป.10">#REF!</definedName>
    <definedName name="แผนปรับปรุงฯสชป.11">#REF!</definedName>
    <definedName name="แผนปรับปรุงฯสชป.12">#REF!</definedName>
    <definedName name="แผนปรับปรุงฯสชป.2">#REF!</definedName>
    <definedName name="แผนปรับปรุงฯสชป.3">#REF!</definedName>
    <definedName name="แผนปรับปรุงฯสชป.4">#REF!</definedName>
    <definedName name="แผนปรับปรุงฯสชป.5">#REF!</definedName>
    <definedName name="แผนปรับปรุงฯสชป.6">#REF!</definedName>
    <definedName name="แผนปรับปรุงฯสชป.7">#REF!</definedName>
    <definedName name="แผนปรับปรุงฯสชป.8">#REF!</definedName>
    <definedName name="แผนปรับปรุงฯสชป.9">#REF!</definedName>
    <definedName name="ฝายเด่นทัพทัน">#REF!</definedName>
    <definedName name="ฝายธารสดึง2">#REF!</definedName>
    <definedName name="ฝายบ้านหนองจิกยาว">#REF!</definedName>
    <definedName name="ฝายบ้านใหม่">#REF!</definedName>
    <definedName name="ฝายหนองกระดาน">#REF!</definedName>
    <definedName name="ฝายหนองกาหลง">#REF!</definedName>
    <definedName name="ฝายห้วยบง3">#REF!</definedName>
    <definedName name="ฝายห้วยอีจ่างพร้อมขุดลอก">#REF!</definedName>
    <definedName name="ฝายหูช้าง">#REF!</definedName>
    <definedName name="พ34">#REF!</definedName>
    <definedName name="พพพพ">#REF!</definedName>
    <definedName name="พรบ.">#REF!</definedName>
    <definedName name="พรบ.สชป.1">#REF!</definedName>
    <definedName name="พรบ.สชป.10">#REF!</definedName>
    <definedName name="พรบ.สชป.11">#REF!</definedName>
    <definedName name="พรบ.สชป.12">#REF!</definedName>
    <definedName name="พรบ.สชป.13">#REF!</definedName>
    <definedName name="พรบ.สชป.14">#REF!</definedName>
    <definedName name="พรบ.สชป.15">#REF!</definedName>
    <definedName name="พรบ.สชป.16">#REF!</definedName>
    <definedName name="พรบ.สชป.17">#REF!</definedName>
    <definedName name="พรบ.สชป.2">#REF!</definedName>
    <definedName name="พรบ.สชป.3">#REF!</definedName>
    <definedName name="พรบ.สชป.4">#REF!</definedName>
    <definedName name="พรบ.สชป.5">#REF!</definedName>
    <definedName name="พรบ.สชป.6">#REF!</definedName>
    <definedName name="พรบ.สชป.7">#REF!</definedName>
    <definedName name="พรบ.สชป.8">#REF!</definedName>
    <definedName name="พรบ.สชป.9">#REF!</definedName>
    <definedName name="พื้นตอม่อ">#REF!</definedName>
    <definedName name="พื้นสะพาน">#REF!</definedName>
    <definedName name="ฟ133">#REF!</definedName>
    <definedName name="ย">#REF!</definedName>
    <definedName name="ย1">#REF!</definedName>
    <definedName name="ย10">#REF!</definedName>
    <definedName name="ย11">#REF!</definedName>
    <definedName name="ย12">#REF!</definedName>
    <definedName name="ย13">#REF!</definedName>
    <definedName name="ย14">#REF!</definedName>
    <definedName name="ย15">#REF!</definedName>
    <definedName name="ย16">#REF!</definedName>
    <definedName name="ย17">#REF!</definedName>
    <definedName name="ย18">#REF!</definedName>
    <definedName name="ย19">#REF!</definedName>
    <definedName name="ย2">#REF!</definedName>
    <definedName name="ย20">#REF!</definedName>
    <definedName name="ย21">#REF!</definedName>
    <definedName name="ย22">#REF!</definedName>
    <definedName name="ย23">#REF!</definedName>
    <definedName name="ย24">#REF!</definedName>
    <definedName name="ย3">#REF!</definedName>
    <definedName name="ย4">#REF!</definedName>
    <definedName name="ย5">#REF!</definedName>
    <definedName name="ย6">#REF!</definedName>
    <definedName name="ย7">#REF!</definedName>
    <definedName name="ย8">#REF!</definedName>
    <definedName name="ย9">#REF!</definedName>
    <definedName name="ยกเลิกทางย่อยสชป.11">#REF!</definedName>
    <definedName name="ยกเลิกสชป.1">#REF!</definedName>
    <definedName name="ยกเลิกสชป.10">#REF!</definedName>
    <definedName name="ยกเลิกสชป.11">#REF!</definedName>
    <definedName name="ยกเลิกสชป.12">#REF!</definedName>
    <definedName name="ยกเลิกสชป.13">#REF!</definedName>
    <definedName name="ยกเลิกสชป.14">#REF!</definedName>
    <definedName name="ยกเลิกสชป.15">#REF!</definedName>
    <definedName name="ยกเลิกสชป.16">#REF!</definedName>
    <definedName name="ยกเลิกสชป.17">#REF!</definedName>
    <definedName name="ยกเลิกสชป.2">#REF!</definedName>
    <definedName name="ยกเลิกสชป.3">#REF!</definedName>
    <definedName name="ยกเลิกสชป.4">#REF!</definedName>
    <definedName name="ยกเลิกสชป.5">#REF!</definedName>
    <definedName name="ยกเลิกสชป.6">#REF!</definedName>
    <definedName name="ยกเลิกสชป.7">#REF!</definedName>
    <definedName name="ยกเลิกสชป.8">#REF!</definedName>
    <definedName name="ยกเลิกสชป.9">#REF!</definedName>
    <definedName name="ร">#REF!</definedName>
    <definedName name="รต.ด้านหน้า">#REF!</definedName>
    <definedName name="รต.ตัวฝาย">#REF!</definedName>
    <definedName name="รต.ท้ายฝาย">#REF!</definedName>
    <definedName name="รต.พื้นด้านหน้า">#REF!</definedName>
    <definedName name="รตท">#REF!</definedName>
    <definedName name="รตน">#REF!</definedName>
    <definedName name="รตฝ">#REF!</definedName>
    <definedName name="รตพ">#REF!</definedName>
    <definedName name="รวม">#REF!</definedName>
    <definedName name="รวมดำเนินการเอง">#REF!</definedName>
    <definedName name="รหัส">#REF!</definedName>
    <definedName name="รหัสงบประมาณ">#REF!</definedName>
    <definedName name="รหัสจังหวัด">#REF!</definedName>
    <definedName name="รหัสลุ่มน้ำ">#REF!</definedName>
    <definedName name="รอความต้องการ">#REF!</definedName>
    <definedName name="รอความต้องการงปม.">#REF!</definedName>
    <definedName name="รอความต้องการงปม.สชป.1">#REF!</definedName>
    <definedName name="รอความต้องการงปม.สชป.10">#REF!</definedName>
    <definedName name="รอความต้องการงปม.สชป.11">#REF!</definedName>
    <definedName name="รอความต้องการงปม.สชป.12">#REF!</definedName>
    <definedName name="รอความต้องการงปม.สชป.13">#REF!</definedName>
    <definedName name="รอความต้องการงปม.สชป.14">#REF!</definedName>
    <definedName name="รอความต้องการงปม.สชป.15">#REF!</definedName>
    <definedName name="รอความต้องการงปม.สชป.16">#REF!</definedName>
    <definedName name="รอความต้องการงปม.สชป.17">#REF!</definedName>
    <definedName name="รอความต้องการงปม.สชป.2">#REF!</definedName>
    <definedName name="รอความต้องการงปม.สชป.3">#REF!</definedName>
    <definedName name="รอความต้องการงปม.สชป.4">#REF!</definedName>
    <definedName name="รอความต้องการงปม.สชป.5">#REF!</definedName>
    <definedName name="รอความต้องการงปม.สชป.6">#REF!</definedName>
    <definedName name="รอความต้องการงปม.สชป.7">#REF!</definedName>
    <definedName name="รอความต้องการงปม.สชป.8">#REF!</definedName>
    <definedName name="รอความต้องการงปม.สชป.9">#REF!</definedName>
    <definedName name="รอความต้องการสชป.1">#REF!</definedName>
    <definedName name="รอความต้องการสชป.10">#REF!</definedName>
    <definedName name="รอความต้องการสชป.11">#REF!</definedName>
    <definedName name="รอความต้องการสชป.12">#REF!</definedName>
    <definedName name="รอความต้องการสชป.13">#REF!</definedName>
    <definedName name="รอความต้องการสชป.14">#REF!</definedName>
    <definedName name="รอความต้องการสชป.15">#REF!</definedName>
    <definedName name="รอความต้องการสชป.16">#REF!</definedName>
    <definedName name="รอความต้องการสชป.17">#REF!</definedName>
    <definedName name="รอความต้องการสชป.2">#REF!</definedName>
    <definedName name="รอความต้องการสชป.3">#REF!</definedName>
    <definedName name="รอความต้องการสชป.4">#REF!</definedName>
    <definedName name="รอความต้องการสชป.5">#REF!</definedName>
    <definedName name="รอความต้องการสชป.6">#REF!</definedName>
    <definedName name="รอความต้องการสชป.7">#REF!</definedName>
    <definedName name="รอความต้องการสชป.8">#REF!</definedName>
    <definedName name="รอความต้องการสชป.9">#REF!</definedName>
    <definedName name="รองวด">#REF!</definedName>
    <definedName name="รองวดทางย่อย">#REF!</definedName>
    <definedName name="รองวดทางย่อยสชป.1">#REF!</definedName>
    <definedName name="รองวดทางย่อยสชป.10">#REF!</definedName>
    <definedName name="รองวดทางย่อยสชป.11">#REF!</definedName>
    <definedName name="รองวดทางย่อยสชป.12">#REF!</definedName>
    <definedName name="รองวดทางย่อยสชป.2">#REF!</definedName>
    <definedName name="รองวดทางย่อยสชป.3">#REF!</definedName>
    <definedName name="รองวดทางย่อยสชป.4">#REF!</definedName>
    <definedName name="รองวดทางย่อยสชป.5">#REF!</definedName>
    <definedName name="รองวดทางย่อยสชป.6">#REF!</definedName>
    <definedName name="รองวดทางย่อยสชป.7">#REF!</definedName>
    <definedName name="รองวดทางย่อยสชป.8">#REF!</definedName>
    <definedName name="รองวดทางย่อยสชป.9">#REF!</definedName>
    <definedName name="รองวดปรับปรุงระบบ">#REF!</definedName>
    <definedName name="รองวดปรับปรุงฯสชป.1">#REF!</definedName>
    <definedName name="รองวดปรับปรุงฯสชป.10">#REF!</definedName>
    <definedName name="รองวดปรับปรุงฯสชป.11">#REF!</definedName>
    <definedName name="รองวดปรับปรุงฯสชป.12">#REF!</definedName>
    <definedName name="รองวดปรับปรุงฯสชป.2">#REF!</definedName>
    <definedName name="รองวดปรับปรุงฯสชป.3">#REF!</definedName>
    <definedName name="รองวดปรับปรุงฯสชป.4">#REF!</definedName>
    <definedName name="รองวดปรับปรุงฯสชป.5">#REF!</definedName>
    <definedName name="รองวดปรับปรุงฯสชป.6">#REF!</definedName>
    <definedName name="รองวดปรับปรุงฯสชป.7">#REF!</definedName>
    <definedName name="รองวดปรับปรุงฯสชป.8">#REF!</definedName>
    <definedName name="รองวดปรับปรุงฯสชป.9">#REF!</definedName>
    <definedName name="รองวดสชป.1">#REF!</definedName>
    <definedName name="รองวดสชป.10">#REF!</definedName>
    <definedName name="รองวดสชป.11">#REF!</definedName>
    <definedName name="รองวดสชป.12">#REF!</definedName>
    <definedName name="รองวดสชป.13">#REF!</definedName>
    <definedName name="รองวดสชป.14">#REF!</definedName>
    <definedName name="รองวดสชป.15">#REF!</definedName>
    <definedName name="รองวดสชป.16">#REF!</definedName>
    <definedName name="รองวดสชป.17">#REF!</definedName>
    <definedName name="รองวดสชป.2">#REF!</definedName>
    <definedName name="รองวดสชป.3">#REF!</definedName>
    <definedName name="รองวดสชป.4">#REF!</definedName>
    <definedName name="รองวดสชป.5">#REF!</definedName>
    <definedName name="รองวดสชป.6">#REF!</definedName>
    <definedName name="รองวดสชป.7">#REF!</definedName>
    <definedName name="รองวดสชป.8">#REF!</definedName>
    <definedName name="รองวดสชป.9">#REF!</definedName>
    <definedName name="รอตรวจสอบ">#REF!</definedName>
    <definedName name="รอตรวจสอบสชป.1">#REF!</definedName>
    <definedName name="รอตรวจสอบสชป.10">#REF!</definedName>
    <definedName name="รอตรวจสอบสชป.11">#REF!</definedName>
    <definedName name="รอตรวจสอบสชป.12">#REF!</definedName>
    <definedName name="รอตรวจสอบสชป.13">#REF!</definedName>
    <definedName name="รอตรวจสอบสชป.14">#REF!</definedName>
    <definedName name="รอตรวจสอบสชป.15">#REF!</definedName>
    <definedName name="รอตรวจสอบสชป.16">#REF!</definedName>
    <definedName name="รอตรวจสอบสชป.17">#REF!</definedName>
    <definedName name="รอตรวจสอบสชป.2">#REF!</definedName>
    <definedName name="รอตรวจสอบสชป.3">#REF!</definedName>
    <definedName name="รอตรวจสอบสชป.4">#REF!</definedName>
    <definedName name="รอตรวจสอบสชป.5">#REF!</definedName>
    <definedName name="รอตรวจสอบสชป.6">#REF!</definedName>
    <definedName name="รอตรวจสอบสชป.7">#REF!</definedName>
    <definedName name="รอตรวจสอบสชป.8">#REF!</definedName>
    <definedName name="รอตรวจสอบสชป.9">#REF!</definedName>
    <definedName name="รายการความต้องการ">#REF!</definedName>
    <definedName name="รายการความต้องการงปม.">#REF!</definedName>
    <definedName name="รายการความต้องการงปม.สชป.1">#REF!</definedName>
    <definedName name="รายการความต้องการงปม.สชป.10">#REF!</definedName>
    <definedName name="รายการความต้องการงปม.สชป.11">#REF!</definedName>
    <definedName name="รายการความต้องการงปม.สชป.12">#REF!</definedName>
    <definedName name="รายการความต้องการงปม.สชป.13">#REF!</definedName>
    <definedName name="รายการความต้องการงปม.สชป.14">#REF!</definedName>
    <definedName name="รายการความต้องการงปม.สชป.15">#REF!</definedName>
    <definedName name="รายการความต้องการงปม.สชป.16">#REF!</definedName>
    <definedName name="รายการความต้องการงปม.สชป.17">#REF!</definedName>
    <definedName name="รายการความต้องการงปม.สชป.2">#REF!</definedName>
    <definedName name="รายการความต้องการงปม.สชป.3">#REF!</definedName>
    <definedName name="รายการความต้องการงปม.สชป.4">#REF!</definedName>
    <definedName name="รายการความต้องการงปม.สชป.5">#REF!</definedName>
    <definedName name="รายการความต้องการงปม.สชป.6">#REF!</definedName>
    <definedName name="รายการความต้องการงปม.สชป.7">#REF!</definedName>
    <definedName name="รายการความต้องการงปม.สชป.8">#REF!</definedName>
    <definedName name="รายการความต้องการงปม.สชป.9">#REF!</definedName>
    <definedName name="รายการค้างปมก.">#REF!</definedName>
    <definedName name="รายการค้างปมก.สชป.1">#REF!</definedName>
    <definedName name="รายการค้างปมก.สชป.10">#REF!</definedName>
    <definedName name="รายการค้างปมก.สชป.11">#REF!</definedName>
    <definedName name="รายการค้างปมก.สชป.12">#REF!</definedName>
    <definedName name="รายการค้างปมก.สชป.13">#REF!</definedName>
    <definedName name="รายการค้างปมก.สชป.14">#REF!</definedName>
    <definedName name="รายการค้างปมก.สชป.15">#REF!</definedName>
    <definedName name="รายการค้างปมก.สชป.16">#REF!</definedName>
    <definedName name="รายการค้างปมก.สชป.17">#REF!</definedName>
    <definedName name="รายการค้างปมก.สชป.2">#REF!</definedName>
    <definedName name="รายการค้างปมก.สชป.3">#REF!</definedName>
    <definedName name="รายการค้างปมก.สชป.4">#REF!</definedName>
    <definedName name="รายการค้างปมก.สชป.5">#REF!</definedName>
    <definedName name="รายการค้างปมก.สชป.6">#REF!</definedName>
    <definedName name="รายการค้างปมก.สชป.7">#REF!</definedName>
    <definedName name="รายการค้างปมก.สชป.8">#REF!</definedName>
    <definedName name="รายการค้างปมก.สชป.9">#REF!</definedName>
    <definedName name="รายการงปม.รวม">#REF!</definedName>
    <definedName name="รายการงปม.รวมสชป.1">#REF!</definedName>
    <definedName name="รายการงปม.รวมสชป.10">#REF!</definedName>
    <definedName name="รายการงปม.รวมสชป.11">#REF!</definedName>
    <definedName name="รายการงปม.รวมสชป.12">#REF!</definedName>
    <definedName name="รายการงปม.รวมสชป.13">#REF!</definedName>
    <definedName name="รายการงปม.รวมสชป.14">#REF!</definedName>
    <definedName name="รายการงปม.รวมสชป.15">#REF!</definedName>
    <definedName name="รายการงปม.รวมสชป.16">#REF!</definedName>
    <definedName name="รายการงปม.รวมสชป.17">#REF!</definedName>
    <definedName name="รายการงปม.รวมสชป.2">#REF!</definedName>
    <definedName name="รายการงปม.รวมสชป.3">#REF!</definedName>
    <definedName name="รายการงปม.รวมสชป.4">#REF!</definedName>
    <definedName name="รายการงปม.รวมสชป.5">#REF!</definedName>
    <definedName name="รายการงปม.รวมสชป.6">#REF!</definedName>
    <definedName name="รายการงปม.รวมสชป.7">#REF!</definedName>
    <definedName name="รายการงปม.รวมสชป.8">#REF!</definedName>
    <definedName name="รายการงปม.รวมสชป.9">#REF!</definedName>
    <definedName name="รายการเงินงวด">#REF!</definedName>
    <definedName name="รายการเงินงวดสชป.1">#REF!</definedName>
    <definedName name="รายการเงินงวดสชป.10">#REF!</definedName>
    <definedName name="รายการเงินงวดสชป.11">#REF!</definedName>
    <definedName name="รายการเงินงวดสชป.12">#REF!</definedName>
    <definedName name="รายการเงินงวดสชป.13">#REF!</definedName>
    <definedName name="รายการเงินงวดสชป.14">#REF!</definedName>
    <definedName name="รายการเงินงวดสชป.15">#REF!</definedName>
    <definedName name="รายการเงินงวดสชป.16">#REF!</definedName>
    <definedName name="รายการเงินงวดสชป.17">#REF!</definedName>
    <definedName name="รายการเงินงวดสชป.2">#REF!</definedName>
    <definedName name="รายการเงินงวดสชป.3">#REF!</definedName>
    <definedName name="รายการเงินงวดสชป.4">#REF!</definedName>
    <definedName name="รายการเงินงวดสชป.5">#REF!</definedName>
    <definedName name="รายการเงินงวดสชป.6">#REF!</definedName>
    <definedName name="รายการเงินงวดสชป.7">#REF!</definedName>
    <definedName name="รายการเงินงวดสชป.8">#REF!</definedName>
    <definedName name="รายการเงินงวดสชป.9">#REF!</definedName>
    <definedName name="รายการปมก.">#REF!</definedName>
    <definedName name="รายการปมก.ทั้งหมด">#REF!</definedName>
    <definedName name="รายการปมก.ทั้งหมดสชป.1">#REF!</definedName>
    <definedName name="รายการปมก.ทั้งหมดสชป.10">#REF!</definedName>
    <definedName name="รายการปมก.ทั้งหมดสชป.11">#REF!</definedName>
    <definedName name="รายการปมก.ทั้งหมดสชป.12">#REF!</definedName>
    <definedName name="รายการปมก.ทั้งหมดสชป.13">#REF!</definedName>
    <definedName name="รายการปมก.ทั้งหมดสชป.14">#REF!</definedName>
    <definedName name="รายการปมก.ทั้งหมดสชป.15">#REF!</definedName>
    <definedName name="รายการปมก.ทั้งหมดสชป.16">#REF!</definedName>
    <definedName name="รายการปมก.ทั้งหมดสชป.17">#REF!</definedName>
    <definedName name="รายการปมก.ทั้งหมดสชป.2">#REF!</definedName>
    <definedName name="รายการปมก.ทั้งหมดสชป.3">#REF!</definedName>
    <definedName name="รายการปมก.ทั้งหมดสชป.4">#REF!</definedName>
    <definedName name="รายการปมก.ทั้งหมดสชป.5">#REF!</definedName>
    <definedName name="รายการปมก.ทั้งหมดสชป.6">#REF!</definedName>
    <definedName name="รายการปมก.ทั้งหมดสชป.7">#REF!</definedName>
    <definedName name="รายการปมก.ทั้งหมดสชป.8">#REF!</definedName>
    <definedName name="รายการปมก.ทั้งหมดสชป.9">#REF!</definedName>
    <definedName name="รายการปมก.สชป.1">#REF!</definedName>
    <definedName name="รายการปมก.สชป.10">#REF!</definedName>
    <definedName name="รายการปมก.สชป.11">#REF!</definedName>
    <definedName name="รายการปมก.สชป.12">#REF!</definedName>
    <definedName name="รายการปมก.สชป.13">#REF!</definedName>
    <definedName name="รายการปมก.สชป.14">#REF!</definedName>
    <definedName name="รายการปมก.สชป.15">#REF!</definedName>
    <definedName name="รายการปมก.สชป.16">#REF!</definedName>
    <definedName name="รายการปมก.สชป.17">#REF!</definedName>
    <definedName name="รายการปมก.สชป.2">#REF!</definedName>
    <definedName name="รายการปมก.สชป.3">#REF!</definedName>
    <definedName name="รายการปมก.สชป.4">#REF!</definedName>
    <definedName name="รายการปมก.สชป.5">#REF!</definedName>
    <definedName name="รายการปมก.สชป.6">#REF!</definedName>
    <definedName name="รายการปมก.สชป.7">#REF!</definedName>
    <definedName name="รายการปมก.สชป.8">#REF!</definedName>
    <definedName name="รายการปมก.สชป.9">#REF!</definedName>
    <definedName name="รายการปมก.ส่วนกลาง">#REF!</definedName>
    <definedName name="รายการแผนทั้งหมด">#REF!</definedName>
    <definedName name="รายการแผนทั้งหมดสชป.1">#REF!</definedName>
    <definedName name="รายการแผนทั้งหมดสชป.10">#REF!</definedName>
    <definedName name="รายการแผนทั้งหมดสชป.11">#REF!</definedName>
    <definedName name="รายการแผนทั้งหมดสชป.12">#REF!</definedName>
    <definedName name="รายการแผนทั้งหมดสชป.13">#REF!</definedName>
    <definedName name="รายการแผนทั้งหมดสชป.14">#REF!</definedName>
    <definedName name="รายการแผนทั้งหมดสชป.15">#REF!</definedName>
    <definedName name="รายการแผนทั้งหมดสชป.16">#REF!</definedName>
    <definedName name="รายการแผนทั้งหมดสชป.17">#REF!</definedName>
    <definedName name="รายการแผนทั้งหมดสชป.2">#REF!</definedName>
    <definedName name="รายการแผนทั้งหมดสชป.3">#REF!</definedName>
    <definedName name="รายการแผนทั้งหมดสชป.4">#REF!</definedName>
    <definedName name="รายการแผนทั้งหมดสชป.5">#REF!</definedName>
    <definedName name="รายการแผนทั้งหมดสชป.6">#REF!</definedName>
    <definedName name="รายการแผนทั้งหมดสชป.7">#REF!</definedName>
    <definedName name="รายการแผนทั้งหมดสชป.8">#REF!</definedName>
    <definedName name="รายการแผนทั้งหมดสชป.9">#REF!</definedName>
    <definedName name="รายการยกเลิก">#REF!</definedName>
    <definedName name="รายการยกเลิกสชป.1">#REF!</definedName>
    <definedName name="รายการยกเลิกสชป.10">#REF!</definedName>
    <definedName name="รายการยกเลิกสชป.11">#REF!</definedName>
    <definedName name="รายการยกเลิกสชป.12">#REF!</definedName>
    <definedName name="รายการยกเลิกสชป.13">#REF!</definedName>
    <definedName name="รายการยกเลิกสชป.14">#REF!</definedName>
    <definedName name="รายการยกเลิกสชป.15">#REF!</definedName>
    <definedName name="รายการยกเลิกสชป.16">#REF!</definedName>
    <definedName name="รายการยกเลิกสชป.17">#REF!</definedName>
    <definedName name="รายการยกเลิกสชป.2">#REF!</definedName>
    <definedName name="รายการยกเลิกสชป.3">#REF!</definedName>
    <definedName name="รายการยกเลิกสชป.4">#REF!</definedName>
    <definedName name="รายการยกเลิกสชป.5">#REF!</definedName>
    <definedName name="รายการยกเลิกสชป.6">#REF!</definedName>
    <definedName name="รายการยกเลิกสชป.7">#REF!</definedName>
    <definedName name="รายการยกเลิกสชป.8">#REF!</definedName>
    <definedName name="รายการยกเลิกสชป.9">#REF!</definedName>
    <definedName name="รายการรอความต้องการงปม.">#REF!</definedName>
    <definedName name="รายการรอความต้องการงปม.สชป.1">#REF!</definedName>
    <definedName name="รายการรอความต้องการงปม.สชป.10">#REF!</definedName>
    <definedName name="รายการรอความต้องการงปม.สชป.11">#REF!</definedName>
    <definedName name="รายการรอความต้องการงปม.สชป.12">#REF!</definedName>
    <definedName name="รายการรอความต้องการงปม.สชป.13">#REF!</definedName>
    <definedName name="รายการรอความต้องการงปม.สชป.14">#REF!</definedName>
    <definedName name="รายการรอความต้องการงปม.สชป.15">#REF!</definedName>
    <definedName name="รายการรอความต้องการงปม.สชป.16">#REF!</definedName>
    <definedName name="รายการรอความต้องการงปม.สชป.17">#REF!</definedName>
    <definedName name="รายการรอความต้องการงปม.สชป.2">#REF!</definedName>
    <definedName name="รายการรอความต้องการงปม.สชป.3">#REF!</definedName>
    <definedName name="รายการรอความต้องการงปม.สชป.4">#REF!</definedName>
    <definedName name="รายการรอความต้องการงปม.สชป.5">#REF!</definedName>
    <definedName name="รายการรอความต้องการงปม.สชป.6">#REF!</definedName>
    <definedName name="รายการรอความต้องการงปม.สชป.7">#REF!</definedName>
    <definedName name="รายการรอความต้องการงปม.สชป.8">#REF!</definedName>
    <definedName name="รายการรอความต้องการงปม.สชป.9">#REF!</definedName>
    <definedName name="รายการรองวด">#REF!</definedName>
    <definedName name="รายการรองวดสชป.1">#REF!</definedName>
    <definedName name="รายการรองวดสชป.10">#REF!</definedName>
    <definedName name="รายการรองวดสชป.11">#REF!</definedName>
    <definedName name="รายการรองวดสชป.12">#REF!</definedName>
    <definedName name="รายการรองวดสชป.13">#REF!</definedName>
    <definedName name="รายการรองวดสชป.14">#REF!</definedName>
    <definedName name="รายการรองวดสชป.15">#REF!</definedName>
    <definedName name="รายการรองวดสชป.16">#REF!</definedName>
    <definedName name="รายการรองวดสชป.17">#REF!</definedName>
    <definedName name="รายการรองวดสชป.2">#REF!</definedName>
    <definedName name="รายการรองวดสชป.3">#REF!</definedName>
    <definedName name="รายการรองวดสชป.4">#REF!</definedName>
    <definedName name="รายการรองวดสชป.5">#REF!</definedName>
    <definedName name="รายการรองวดสชป.6">#REF!</definedName>
    <definedName name="รายการรองวดสชป.7">#REF!</definedName>
    <definedName name="รายการรองวดสชป.8">#REF!</definedName>
    <definedName name="รายการรองวดสชป.9">#REF!</definedName>
    <definedName name="รายการรอตรวจสอบ">#REF!</definedName>
    <definedName name="รายการรอตรวจสอบสชป.1">#REF!</definedName>
    <definedName name="รายการรอตรวจสอบสชป.10">#REF!</definedName>
    <definedName name="รายการรอตรวจสอบสชป.11">#REF!</definedName>
    <definedName name="รายการรอตรวจสอบสชป.12">#REF!</definedName>
    <definedName name="รายการรอตรวจสอบสชป.13">#REF!</definedName>
    <definedName name="รายการรอตรวจสอบสชป.14">#REF!</definedName>
    <definedName name="รายการรอตรวจสอบสชป.15">#REF!</definedName>
    <definedName name="รายการรอตรวจสอบสชป.16">#REF!</definedName>
    <definedName name="รายการรอตรวจสอบสชป.17">#REF!</definedName>
    <definedName name="รายการรอตรวจสอบสชป.2">#REF!</definedName>
    <definedName name="รายการรอตรวจสอบสชป.3">#REF!</definedName>
    <definedName name="รายการรอตรวจสอบสชป.4">#REF!</definedName>
    <definedName name="รายการรอตรวจสอบสชป.5">#REF!</definedName>
    <definedName name="รายการรอตรวจสอบสชป.6">#REF!</definedName>
    <definedName name="รายการรอตรวจสอบสชป.7">#REF!</definedName>
    <definedName name="รายการรอตรวจสอบสชป.8">#REF!</definedName>
    <definedName name="รายการรอตรวจสอบสชป.9">#REF!</definedName>
    <definedName name="รายการเสนอความต้องการ">#REF!</definedName>
    <definedName name="รายการเสนอความต้องการสชป.1">#REF!</definedName>
    <definedName name="รายการเสนอความต้องการสชป.10">#REF!</definedName>
    <definedName name="รายการเสนอความต้องการสชป.11">#REF!</definedName>
    <definedName name="รายการเสนอความต้องการสชป.12">#REF!</definedName>
    <definedName name="รายการเสนอความต้องการสชป.13">#REF!</definedName>
    <definedName name="รายการเสนอความต้องการสชป.14">#REF!</definedName>
    <definedName name="รายการเสนอความต้องการสชป.15">#REF!</definedName>
    <definedName name="รายการเสนอความต้องการสชป.16">#REF!</definedName>
    <definedName name="รายการเสนอความต้องการสชป.17">#REF!</definedName>
    <definedName name="รายการเสนอความต้องการสชป.2">#REF!</definedName>
    <definedName name="รายการเสนอความต้องการสชป.3">#REF!</definedName>
    <definedName name="รายการเสนอความต้องการสชป.4">#REF!</definedName>
    <definedName name="รายการเสนอความต้องการสชป.5">#REF!</definedName>
    <definedName name="รายการเสนอความต้องการสชป.6">#REF!</definedName>
    <definedName name="รายการเสนอความต้องการสชป.7">#REF!</definedName>
    <definedName name="รายการเสนอความต้องการสชป.8">#REF!</definedName>
    <definedName name="รายการเสนอความต้องการสชป.9">#REF!</definedName>
    <definedName name="รายการอนุมัติแผน">#REF!</definedName>
    <definedName name="รายการอนุมัติแผนสชป.1">#REF!</definedName>
    <definedName name="รายการอนุมัติแผนสชป.10">#REF!</definedName>
    <definedName name="รายการอนุมัติแผนสชป.11">#REF!</definedName>
    <definedName name="รายการอนุมัติแผนสชป.12">#REF!</definedName>
    <definedName name="รายการอนุมัติแผนสชป.13">#REF!</definedName>
    <definedName name="รายการอนุมัติแผนสชป.14">#REF!</definedName>
    <definedName name="รายการอนุมัติแผนสชป.15">#REF!</definedName>
    <definedName name="รายการอนุมัติแผนสชป.16">#REF!</definedName>
    <definedName name="รายการอนุมัติแผนสชป.17">#REF!</definedName>
    <definedName name="รายการอนุมัติแผนสชป.2">#REF!</definedName>
    <definedName name="รายการอนุมัติแผนสชป.3">#REF!</definedName>
    <definedName name="รายการอนุมัติแผนสชป.4">#REF!</definedName>
    <definedName name="รายการอนุมัติแผนสชป.5">#REF!</definedName>
    <definedName name="รายการอนุมัติแผนสชป.6">#REF!</definedName>
    <definedName name="รายการอนุมัติแผนสชป.7">#REF!</definedName>
    <definedName name="รายการอนุมัติแผนสชป.8">#REF!</definedName>
    <definedName name="รายการอนุมัติแผนสชป.9">#REF!</definedName>
    <definedName name="รายการอนุมัติแผนส่วนกลาง">#REF!</definedName>
    <definedName name="รายละเอียดงบประมาณ">#REF!</definedName>
    <definedName name="รายละเอียดงาน">#REF!</definedName>
    <definedName name="รูปตัดที่1">#REF!</definedName>
    <definedName name="รูปตัดที่2">#REF!</definedName>
    <definedName name="รูปตัดที่3">#REF!</definedName>
    <definedName name="รูปที่1">#REF!</definedName>
    <definedName name="รูปที่2">#REF!</definedName>
    <definedName name="ลำดับเลขงบประมาณ">#REF!</definedName>
    <definedName name="ลุ่มน้ำ">#REF!</definedName>
    <definedName name="เลขปมก.งบประมาณ">#REF!</definedName>
    <definedName name="เลขประมาณการ">#REF!</definedName>
    <definedName name="วงเงินงบประมาณ">#REF!</definedName>
    <definedName name="ศก">#REF!</definedName>
    <definedName name="ส">#REF!</definedName>
    <definedName name="สงปอนุมัติโครงการ">#REF!</definedName>
    <definedName name="สงปอนุมัติบาท">#REF!</definedName>
    <definedName name="สชป.ลุ่มน้ำ">#REF!</definedName>
    <definedName name="สาส">#REF!</definedName>
    <definedName name="เสนอขอความต้องการงปม.">#REF!</definedName>
    <definedName name="เสนอความต้องการ">#REF!</definedName>
    <definedName name="เสนอความต้องการสชป.1">#REF!</definedName>
    <definedName name="เสนอความต้องการสชป.10">#REF!</definedName>
    <definedName name="เสนอความต้องการสชป.11">#REF!</definedName>
    <definedName name="เสนอความต้องการสชป.12">#REF!</definedName>
    <definedName name="เสนอความต้องการสชป.13">#REF!</definedName>
    <definedName name="เสนอความต้องการสชป.14">#REF!</definedName>
    <definedName name="เสนอความต้องการสชป.15">#REF!</definedName>
    <definedName name="เสนอความต้องการสชป.16">#REF!</definedName>
    <definedName name="เสนอความต้องการสชป.17">#REF!</definedName>
    <definedName name="เสนอความต้องการสชป.2">#REF!</definedName>
    <definedName name="เสนอความต้องการสชป.3">#REF!</definedName>
    <definedName name="เสนอความต้องการสชป.4">#REF!</definedName>
    <definedName name="เสนอความต้องการสชป.5">#REF!</definedName>
    <definedName name="เสนอความต้องการสชป.6">#REF!</definedName>
    <definedName name="เสนอความต้องการสชป.7">#REF!</definedName>
    <definedName name="เสนอความต้องการสชป.8">#REF!</definedName>
    <definedName name="เสนอความต้องการสชป.9">#REF!</definedName>
    <definedName name="เสา">#REF!</definedName>
    <definedName name="หน่วยงาน">#REF!</definedName>
    <definedName name="หลังสะพาน">#REF!</definedName>
    <definedName name="อนุมัติแผน">#REF!</definedName>
    <definedName name="อนุมัติแผนทางย่อย">#REF!</definedName>
    <definedName name="อนุมัติแผนทางย่อยสชป.1">#REF!</definedName>
    <definedName name="อนุมัติแผนทางย่อยสชป.10">#REF!</definedName>
    <definedName name="อนุมัติแผนทางย่อยสชป.11">#REF!</definedName>
    <definedName name="อนุมัติแผนทางย่อยสชป.12">#REF!</definedName>
    <definedName name="อนุมัติแผนทางย่อยสชป.2">#REF!</definedName>
    <definedName name="อนุมัติแผนทางย่อยสชป.3">#REF!</definedName>
    <definedName name="อนุมัติแผนทางย่อยสชป.4">#REF!</definedName>
    <definedName name="อนุมัติแผนทางย่อยสชป.5">#REF!</definedName>
    <definedName name="อนุมัติแผนทางย่อยสชป.6">#REF!</definedName>
    <definedName name="อนุมัติแผนทางย่อยสชป.7">#REF!</definedName>
    <definedName name="อนุมัติแผนทางย่อยสชป.8">#REF!</definedName>
    <definedName name="อนุมัติแผนทางย่อยสชป.9">#REF!</definedName>
    <definedName name="อนุมัติแผนสชป.1">#REF!</definedName>
    <definedName name="อนุมัติแผนสชป.10">#REF!</definedName>
    <definedName name="อนุมัติแผนสชป.11">#REF!</definedName>
    <definedName name="อนุมัติแผนสชป.12">#REF!</definedName>
    <definedName name="อนุมัติแผนสชป.13">#REF!</definedName>
    <definedName name="อนุมัติแผนสชป.14">#REF!</definedName>
    <definedName name="อนุมัติแผนสชป.15">#REF!</definedName>
    <definedName name="อนุมัติแผนสชป.16">#REF!</definedName>
    <definedName name="อนุมัติแผนสชป.17">#REF!</definedName>
    <definedName name="อนุมัติแผนสชป.2">#REF!</definedName>
    <definedName name="อนุมัติแผนสชป.3">#REF!</definedName>
    <definedName name="อนุมัติแผนสชป.4">#REF!</definedName>
    <definedName name="อนุมัติแผนสชป.5">#REF!</definedName>
    <definedName name="อนุมัติแผนสชป.6">#REF!</definedName>
    <definedName name="อนุมัติแผนสชป.7">#REF!</definedName>
    <definedName name="อนุมัติแผนสชป.8">#REF!</definedName>
    <definedName name="อนุมัติแผนสชป.9">#REF!</definedName>
    <definedName name="อนุมัติแผนสชปส่วนกลาง">#REF!</definedName>
    <definedName name="อยู่ในเขตสชป.">#REF!</definedName>
    <definedName name="โอนกลับส่วนกลาง">#REF!</definedName>
    <definedName name="โอนกลับส่วนกลางสชป.1">#REF!</definedName>
    <definedName name="โอนกลับส่วนกลางสชป.10">#REF!</definedName>
    <definedName name="โอนกลับส่วนกลางสชป.11">#REF!</definedName>
    <definedName name="โอนกลับส่วนกลางสชป.12">#REF!</definedName>
    <definedName name="โอนกลับส่วนกลางสชป.13">#REF!</definedName>
    <definedName name="โอนกลับส่วนกลางสชป.14">#REF!</definedName>
    <definedName name="โอนกลับส่วนกลางสชป.15">#REF!</definedName>
    <definedName name="โอนกลับส่วนกลางสชป.16">#REF!</definedName>
    <definedName name="โอนกลับส่วนกลางสชป.17">#REF!</definedName>
    <definedName name="โอนกลับส่วนกลางสชป.2">#REF!</definedName>
    <definedName name="โอนกลับส่วนกลางสชป.3">#REF!</definedName>
    <definedName name="โอนกลับส่วนกลางสชป.4">#REF!</definedName>
    <definedName name="โอนกลับส่วนกลางสชป.5">#REF!</definedName>
    <definedName name="โอนกลับส่วนกลางสชป.6">#REF!</definedName>
    <definedName name="โอนกลับส่วนกลางสชป.7">#REF!</definedName>
    <definedName name="โอนกลับส่วนกลางสชป.8">#REF!</definedName>
    <definedName name="โอนกลับส่วนกลางสชป.9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J560" i="1" l="1"/>
  <c r="CJ562" i="1" s="1"/>
  <c r="CI560" i="1"/>
  <c r="CI562" i="1" s="1"/>
  <c r="CH560" i="1"/>
  <c r="CH562" i="1" s="1"/>
  <c r="CG560" i="1"/>
  <c r="CG562" i="1" s="1"/>
  <c r="CF560" i="1"/>
  <c r="CF562" i="1" s="1"/>
  <c r="CE560" i="1"/>
  <c r="CE562" i="1" s="1"/>
  <c r="CD560" i="1"/>
  <c r="CD562" i="1" s="1"/>
  <c r="CC560" i="1"/>
  <c r="CC562" i="1" s="1"/>
  <c r="CB560" i="1"/>
  <c r="CB562" i="1" s="1"/>
  <c r="CA560" i="1"/>
  <c r="CA562" i="1" s="1"/>
  <c r="BZ560" i="1"/>
  <c r="BZ562" i="1" s="1"/>
  <c r="BY560" i="1"/>
  <c r="BY562" i="1" s="1"/>
  <c r="BX555" i="1"/>
  <c r="BU555" i="1"/>
  <c r="BE555" i="1"/>
  <c r="BA555" i="1"/>
  <c r="AZ555" i="1"/>
  <c r="AV555" i="1"/>
  <c r="AQ555" i="1"/>
  <c r="AP555" i="1"/>
  <c r="AK555" i="1"/>
  <c r="BS555" i="1" s="1"/>
  <c r="BP555" i="1" s="1"/>
  <c r="AJ555" i="1"/>
  <c r="AF555" i="1"/>
  <c r="AE555" i="1"/>
  <c r="Z555" i="1"/>
  <c r="U555" i="1"/>
  <c r="N555" i="1"/>
  <c r="J555" i="1"/>
  <c r="I555" i="1"/>
  <c r="BV554" i="1"/>
  <c r="BX554" i="1" s="1"/>
  <c r="BU554" i="1"/>
  <c r="BE554" i="1"/>
  <c r="BA554" i="1"/>
  <c r="BB554" i="1" s="1"/>
  <c r="AZ554" i="1"/>
  <c r="AV554" i="1"/>
  <c r="AQ554" i="1"/>
  <c r="AP554" i="1"/>
  <c r="BG554" i="1" s="1"/>
  <c r="AK554" i="1"/>
  <c r="BS554" i="1" s="1"/>
  <c r="AJ554" i="1"/>
  <c r="AH554" i="1"/>
  <c r="AF554" i="1"/>
  <c r="AE554" i="1"/>
  <c r="Z554" i="1"/>
  <c r="U554" i="1"/>
  <c r="N554" i="1"/>
  <c r="J554" i="1"/>
  <c r="I554" i="1"/>
  <c r="K554" i="1" s="1"/>
  <c r="BX553" i="1"/>
  <c r="BV553" i="1"/>
  <c r="BU553" i="1"/>
  <c r="BE553" i="1"/>
  <c r="BA553" i="1"/>
  <c r="BA548" i="1" s="1"/>
  <c r="BA547" i="1" s="1"/>
  <c r="AZ553" i="1"/>
  <c r="AV553" i="1"/>
  <c r="AQ553" i="1"/>
  <c r="AP553" i="1"/>
  <c r="BG553" i="1" s="1"/>
  <c r="AK553" i="1"/>
  <c r="AH553" i="1" s="1"/>
  <c r="AJ553" i="1"/>
  <c r="AF553" i="1"/>
  <c r="AE553" i="1"/>
  <c r="Z553" i="1"/>
  <c r="U553" i="1"/>
  <c r="N553" i="1"/>
  <c r="J553" i="1"/>
  <c r="I553" i="1"/>
  <c r="BV552" i="1"/>
  <c r="BX552" i="1" s="1"/>
  <c r="BU552" i="1"/>
  <c r="BE552" i="1"/>
  <c r="BA552" i="1"/>
  <c r="AZ552" i="1"/>
  <c r="AV552" i="1"/>
  <c r="AQ552" i="1"/>
  <c r="BH552" i="1" s="1"/>
  <c r="AP552" i="1"/>
  <c r="AK552" i="1"/>
  <c r="BS552" i="1" s="1"/>
  <c r="AJ552" i="1"/>
  <c r="AF552" i="1"/>
  <c r="AE552" i="1"/>
  <c r="Z552" i="1"/>
  <c r="U552" i="1"/>
  <c r="N552" i="1"/>
  <c r="J552" i="1"/>
  <c r="I552" i="1"/>
  <c r="BX551" i="1"/>
  <c r="BU551" i="1"/>
  <c r="BA551" i="1"/>
  <c r="AZ551" i="1"/>
  <c r="AV551" i="1"/>
  <c r="AQ551" i="1"/>
  <c r="AP551" i="1"/>
  <c r="AK551" i="1"/>
  <c r="AJ551" i="1"/>
  <c r="BR551" i="1" s="1"/>
  <c r="AF551" i="1"/>
  <c r="AE551" i="1"/>
  <c r="Z551" i="1"/>
  <c r="U551" i="1"/>
  <c r="N551" i="1"/>
  <c r="J551" i="1"/>
  <c r="I551" i="1"/>
  <c r="BV550" i="1"/>
  <c r="BX550" i="1" s="1"/>
  <c r="BU550" i="1"/>
  <c r="BE550" i="1"/>
  <c r="BA550" i="1"/>
  <c r="AZ550" i="1"/>
  <c r="AU550" i="1"/>
  <c r="AP550" i="1"/>
  <c r="AJ550" i="1"/>
  <c r="AF550" i="1"/>
  <c r="AE550" i="1"/>
  <c r="AD550" i="1"/>
  <c r="AK550" i="1" s="1"/>
  <c r="Z550" i="1"/>
  <c r="U550" i="1"/>
  <c r="N550" i="1"/>
  <c r="M550" i="1"/>
  <c r="J550" i="1" s="1"/>
  <c r="I550" i="1"/>
  <c r="BV549" i="1"/>
  <c r="BX549" i="1" s="1"/>
  <c r="BU549" i="1"/>
  <c r="BE549" i="1"/>
  <c r="BA549" i="1"/>
  <c r="AZ549" i="1"/>
  <c r="AV549" i="1"/>
  <c r="AQ549" i="1"/>
  <c r="BH549" i="1" s="1"/>
  <c r="AP549" i="1"/>
  <c r="AJ549" i="1"/>
  <c r="AG549" i="1" s="1"/>
  <c r="AF549" i="1"/>
  <c r="AD549" i="1"/>
  <c r="Z549" i="1"/>
  <c r="U549" i="1"/>
  <c r="M549" i="1"/>
  <c r="I549" i="1"/>
  <c r="BW548" i="1"/>
  <c r="BF548" i="1"/>
  <c r="BF547" i="1" s="1"/>
  <c r="BD548" i="1"/>
  <c r="BD547" i="1" s="1"/>
  <c r="BC548" i="1"/>
  <c r="AY548" i="1"/>
  <c r="AT548" i="1"/>
  <c r="AT547" i="1" s="1"/>
  <c r="AO548" i="1"/>
  <c r="AO547" i="1" s="1"/>
  <c r="AO530" i="1" s="1"/>
  <c r="AN548" i="1"/>
  <c r="AN547" i="1" s="1"/>
  <c r="AM548" i="1"/>
  <c r="AF548" i="1"/>
  <c r="AF547" i="1" s="1"/>
  <c r="AC548" i="1"/>
  <c r="AC547" i="1" s="1"/>
  <c r="AB548" i="1"/>
  <c r="AB547" i="1" s="1"/>
  <c r="AA548" i="1"/>
  <c r="Y548" i="1"/>
  <c r="Y547" i="1" s="1"/>
  <c r="X548" i="1"/>
  <c r="X547" i="1" s="1"/>
  <c r="W548" i="1"/>
  <c r="V548" i="1"/>
  <c r="T548" i="1"/>
  <c r="T547" i="1" s="1"/>
  <c r="S548" i="1"/>
  <c r="S547" i="1" s="1"/>
  <c r="R548" i="1"/>
  <c r="Q548" i="1"/>
  <c r="Q547" i="1" s="1"/>
  <c r="P548" i="1"/>
  <c r="P547" i="1" s="1"/>
  <c r="O548" i="1"/>
  <c r="O547" i="1" s="1"/>
  <c r="L548" i="1"/>
  <c r="L547" i="1" s="1"/>
  <c r="H548" i="1"/>
  <c r="H547" i="1" s="1"/>
  <c r="D548" i="1"/>
  <c r="C548" i="1"/>
  <c r="C547" i="1" s="1"/>
  <c r="BW547" i="1"/>
  <c r="BC547" i="1"/>
  <c r="AY547" i="1"/>
  <c r="AY530" i="1" s="1"/>
  <c r="AM547" i="1"/>
  <c r="AA547" i="1"/>
  <c r="W547" i="1"/>
  <c r="V547" i="1"/>
  <c r="R547" i="1"/>
  <c r="D547" i="1"/>
  <c r="D530" i="1" s="1"/>
  <c r="BV546" i="1"/>
  <c r="BX546" i="1" s="1"/>
  <c r="BU546" i="1"/>
  <c r="BE546" i="1"/>
  <c r="BA546" i="1"/>
  <c r="AZ546" i="1"/>
  <c r="AV546" i="1"/>
  <c r="AQ546" i="1"/>
  <c r="BH546" i="1" s="1"/>
  <c r="AP546" i="1"/>
  <c r="AK546" i="1"/>
  <c r="BS546" i="1" s="1"/>
  <c r="AJ546" i="1"/>
  <c r="AL546" i="1" s="1"/>
  <c r="AH546" i="1"/>
  <c r="AF546" i="1"/>
  <c r="AE546" i="1"/>
  <c r="Z546" i="1"/>
  <c r="U546" i="1"/>
  <c r="N546" i="1"/>
  <c r="J546" i="1"/>
  <c r="I546" i="1"/>
  <c r="K546" i="1" s="1"/>
  <c r="BX545" i="1"/>
  <c r="BU545" i="1"/>
  <c r="BE545" i="1"/>
  <c r="BA545" i="1"/>
  <c r="AZ545" i="1"/>
  <c r="BB545" i="1" s="1"/>
  <c r="AV545" i="1"/>
  <c r="AQ545" i="1"/>
  <c r="AP545" i="1"/>
  <c r="AJ545" i="1"/>
  <c r="AF545" i="1"/>
  <c r="AD545" i="1"/>
  <c r="Z545" i="1"/>
  <c r="U545" i="1"/>
  <c r="M545" i="1"/>
  <c r="I545" i="1"/>
  <c r="BV544" i="1"/>
  <c r="BX544" i="1" s="1"/>
  <c r="BU544" i="1"/>
  <c r="BE544" i="1"/>
  <c r="BA544" i="1"/>
  <c r="AZ544" i="1"/>
  <c r="BB544" i="1" s="1"/>
  <c r="AV544" i="1"/>
  <c r="AQ544" i="1"/>
  <c r="AP544" i="1"/>
  <c r="AK544" i="1"/>
  <c r="BS544" i="1" s="1"/>
  <c r="AJ544" i="1"/>
  <c r="AG544" i="1" s="1"/>
  <c r="AF544" i="1"/>
  <c r="AE544" i="1"/>
  <c r="Z544" i="1"/>
  <c r="U544" i="1"/>
  <c r="N544" i="1"/>
  <c r="J544" i="1"/>
  <c r="I544" i="1"/>
  <c r="BX543" i="1"/>
  <c r="BU543" i="1"/>
  <c r="BE543" i="1"/>
  <c r="BA543" i="1"/>
  <c r="AZ543" i="1"/>
  <c r="AV543" i="1"/>
  <c r="AQ543" i="1"/>
  <c r="AP543" i="1"/>
  <c r="AK543" i="1"/>
  <c r="AJ543" i="1"/>
  <c r="BR543" i="1" s="1"/>
  <c r="AF543" i="1"/>
  <c r="AE543" i="1"/>
  <c r="Z543" i="1"/>
  <c r="U543" i="1"/>
  <c r="N543" i="1"/>
  <c r="J543" i="1"/>
  <c r="I543" i="1"/>
  <c r="BX542" i="1"/>
  <c r="BU542" i="1"/>
  <c r="BE542" i="1"/>
  <c r="BA542" i="1"/>
  <c r="AZ542" i="1"/>
  <c r="AV542" i="1"/>
  <c r="AQ542" i="1"/>
  <c r="AP542" i="1"/>
  <c r="AK542" i="1"/>
  <c r="BS542" i="1" s="1"/>
  <c r="AJ542" i="1"/>
  <c r="AF542" i="1"/>
  <c r="AE542" i="1"/>
  <c r="Z542" i="1"/>
  <c r="U542" i="1"/>
  <c r="N542" i="1"/>
  <c r="J542" i="1"/>
  <c r="I542" i="1"/>
  <c r="BV541" i="1"/>
  <c r="BX541" i="1" s="1"/>
  <c r="BU541" i="1"/>
  <c r="BE541" i="1"/>
  <c r="BA541" i="1"/>
  <c r="AZ541" i="1"/>
  <c r="AV541" i="1"/>
  <c r="AQ541" i="1"/>
  <c r="AP541" i="1"/>
  <c r="AK541" i="1"/>
  <c r="AJ541" i="1"/>
  <c r="AG541" i="1" s="1"/>
  <c r="AF541" i="1"/>
  <c r="AE541" i="1"/>
  <c r="Z541" i="1"/>
  <c r="U541" i="1"/>
  <c r="N541" i="1"/>
  <c r="J541" i="1"/>
  <c r="I541" i="1"/>
  <c r="BX540" i="1"/>
  <c r="BU540" i="1"/>
  <c r="BE540" i="1"/>
  <c r="BA540" i="1"/>
  <c r="AZ540" i="1"/>
  <c r="AV540" i="1"/>
  <c r="AQ540" i="1"/>
  <c r="AP540" i="1"/>
  <c r="AK540" i="1"/>
  <c r="AJ540" i="1"/>
  <c r="BR540" i="1" s="1"/>
  <c r="AF540" i="1"/>
  <c r="AE540" i="1"/>
  <c r="Z540" i="1"/>
  <c r="U540" i="1"/>
  <c r="N540" i="1"/>
  <c r="J540" i="1"/>
  <c r="I540" i="1"/>
  <c r="BV539" i="1"/>
  <c r="BX539" i="1" s="1"/>
  <c r="BU539" i="1"/>
  <c r="BE539" i="1"/>
  <c r="BA539" i="1"/>
  <c r="AZ539" i="1"/>
  <c r="AV539" i="1"/>
  <c r="AQ539" i="1"/>
  <c r="AP539" i="1"/>
  <c r="AJ539" i="1"/>
  <c r="BR539" i="1" s="1"/>
  <c r="AF539" i="1"/>
  <c r="AD539" i="1"/>
  <c r="AE539" i="1" s="1"/>
  <c r="Z539" i="1"/>
  <c r="U539" i="1"/>
  <c r="N539" i="1"/>
  <c r="J539" i="1"/>
  <c r="I539" i="1"/>
  <c r="BV538" i="1"/>
  <c r="BX538" i="1" s="1"/>
  <c r="BU538" i="1"/>
  <c r="BE538" i="1"/>
  <c r="BA538" i="1"/>
  <c r="AZ538" i="1"/>
  <c r="AV538" i="1"/>
  <c r="AQ538" i="1"/>
  <c r="AP538" i="1"/>
  <c r="AJ538" i="1"/>
  <c r="AF538" i="1"/>
  <c r="AD538" i="1"/>
  <c r="Z538" i="1"/>
  <c r="U538" i="1"/>
  <c r="N538" i="1"/>
  <c r="J538" i="1"/>
  <c r="I538" i="1"/>
  <c r="BX537" i="1"/>
  <c r="BU537" i="1"/>
  <c r="BE537" i="1"/>
  <c r="BA537" i="1"/>
  <c r="AZ537" i="1"/>
  <c r="AV537" i="1"/>
  <c r="AQ537" i="1"/>
  <c r="AP537" i="1"/>
  <c r="AJ537" i="1"/>
  <c r="BR537" i="1" s="1"/>
  <c r="AG537" i="1"/>
  <c r="AF537" i="1"/>
  <c r="AD537" i="1"/>
  <c r="AE537" i="1" s="1"/>
  <c r="Z537" i="1"/>
  <c r="U537" i="1"/>
  <c r="N537" i="1"/>
  <c r="J537" i="1"/>
  <c r="I537" i="1"/>
  <c r="BX536" i="1"/>
  <c r="BU536" i="1"/>
  <c r="BE536" i="1"/>
  <c r="BA536" i="1"/>
  <c r="AZ536" i="1"/>
  <c r="AU536" i="1"/>
  <c r="AV536" i="1" s="1"/>
  <c r="AP536" i="1"/>
  <c r="AK536" i="1"/>
  <c r="AJ536" i="1"/>
  <c r="AF536" i="1"/>
  <c r="AE536" i="1"/>
  <c r="Z536" i="1"/>
  <c r="U536" i="1"/>
  <c r="N536" i="1"/>
  <c r="J536" i="1"/>
  <c r="I536" i="1"/>
  <c r="BV535" i="1"/>
  <c r="BX535" i="1" s="1"/>
  <c r="BU535" i="1"/>
  <c r="BE535" i="1"/>
  <c r="BA535" i="1"/>
  <c r="AZ535" i="1"/>
  <c r="AV535" i="1"/>
  <c r="AQ535" i="1"/>
  <c r="AP535" i="1"/>
  <c r="AK535" i="1"/>
  <c r="AJ535" i="1"/>
  <c r="AF535" i="1"/>
  <c r="AE535" i="1"/>
  <c r="Z535" i="1"/>
  <c r="U535" i="1"/>
  <c r="N535" i="1"/>
  <c r="J535" i="1"/>
  <c r="I535" i="1"/>
  <c r="BV534" i="1"/>
  <c r="BX534" i="1" s="1"/>
  <c r="BU534" i="1"/>
  <c r="BE534" i="1"/>
  <c r="BA534" i="1"/>
  <c r="BB534" i="1" s="1"/>
  <c r="AZ534" i="1"/>
  <c r="AV534" i="1"/>
  <c r="AQ534" i="1"/>
  <c r="AP534" i="1"/>
  <c r="AK534" i="1"/>
  <c r="AJ534" i="1"/>
  <c r="AF534" i="1"/>
  <c r="AE534" i="1"/>
  <c r="Z534" i="1"/>
  <c r="U534" i="1"/>
  <c r="N534" i="1"/>
  <c r="J534" i="1"/>
  <c r="I534" i="1"/>
  <c r="BV533" i="1"/>
  <c r="BX533" i="1" s="1"/>
  <c r="BU533" i="1"/>
  <c r="BE533" i="1"/>
  <c r="BA533" i="1"/>
  <c r="AZ533" i="1"/>
  <c r="AV533" i="1"/>
  <c r="AQ533" i="1"/>
  <c r="AP533" i="1"/>
  <c r="AJ533" i="1"/>
  <c r="BR533" i="1" s="1"/>
  <c r="BO533" i="1" s="1"/>
  <c r="AF533" i="1"/>
  <c r="AD533" i="1"/>
  <c r="AE533" i="1" s="1"/>
  <c r="Z533" i="1"/>
  <c r="U533" i="1"/>
  <c r="N533" i="1"/>
  <c r="J533" i="1"/>
  <c r="I533" i="1"/>
  <c r="BX532" i="1"/>
  <c r="BF532" i="1"/>
  <c r="BF531" i="1" s="1"/>
  <c r="BD532" i="1"/>
  <c r="BC532" i="1"/>
  <c r="BC531" i="1" s="1"/>
  <c r="AY532" i="1"/>
  <c r="AY531" i="1" s="1"/>
  <c r="AU532" i="1"/>
  <c r="AU531" i="1" s="1"/>
  <c r="AT532" i="1"/>
  <c r="AT531" i="1" s="1"/>
  <c r="AO532" i="1"/>
  <c r="AO531" i="1" s="1"/>
  <c r="AN532" i="1"/>
  <c r="AN531" i="1" s="1"/>
  <c r="AM532" i="1"/>
  <c r="AM531" i="1" s="1"/>
  <c r="AM530" i="1" s="1"/>
  <c r="AF532" i="1"/>
  <c r="AF531" i="1" s="1"/>
  <c r="AC532" i="1"/>
  <c r="AC531" i="1" s="1"/>
  <c r="AB532" i="1"/>
  <c r="AB531" i="1" s="1"/>
  <c r="AA532" i="1"/>
  <c r="AA531" i="1" s="1"/>
  <c r="AA530" i="1" s="1"/>
  <c r="Y532" i="1"/>
  <c r="Y531" i="1" s="1"/>
  <c r="X532" i="1"/>
  <c r="X531" i="1" s="1"/>
  <c r="W532" i="1"/>
  <c r="W531" i="1" s="1"/>
  <c r="W530" i="1" s="1"/>
  <c r="V532" i="1"/>
  <c r="V531" i="1" s="1"/>
  <c r="T532" i="1"/>
  <c r="T531" i="1" s="1"/>
  <c r="S532" i="1"/>
  <c r="R532" i="1"/>
  <c r="Q532" i="1"/>
  <c r="Q531" i="1" s="1"/>
  <c r="P532" i="1"/>
  <c r="P531" i="1" s="1"/>
  <c r="O532" i="1"/>
  <c r="L532" i="1"/>
  <c r="L531" i="1" s="1"/>
  <c r="H532" i="1"/>
  <c r="H531" i="1" s="1"/>
  <c r="D532" i="1"/>
  <c r="D531" i="1" s="1"/>
  <c r="C532" i="1"/>
  <c r="C531" i="1" s="1"/>
  <c r="BX531" i="1"/>
  <c r="BD531" i="1"/>
  <c r="BD530" i="1" s="1"/>
  <c r="S531" i="1"/>
  <c r="R531" i="1"/>
  <c r="R530" i="1" s="1"/>
  <c r="O531" i="1"/>
  <c r="BX530" i="1"/>
  <c r="P530" i="1"/>
  <c r="BX529" i="1"/>
  <c r="BU529" i="1"/>
  <c r="BE529" i="1"/>
  <c r="BA529" i="1"/>
  <c r="AZ529" i="1"/>
  <c r="AV529" i="1"/>
  <c r="AQ529" i="1"/>
  <c r="AP529" i="1"/>
  <c r="AK529" i="1"/>
  <c r="AJ529" i="1"/>
  <c r="AG529" i="1" s="1"/>
  <c r="AF529" i="1"/>
  <c r="AE529" i="1"/>
  <c r="Z529" i="1"/>
  <c r="U529" i="1"/>
  <c r="N529" i="1"/>
  <c r="J529" i="1"/>
  <c r="I529" i="1"/>
  <c r="BX528" i="1"/>
  <c r="BU528" i="1"/>
  <c r="BS528" i="1"/>
  <c r="BP528" i="1" s="1"/>
  <c r="BE528" i="1"/>
  <c r="BA528" i="1"/>
  <c r="AZ528" i="1"/>
  <c r="AV528" i="1"/>
  <c r="AQ528" i="1"/>
  <c r="AP528" i="1"/>
  <c r="AK528" i="1"/>
  <c r="AH528" i="1" s="1"/>
  <c r="AJ528" i="1"/>
  <c r="BR528" i="1" s="1"/>
  <c r="AF528" i="1"/>
  <c r="AE528" i="1"/>
  <c r="Z528" i="1"/>
  <c r="U528" i="1"/>
  <c r="N528" i="1"/>
  <c r="J528" i="1"/>
  <c r="I528" i="1"/>
  <c r="K528" i="1" s="1"/>
  <c r="BX527" i="1"/>
  <c r="BU527" i="1"/>
  <c r="BE527" i="1"/>
  <c r="BA527" i="1"/>
  <c r="AZ527" i="1"/>
  <c r="AV527" i="1"/>
  <c r="AQ527" i="1"/>
  <c r="AP527" i="1"/>
  <c r="AK527" i="1"/>
  <c r="BS527" i="1" s="1"/>
  <c r="AJ527" i="1"/>
  <c r="AF527" i="1"/>
  <c r="AE527" i="1"/>
  <c r="Z527" i="1"/>
  <c r="U527" i="1"/>
  <c r="N527" i="1"/>
  <c r="J527" i="1"/>
  <c r="I527" i="1"/>
  <c r="BX526" i="1"/>
  <c r="BU526" i="1"/>
  <c r="BE526" i="1"/>
  <c r="BB526" i="1"/>
  <c r="BA526" i="1"/>
  <c r="AZ526" i="1"/>
  <c r="AV526" i="1"/>
  <c r="AQ526" i="1"/>
  <c r="BH526" i="1" s="1"/>
  <c r="AP526" i="1"/>
  <c r="AK526" i="1"/>
  <c r="BS526" i="1" s="1"/>
  <c r="AJ526" i="1"/>
  <c r="AH526" i="1"/>
  <c r="AF526" i="1"/>
  <c r="AE526" i="1"/>
  <c r="Z526" i="1"/>
  <c r="U526" i="1"/>
  <c r="N526" i="1"/>
  <c r="J526" i="1"/>
  <c r="I526" i="1"/>
  <c r="BX525" i="1"/>
  <c r="BU525" i="1"/>
  <c r="BE525" i="1"/>
  <c r="BA525" i="1"/>
  <c r="AZ525" i="1"/>
  <c r="AV525" i="1"/>
  <c r="AQ525" i="1"/>
  <c r="AP525" i="1"/>
  <c r="AK525" i="1"/>
  <c r="AJ525" i="1"/>
  <c r="AG525" i="1" s="1"/>
  <c r="AF525" i="1"/>
  <c r="AE525" i="1"/>
  <c r="Z525" i="1"/>
  <c r="U525" i="1"/>
  <c r="N525" i="1"/>
  <c r="J525" i="1"/>
  <c r="I525" i="1"/>
  <c r="BX524" i="1"/>
  <c r="BU524" i="1"/>
  <c r="BS524" i="1"/>
  <c r="BP524" i="1" s="1"/>
  <c r="BR524" i="1"/>
  <c r="BO524" i="1" s="1"/>
  <c r="BE524" i="1"/>
  <c r="BA524" i="1"/>
  <c r="AZ524" i="1"/>
  <c r="AV524" i="1"/>
  <c r="AQ524" i="1"/>
  <c r="AP524" i="1"/>
  <c r="AL524" i="1"/>
  <c r="AH524" i="1"/>
  <c r="AG524" i="1"/>
  <c r="AF524" i="1"/>
  <c r="AE524" i="1"/>
  <c r="Z524" i="1"/>
  <c r="U524" i="1"/>
  <c r="N524" i="1"/>
  <c r="J524" i="1"/>
  <c r="I524" i="1"/>
  <c r="BX523" i="1"/>
  <c r="BU523" i="1"/>
  <c r="BE523" i="1"/>
  <c r="BA523" i="1"/>
  <c r="AZ523" i="1"/>
  <c r="AV523" i="1"/>
  <c r="AQ523" i="1"/>
  <c r="AP523" i="1"/>
  <c r="BG523" i="1" s="1"/>
  <c r="AK523" i="1"/>
  <c r="AJ523" i="1"/>
  <c r="AF523" i="1"/>
  <c r="AE523" i="1"/>
  <c r="Z523" i="1"/>
  <c r="U523" i="1"/>
  <c r="N523" i="1"/>
  <c r="J523" i="1"/>
  <c r="I523" i="1"/>
  <c r="BX522" i="1"/>
  <c r="BU522" i="1"/>
  <c r="BE522" i="1"/>
  <c r="BA522" i="1"/>
  <c r="AZ522" i="1"/>
  <c r="AV522" i="1"/>
  <c r="AQ522" i="1"/>
  <c r="AP522" i="1"/>
  <c r="BG522" i="1" s="1"/>
  <c r="AK522" i="1"/>
  <c r="AJ522" i="1"/>
  <c r="AH522" i="1"/>
  <c r="AF522" i="1"/>
  <c r="AE522" i="1"/>
  <c r="Z522" i="1"/>
  <c r="U522" i="1"/>
  <c r="N522" i="1"/>
  <c r="J522" i="1"/>
  <c r="I522" i="1"/>
  <c r="BX521" i="1"/>
  <c r="BU521" i="1"/>
  <c r="BE521" i="1"/>
  <c r="BA521" i="1"/>
  <c r="BH521" i="1" s="1"/>
  <c r="AZ521" i="1"/>
  <c r="AV521" i="1"/>
  <c r="AQ521" i="1"/>
  <c r="AP521" i="1"/>
  <c r="AK521" i="1"/>
  <c r="AJ521" i="1"/>
  <c r="AF521" i="1"/>
  <c r="AE521" i="1"/>
  <c r="Z521" i="1"/>
  <c r="U521" i="1"/>
  <c r="N521" i="1"/>
  <c r="J521" i="1"/>
  <c r="I521" i="1"/>
  <c r="BX520" i="1"/>
  <c r="BU520" i="1"/>
  <c r="BE520" i="1"/>
  <c r="BA520" i="1"/>
  <c r="AZ520" i="1"/>
  <c r="AV520" i="1"/>
  <c r="AQ520" i="1"/>
  <c r="AP520" i="1"/>
  <c r="AK520" i="1"/>
  <c r="BS520" i="1" s="1"/>
  <c r="AJ520" i="1"/>
  <c r="BR520" i="1" s="1"/>
  <c r="BO520" i="1" s="1"/>
  <c r="AF520" i="1"/>
  <c r="AE520" i="1"/>
  <c r="Z520" i="1"/>
  <c r="U520" i="1"/>
  <c r="N520" i="1"/>
  <c r="J520" i="1"/>
  <c r="I520" i="1"/>
  <c r="BX519" i="1"/>
  <c r="BU519" i="1"/>
  <c r="BE519" i="1"/>
  <c r="BA519" i="1"/>
  <c r="AZ519" i="1"/>
  <c r="AV519" i="1"/>
  <c r="AQ519" i="1"/>
  <c r="AP519" i="1"/>
  <c r="AK519" i="1"/>
  <c r="BS519" i="1" s="1"/>
  <c r="AJ519" i="1"/>
  <c r="BR519" i="1" s="1"/>
  <c r="BO519" i="1" s="1"/>
  <c r="AF519" i="1"/>
  <c r="AE519" i="1"/>
  <c r="Z519" i="1"/>
  <c r="U519" i="1"/>
  <c r="N519" i="1"/>
  <c r="J519" i="1"/>
  <c r="I519" i="1"/>
  <c r="BX518" i="1"/>
  <c r="BU518" i="1"/>
  <c r="BE518" i="1"/>
  <c r="BA518" i="1"/>
  <c r="AZ518" i="1"/>
  <c r="AV518" i="1"/>
  <c r="AQ518" i="1"/>
  <c r="AP518" i="1"/>
  <c r="AK518" i="1"/>
  <c r="BS518" i="1" s="1"/>
  <c r="AJ518" i="1"/>
  <c r="AF518" i="1"/>
  <c r="AE518" i="1"/>
  <c r="Z518" i="1"/>
  <c r="U518" i="1"/>
  <c r="N518" i="1"/>
  <c r="J518" i="1"/>
  <c r="I518" i="1"/>
  <c r="BX517" i="1"/>
  <c r="BU517" i="1"/>
  <c r="BE517" i="1"/>
  <c r="BA517" i="1"/>
  <c r="AZ517" i="1"/>
  <c r="AV517" i="1"/>
  <c r="AQ517" i="1"/>
  <c r="AP517" i="1"/>
  <c r="AK517" i="1"/>
  <c r="AJ517" i="1"/>
  <c r="AG517" i="1" s="1"/>
  <c r="AF517" i="1"/>
  <c r="AE517" i="1"/>
  <c r="Z517" i="1"/>
  <c r="U517" i="1"/>
  <c r="N517" i="1"/>
  <c r="J517" i="1"/>
  <c r="I517" i="1"/>
  <c r="BX516" i="1"/>
  <c r="BF516" i="1"/>
  <c r="BD516" i="1"/>
  <c r="BC516" i="1"/>
  <c r="AY516" i="1"/>
  <c r="AU516" i="1"/>
  <c r="AT516" i="1"/>
  <c r="AO516" i="1"/>
  <c r="AN516" i="1"/>
  <c r="AM516" i="1"/>
  <c r="AF516" i="1"/>
  <c r="AD516" i="1"/>
  <c r="AC516" i="1"/>
  <c r="AB516" i="1"/>
  <c r="AA516" i="1"/>
  <c r="Y516" i="1"/>
  <c r="X516" i="1"/>
  <c r="W516" i="1"/>
  <c r="V516" i="1"/>
  <c r="T516" i="1"/>
  <c r="S516" i="1"/>
  <c r="R516" i="1"/>
  <c r="Q516" i="1"/>
  <c r="P516" i="1"/>
  <c r="O516" i="1"/>
  <c r="M516" i="1"/>
  <c r="L516" i="1"/>
  <c r="H516" i="1"/>
  <c r="D516" i="1"/>
  <c r="C516" i="1"/>
  <c r="BV515" i="1"/>
  <c r="BX515" i="1" s="1"/>
  <c r="BU515" i="1"/>
  <c r="BE515" i="1"/>
  <c r="BA515" i="1"/>
  <c r="AZ515" i="1"/>
  <c r="AV515" i="1"/>
  <c r="AQ515" i="1"/>
  <c r="BH515" i="1" s="1"/>
  <c r="AP515" i="1"/>
  <c r="AJ515" i="1"/>
  <c r="AF515" i="1"/>
  <c r="AD515" i="1"/>
  <c r="AE515" i="1" s="1"/>
  <c r="Z515" i="1"/>
  <c r="U515" i="1"/>
  <c r="M515" i="1"/>
  <c r="N515" i="1" s="1"/>
  <c r="I515" i="1"/>
  <c r="BX514" i="1"/>
  <c r="BU514" i="1"/>
  <c r="BE514" i="1"/>
  <c r="BA514" i="1"/>
  <c r="AZ514" i="1"/>
  <c r="AU514" i="1"/>
  <c r="AP514" i="1"/>
  <c r="AK514" i="1"/>
  <c r="AH514" i="1" s="1"/>
  <c r="AJ514" i="1"/>
  <c r="BR514" i="1" s="1"/>
  <c r="AF514" i="1"/>
  <c r="AE514" i="1"/>
  <c r="Z514" i="1"/>
  <c r="U514" i="1"/>
  <c r="M514" i="1"/>
  <c r="I514" i="1"/>
  <c r="BX513" i="1"/>
  <c r="BU513" i="1"/>
  <c r="BE513" i="1"/>
  <c r="BA513" i="1"/>
  <c r="AZ513" i="1"/>
  <c r="AV513" i="1"/>
  <c r="AQ513" i="1"/>
  <c r="AP513" i="1"/>
  <c r="AK513" i="1"/>
  <c r="AJ513" i="1"/>
  <c r="BR513" i="1" s="1"/>
  <c r="AG513" i="1"/>
  <c r="AF513" i="1"/>
  <c r="AE513" i="1"/>
  <c r="Z513" i="1"/>
  <c r="U513" i="1"/>
  <c r="N513" i="1"/>
  <c r="J513" i="1"/>
  <c r="I513" i="1"/>
  <c r="BX512" i="1"/>
  <c r="BU512" i="1"/>
  <c r="BE512" i="1"/>
  <c r="BA512" i="1"/>
  <c r="AZ512" i="1"/>
  <c r="AV512" i="1"/>
  <c r="AQ512" i="1"/>
  <c r="AP512" i="1"/>
  <c r="AK512" i="1"/>
  <c r="AJ512" i="1"/>
  <c r="BR512" i="1" s="1"/>
  <c r="AF512" i="1"/>
  <c r="AE512" i="1"/>
  <c r="Z512" i="1"/>
  <c r="U512" i="1"/>
  <c r="M512" i="1"/>
  <c r="J512" i="1" s="1"/>
  <c r="I512" i="1"/>
  <c r="BV511" i="1"/>
  <c r="BX511" i="1" s="1"/>
  <c r="BU511" i="1"/>
  <c r="BE511" i="1"/>
  <c r="BA511" i="1"/>
  <c r="AZ511" i="1"/>
  <c r="AV511" i="1"/>
  <c r="AQ511" i="1"/>
  <c r="AP511" i="1"/>
  <c r="BG511" i="1" s="1"/>
  <c r="AJ511" i="1"/>
  <c r="AG511" i="1" s="1"/>
  <c r="AF511" i="1"/>
  <c r="AD511" i="1"/>
  <c r="AE511" i="1" s="1"/>
  <c r="Z511" i="1"/>
  <c r="U511" i="1"/>
  <c r="N511" i="1"/>
  <c r="J511" i="1"/>
  <c r="I511" i="1"/>
  <c r="BV510" i="1"/>
  <c r="BX510" i="1" s="1"/>
  <c r="BU510" i="1"/>
  <c r="BE510" i="1"/>
  <c r="BA510" i="1"/>
  <c r="AZ510" i="1"/>
  <c r="AV510" i="1"/>
  <c r="AQ510" i="1"/>
  <c r="AP510" i="1"/>
  <c r="AJ510" i="1"/>
  <c r="AF510" i="1"/>
  <c r="AD510" i="1"/>
  <c r="AE510" i="1" s="1"/>
  <c r="Z510" i="1"/>
  <c r="U510" i="1"/>
  <c r="N510" i="1"/>
  <c r="J510" i="1"/>
  <c r="I510" i="1"/>
  <c r="BX509" i="1"/>
  <c r="BU509" i="1"/>
  <c r="BE509" i="1"/>
  <c r="BA509" i="1"/>
  <c r="AZ509" i="1"/>
  <c r="AV509" i="1"/>
  <c r="AQ509" i="1"/>
  <c r="AP509" i="1"/>
  <c r="AK509" i="1"/>
  <c r="AJ509" i="1"/>
  <c r="BR509" i="1" s="1"/>
  <c r="AF509" i="1"/>
  <c r="AE509" i="1"/>
  <c r="Z509" i="1"/>
  <c r="U509" i="1"/>
  <c r="N509" i="1"/>
  <c r="J509" i="1"/>
  <c r="I509" i="1"/>
  <c r="BX508" i="1"/>
  <c r="BU508" i="1"/>
  <c r="BE508" i="1"/>
  <c r="BA508" i="1"/>
  <c r="AZ508" i="1"/>
  <c r="AV508" i="1"/>
  <c r="AQ508" i="1"/>
  <c r="AP508" i="1"/>
  <c r="AK508" i="1"/>
  <c r="BS508" i="1" s="1"/>
  <c r="AJ508" i="1"/>
  <c r="AF508" i="1"/>
  <c r="AE508" i="1"/>
  <c r="Z508" i="1"/>
  <c r="U508" i="1"/>
  <c r="N508" i="1"/>
  <c r="J508" i="1"/>
  <c r="I508" i="1"/>
  <c r="BX507" i="1"/>
  <c r="BU507" i="1"/>
  <c r="BE507" i="1"/>
  <c r="BA507" i="1"/>
  <c r="AZ507" i="1"/>
  <c r="AV507" i="1"/>
  <c r="AQ507" i="1"/>
  <c r="AP507" i="1"/>
  <c r="AK507" i="1"/>
  <c r="BS507" i="1" s="1"/>
  <c r="AJ507" i="1"/>
  <c r="AF507" i="1"/>
  <c r="AE507" i="1"/>
  <c r="Z507" i="1"/>
  <c r="U507" i="1"/>
  <c r="N507" i="1"/>
  <c r="J507" i="1"/>
  <c r="I507" i="1"/>
  <c r="BX506" i="1"/>
  <c r="BU506" i="1"/>
  <c r="BE506" i="1"/>
  <c r="BA506" i="1"/>
  <c r="AZ506" i="1"/>
  <c r="AV506" i="1"/>
  <c r="AQ506" i="1"/>
  <c r="AP506" i="1"/>
  <c r="AK506" i="1"/>
  <c r="AJ506" i="1"/>
  <c r="AF506" i="1"/>
  <c r="AE506" i="1"/>
  <c r="Z506" i="1"/>
  <c r="U506" i="1"/>
  <c r="N506" i="1"/>
  <c r="J506" i="1"/>
  <c r="I506" i="1"/>
  <c r="BX505" i="1"/>
  <c r="BU505" i="1"/>
  <c r="BE505" i="1"/>
  <c r="BA505" i="1"/>
  <c r="AZ505" i="1"/>
  <c r="AV505" i="1"/>
  <c r="AQ505" i="1"/>
  <c r="AP505" i="1"/>
  <c r="AK505" i="1"/>
  <c r="AH505" i="1" s="1"/>
  <c r="AJ505" i="1"/>
  <c r="AF505" i="1"/>
  <c r="AE505" i="1"/>
  <c r="Z505" i="1"/>
  <c r="U505" i="1"/>
  <c r="N505" i="1"/>
  <c r="J505" i="1"/>
  <c r="I505" i="1"/>
  <c r="BX504" i="1"/>
  <c r="BU504" i="1"/>
  <c r="BE504" i="1"/>
  <c r="BA504" i="1"/>
  <c r="AZ504" i="1"/>
  <c r="AU504" i="1"/>
  <c r="AP504" i="1"/>
  <c r="AK504" i="1"/>
  <c r="AJ504" i="1"/>
  <c r="AF504" i="1"/>
  <c r="AE504" i="1"/>
  <c r="Z504" i="1"/>
  <c r="U504" i="1"/>
  <c r="M504" i="1"/>
  <c r="I504" i="1"/>
  <c r="BX503" i="1"/>
  <c r="BU503" i="1"/>
  <c r="BE503" i="1"/>
  <c r="BA503" i="1"/>
  <c r="AZ503" i="1"/>
  <c r="AV503" i="1"/>
  <c r="AQ503" i="1"/>
  <c r="AP503" i="1"/>
  <c r="AK503" i="1"/>
  <c r="BS503" i="1" s="1"/>
  <c r="AJ503" i="1"/>
  <c r="AF503" i="1"/>
  <c r="AE503" i="1"/>
  <c r="Z503" i="1"/>
  <c r="U503" i="1"/>
  <c r="N503" i="1"/>
  <c r="J503" i="1"/>
  <c r="I503" i="1"/>
  <c r="BX502" i="1"/>
  <c r="BU502" i="1"/>
  <c r="BE502" i="1"/>
  <c r="BA502" i="1"/>
  <c r="AZ502" i="1"/>
  <c r="AT502" i="1"/>
  <c r="AV502" i="1" s="1"/>
  <c r="AQ502" i="1"/>
  <c r="AK502" i="1"/>
  <c r="BS502" i="1" s="1"/>
  <c r="AJ502" i="1"/>
  <c r="AF502" i="1"/>
  <c r="AE502" i="1"/>
  <c r="Z502" i="1"/>
  <c r="U502" i="1"/>
  <c r="N502" i="1"/>
  <c r="J502" i="1"/>
  <c r="I502" i="1"/>
  <c r="BX501" i="1"/>
  <c r="BU501" i="1"/>
  <c r="BE501" i="1"/>
  <c r="BA501" i="1"/>
  <c r="AZ501" i="1"/>
  <c r="AV501" i="1"/>
  <c r="AQ501" i="1"/>
  <c r="AP501" i="1"/>
  <c r="AK501" i="1"/>
  <c r="AJ501" i="1"/>
  <c r="AG501" i="1" s="1"/>
  <c r="AF501" i="1"/>
  <c r="AE501" i="1"/>
  <c r="Z501" i="1"/>
  <c r="U501" i="1"/>
  <c r="N501" i="1"/>
  <c r="J501" i="1"/>
  <c r="I501" i="1"/>
  <c r="BX500" i="1"/>
  <c r="BU500" i="1"/>
  <c r="BE500" i="1"/>
  <c r="BA500" i="1"/>
  <c r="AZ500" i="1"/>
  <c r="AV500" i="1"/>
  <c r="AQ500" i="1"/>
  <c r="AP500" i="1"/>
  <c r="AK500" i="1"/>
  <c r="AJ500" i="1"/>
  <c r="AF500" i="1"/>
  <c r="AE500" i="1"/>
  <c r="Z500" i="1"/>
  <c r="U500" i="1"/>
  <c r="N500" i="1"/>
  <c r="J500" i="1"/>
  <c r="I500" i="1"/>
  <c r="BX499" i="1"/>
  <c r="BU499" i="1"/>
  <c r="BE499" i="1"/>
  <c r="BA499" i="1"/>
  <c r="AZ499" i="1"/>
  <c r="AV499" i="1"/>
  <c r="AQ499" i="1"/>
  <c r="AP499" i="1"/>
  <c r="AK499" i="1"/>
  <c r="BS499" i="1" s="1"/>
  <c r="AJ499" i="1"/>
  <c r="AF499" i="1"/>
  <c r="AE499" i="1"/>
  <c r="Z499" i="1"/>
  <c r="U499" i="1"/>
  <c r="N499" i="1"/>
  <c r="J499" i="1"/>
  <c r="I499" i="1"/>
  <c r="BX498" i="1"/>
  <c r="BU498" i="1"/>
  <c r="BE498" i="1"/>
  <c r="BA498" i="1"/>
  <c r="AZ498" i="1"/>
  <c r="AV498" i="1"/>
  <c r="AQ498" i="1"/>
  <c r="AP498" i="1"/>
  <c r="AK498" i="1"/>
  <c r="BS498" i="1" s="1"/>
  <c r="BP498" i="1" s="1"/>
  <c r="AJ498" i="1"/>
  <c r="AF498" i="1"/>
  <c r="AE498" i="1"/>
  <c r="Z498" i="1"/>
  <c r="U498" i="1"/>
  <c r="N498" i="1"/>
  <c r="J498" i="1"/>
  <c r="I498" i="1"/>
  <c r="K498" i="1" s="1"/>
  <c r="BX497" i="1"/>
  <c r="BU497" i="1"/>
  <c r="BE497" i="1"/>
  <c r="BA497" i="1"/>
  <c r="AZ497" i="1"/>
  <c r="AV497" i="1"/>
  <c r="AQ497" i="1"/>
  <c r="AP497" i="1"/>
  <c r="AK497" i="1"/>
  <c r="AJ497" i="1"/>
  <c r="AF497" i="1"/>
  <c r="AE497" i="1"/>
  <c r="Z497" i="1"/>
  <c r="U497" i="1"/>
  <c r="N497" i="1"/>
  <c r="J497" i="1"/>
  <c r="I497" i="1"/>
  <c r="BX496" i="1"/>
  <c r="BU496" i="1"/>
  <c r="BG496" i="1"/>
  <c r="BE496" i="1"/>
  <c r="BA496" i="1"/>
  <c r="AZ496" i="1"/>
  <c r="AV496" i="1"/>
  <c r="AQ496" i="1"/>
  <c r="BH496" i="1" s="1"/>
  <c r="AP496" i="1"/>
  <c r="AK496" i="1"/>
  <c r="AJ496" i="1"/>
  <c r="AF496" i="1"/>
  <c r="AE496" i="1"/>
  <c r="Z496" i="1"/>
  <c r="U496" i="1"/>
  <c r="N496" i="1"/>
  <c r="J496" i="1"/>
  <c r="I496" i="1"/>
  <c r="BX495" i="1"/>
  <c r="BU495" i="1"/>
  <c r="BE495" i="1"/>
  <c r="BA495" i="1"/>
  <c r="AZ495" i="1"/>
  <c r="AV495" i="1"/>
  <c r="AQ495" i="1"/>
  <c r="AP495" i="1"/>
  <c r="AK495" i="1"/>
  <c r="BS495" i="1" s="1"/>
  <c r="BP495" i="1" s="1"/>
  <c r="AJ495" i="1"/>
  <c r="AG495" i="1" s="1"/>
  <c r="AF495" i="1"/>
  <c r="AE495" i="1"/>
  <c r="Z495" i="1"/>
  <c r="U495" i="1"/>
  <c r="N495" i="1"/>
  <c r="J495" i="1"/>
  <c r="I495" i="1"/>
  <c r="K495" i="1" s="1"/>
  <c r="BX494" i="1"/>
  <c r="BU494" i="1"/>
  <c r="BE494" i="1"/>
  <c r="BB494" i="1"/>
  <c r="BA494" i="1"/>
  <c r="AZ494" i="1"/>
  <c r="AV494" i="1"/>
  <c r="AQ494" i="1"/>
  <c r="AP494" i="1"/>
  <c r="AK494" i="1"/>
  <c r="BS494" i="1" s="1"/>
  <c r="BP494" i="1" s="1"/>
  <c r="AJ494" i="1"/>
  <c r="AH494" i="1"/>
  <c r="AF494" i="1"/>
  <c r="AE494" i="1"/>
  <c r="Z494" i="1"/>
  <c r="U494" i="1"/>
  <c r="N494" i="1"/>
  <c r="J494" i="1"/>
  <c r="I494" i="1"/>
  <c r="BX493" i="1"/>
  <c r="BU493" i="1"/>
  <c r="BE493" i="1"/>
  <c r="BA493" i="1"/>
  <c r="AZ493" i="1"/>
  <c r="AV493" i="1"/>
  <c r="AQ493" i="1"/>
  <c r="AP493" i="1"/>
  <c r="AK493" i="1"/>
  <c r="AJ493" i="1"/>
  <c r="BR493" i="1" s="1"/>
  <c r="AG493" i="1"/>
  <c r="AF493" i="1"/>
  <c r="AE493" i="1"/>
  <c r="Z493" i="1"/>
  <c r="U493" i="1"/>
  <c r="N493" i="1"/>
  <c r="J493" i="1"/>
  <c r="I493" i="1"/>
  <c r="BX492" i="1"/>
  <c r="BU492" i="1"/>
  <c r="BE492" i="1"/>
  <c r="BA492" i="1"/>
  <c r="AZ492" i="1"/>
  <c r="AV492" i="1"/>
  <c r="AQ492" i="1"/>
  <c r="AP492" i="1"/>
  <c r="AK492" i="1"/>
  <c r="AJ492" i="1"/>
  <c r="BR492" i="1" s="1"/>
  <c r="AG492" i="1"/>
  <c r="AF492" i="1"/>
  <c r="AE492" i="1"/>
  <c r="Z492" i="1"/>
  <c r="U492" i="1"/>
  <c r="N492" i="1"/>
  <c r="J492" i="1"/>
  <c r="I492" i="1"/>
  <c r="BX491" i="1"/>
  <c r="BU491" i="1"/>
  <c r="BE491" i="1"/>
  <c r="BA491" i="1"/>
  <c r="AZ491" i="1"/>
  <c r="BB491" i="1" s="1"/>
  <c r="AV491" i="1"/>
  <c r="AQ491" i="1"/>
  <c r="AP491" i="1"/>
  <c r="AK491" i="1"/>
  <c r="AJ491" i="1"/>
  <c r="AF491" i="1"/>
  <c r="AE491" i="1"/>
  <c r="Z491" i="1"/>
  <c r="U491" i="1"/>
  <c r="N491" i="1"/>
  <c r="J491" i="1"/>
  <c r="I491" i="1"/>
  <c r="BX490" i="1"/>
  <c r="BU490" i="1"/>
  <c r="BE490" i="1"/>
  <c r="BA490" i="1"/>
  <c r="BH490" i="1" s="1"/>
  <c r="AZ490" i="1"/>
  <c r="AV490" i="1"/>
  <c r="AQ490" i="1"/>
  <c r="AP490" i="1"/>
  <c r="AK490" i="1"/>
  <c r="AH490" i="1" s="1"/>
  <c r="AJ490" i="1"/>
  <c r="AF490" i="1"/>
  <c r="AE490" i="1"/>
  <c r="Z490" i="1"/>
  <c r="U490" i="1"/>
  <c r="N490" i="1"/>
  <c r="J490" i="1"/>
  <c r="K490" i="1" s="1"/>
  <c r="I490" i="1"/>
  <c r="BX489" i="1"/>
  <c r="BU489" i="1"/>
  <c r="BE489" i="1"/>
  <c r="BA489" i="1"/>
  <c r="BB489" i="1" s="1"/>
  <c r="AZ489" i="1"/>
  <c r="AV489" i="1"/>
  <c r="AQ489" i="1"/>
  <c r="BH489" i="1" s="1"/>
  <c r="AP489" i="1"/>
  <c r="AK489" i="1"/>
  <c r="BS489" i="1" s="1"/>
  <c r="AJ489" i="1"/>
  <c r="AH489" i="1"/>
  <c r="AF489" i="1"/>
  <c r="AE489" i="1"/>
  <c r="Z489" i="1"/>
  <c r="U489" i="1"/>
  <c r="N489" i="1"/>
  <c r="J489" i="1"/>
  <c r="I489" i="1"/>
  <c r="BX488" i="1"/>
  <c r="BU488" i="1"/>
  <c r="BE488" i="1"/>
  <c r="BA488" i="1"/>
  <c r="AZ488" i="1"/>
  <c r="AV488" i="1"/>
  <c r="AQ488" i="1"/>
  <c r="AP488" i="1"/>
  <c r="AK488" i="1"/>
  <c r="AJ488" i="1"/>
  <c r="AG488" i="1" s="1"/>
  <c r="AF488" i="1"/>
  <c r="AE488" i="1"/>
  <c r="Z488" i="1"/>
  <c r="U488" i="1"/>
  <c r="N488" i="1"/>
  <c r="J488" i="1"/>
  <c r="I488" i="1"/>
  <c r="BX487" i="1"/>
  <c r="BU487" i="1"/>
  <c r="BS487" i="1"/>
  <c r="BP487" i="1" s="1"/>
  <c r="BE487" i="1"/>
  <c r="BA487" i="1"/>
  <c r="AZ487" i="1"/>
  <c r="AV487" i="1"/>
  <c r="AQ487" i="1"/>
  <c r="BH487" i="1" s="1"/>
  <c r="AP487" i="1"/>
  <c r="AK487" i="1"/>
  <c r="AH487" i="1" s="1"/>
  <c r="AJ487" i="1"/>
  <c r="AF487" i="1"/>
  <c r="AE487" i="1"/>
  <c r="Z487" i="1"/>
  <c r="U487" i="1"/>
  <c r="N487" i="1"/>
  <c r="J487" i="1"/>
  <c r="I487" i="1"/>
  <c r="BV486" i="1"/>
  <c r="BX486" i="1" s="1"/>
  <c r="BU486" i="1"/>
  <c r="BE486" i="1"/>
  <c r="BA486" i="1"/>
  <c r="BB486" i="1" s="1"/>
  <c r="AZ486" i="1"/>
  <c r="AV486" i="1"/>
  <c r="AQ486" i="1"/>
  <c r="AP486" i="1"/>
  <c r="AK486" i="1"/>
  <c r="BS486" i="1" s="1"/>
  <c r="AJ486" i="1"/>
  <c r="AH486" i="1"/>
  <c r="AF486" i="1"/>
  <c r="AE486" i="1"/>
  <c r="Z486" i="1"/>
  <c r="U486" i="1"/>
  <c r="N486" i="1"/>
  <c r="J486" i="1"/>
  <c r="I486" i="1"/>
  <c r="BX485" i="1"/>
  <c r="BU485" i="1"/>
  <c r="BE485" i="1"/>
  <c r="BA485" i="1"/>
  <c r="AZ485" i="1"/>
  <c r="AV485" i="1"/>
  <c r="AQ485" i="1"/>
  <c r="AP485" i="1"/>
  <c r="AK485" i="1"/>
  <c r="AJ485" i="1"/>
  <c r="AG485" i="1" s="1"/>
  <c r="AF485" i="1"/>
  <c r="AE485" i="1"/>
  <c r="Z485" i="1"/>
  <c r="U485" i="1"/>
  <c r="M485" i="1"/>
  <c r="N485" i="1" s="1"/>
  <c r="J485" i="1"/>
  <c r="I485" i="1"/>
  <c r="BV484" i="1"/>
  <c r="BX484" i="1" s="1"/>
  <c r="BU484" i="1"/>
  <c r="BE484" i="1"/>
  <c r="BA484" i="1"/>
  <c r="AZ484" i="1"/>
  <c r="BB484" i="1" s="1"/>
  <c r="AV484" i="1"/>
  <c r="AQ484" i="1"/>
  <c r="AP484" i="1"/>
  <c r="AK484" i="1"/>
  <c r="AJ484" i="1"/>
  <c r="AF484" i="1"/>
  <c r="AE484" i="1"/>
  <c r="Z484" i="1"/>
  <c r="U484" i="1"/>
  <c r="N484" i="1"/>
  <c r="J484" i="1"/>
  <c r="I484" i="1"/>
  <c r="BX483" i="1"/>
  <c r="BU483" i="1"/>
  <c r="BE483" i="1"/>
  <c r="BA483" i="1"/>
  <c r="AZ483" i="1"/>
  <c r="AV483" i="1"/>
  <c r="AQ483" i="1"/>
  <c r="AP483" i="1"/>
  <c r="AK483" i="1"/>
  <c r="AJ483" i="1"/>
  <c r="AG483" i="1" s="1"/>
  <c r="AF483" i="1"/>
  <c r="AE483" i="1"/>
  <c r="Z483" i="1"/>
  <c r="U483" i="1"/>
  <c r="N483" i="1"/>
  <c r="J483" i="1"/>
  <c r="I483" i="1"/>
  <c r="BX482" i="1"/>
  <c r="BU482" i="1"/>
  <c r="BE482" i="1"/>
  <c r="BA482" i="1"/>
  <c r="AZ482" i="1"/>
  <c r="AV482" i="1"/>
  <c r="AQ482" i="1"/>
  <c r="AP482" i="1"/>
  <c r="AK482" i="1"/>
  <c r="AH482" i="1" s="1"/>
  <c r="AJ482" i="1"/>
  <c r="AF482" i="1"/>
  <c r="AE482" i="1"/>
  <c r="Z482" i="1"/>
  <c r="U482" i="1"/>
  <c r="N482" i="1"/>
  <c r="J482" i="1"/>
  <c r="I482" i="1"/>
  <c r="BX481" i="1"/>
  <c r="BU481" i="1"/>
  <c r="BE481" i="1"/>
  <c r="BA481" i="1"/>
  <c r="AZ481" i="1"/>
  <c r="AV481" i="1"/>
  <c r="AQ481" i="1"/>
  <c r="AP481" i="1"/>
  <c r="AK481" i="1"/>
  <c r="BS481" i="1" s="1"/>
  <c r="AJ481" i="1"/>
  <c r="AF481" i="1"/>
  <c r="AE481" i="1"/>
  <c r="Z481" i="1"/>
  <c r="U481" i="1"/>
  <c r="N481" i="1"/>
  <c r="J481" i="1"/>
  <c r="I481" i="1"/>
  <c r="BX480" i="1"/>
  <c r="BU480" i="1"/>
  <c r="BE480" i="1"/>
  <c r="BA480" i="1"/>
  <c r="AZ480" i="1"/>
  <c r="BB480" i="1" s="1"/>
  <c r="AV480" i="1"/>
  <c r="AQ480" i="1"/>
  <c r="AP480" i="1"/>
  <c r="AK480" i="1"/>
  <c r="AJ480" i="1"/>
  <c r="AF480" i="1"/>
  <c r="AE480" i="1"/>
  <c r="Z480" i="1"/>
  <c r="U480" i="1"/>
  <c r="N480" i="1"/>
  <c r="J480" i="1"/>
  <c r="I480" i="1"/>
  <c r="BV479" i="1"/>
  <c r="BX479" i="1" s="1"/>
  <c r="BU479" i="1"/>
  <c r="BE479" i="1"/>
  <c r="BA479" i="1"/>
  <c r="AZ479" i="1"/>
  <c r="AV479" i="1"/>
  <c r="AQ479" i="1"/>
  <c r="BH479" i="1" s="1"/>
  <c r="AP479" i="1"/>
  <c r="BG479" i="1" s="1"/>
  <c r="AK479" i="1"/>
  <c r="BS479" i="1" s="1"/>
  <c r="AJ479" i="1"/>
  <c r="AG479" i="1" s="1"/>
  <c r="AH479" i="1"/>
  <c r="AF479" i="1"/>
  <c r="AE479" i="1"/>
  <c r="Z479" i="1"/>
  <c r="U479" i="1"/>
  <c r="N479" i="1"/>
  <c r="J479" i="1"/>
  <c r="I479" i="1"/>
  <c r="BX478" i="1"/>
  <c r="BU478" i="1"/>
  <c r="BE478" i="1"/>
  <c r="BA478" i="1"/>
  <c r="AZ478" i="1"/>
  <c r="AV478" i="1"/>
  <c r="AQ478" i="1"/>
  <c r="AP478" i="1"/>
  <c r="AK478" i="1"/>
  <c r="BS478" i="1" s="1"/>
  <c r="AJ478" i="1"/>
  <c r="AF478" i="1"/>
  <c r="AE478" i="1"/>
  <c r="Z478" i="1"/>
  <c r="U478" i="1"/>
  <c r="N478" i="1"/>
  <c r="J478" i="1"/>
  <c r="I478" i="1"/>
  <c r="BV477" i="1"/>
  <c r="BX477" i="1" s="1"/>
  <c r="BU477" i="1"/>
  <c r="BE477" i="1"/>
  <c r="BA477" i="1"/>
  <c r="AZ477" i="1"/>
  <c r="AU477" i="1"/>
  <c r="AV477" i="1" s="1"/>
  <c r="AQ477" i="1"/>
  <c r="BH477" i="1" s="1"/>
  <c r="AP477" i="1"/>
  <c r="AJ477" i="1"/>
  <c r="AG477" i="1" s="1"/>
  <c r="AF477" i="1"/>
  <c r="AD477" i="1"/>
  <c r="Z477" i="1"/>
  <c r="U477" i="1"/>
  <c r="M477" i="1"/>
  <c r="I477" i="1"/>
  <c r="BV476" i="1"/>
  <c r="BX476" i="1" s="1"/>
  <c r="BU476" i="1"/>
  <c r="BE476" i="1"/>
  <c r="BA476" i="1"/>
  <c r="AZ476" i="1"/>
  <c r="AV476" i="1"/>
  <c r="AQ476" i="1"/>
  <c r="AP476" i="1"/>
  <c r="AK476" i="1"/>
  <c r="AJ476" i="1"/>
  <c r="AH476" i="1"/>
  <c r="AF476" i="1"/>
  <c r="AE476" i="1"/>
  <c r="Z476" i="1"/>
  <c r="U476" i="1"/>
  <c r="N476" i="1"/>
  <c r="J476" i="1"/>
  <c r="I476" i="1"/>
  <c r="BX475" i="1"/>
  <c r="BU475" i="1"/>
  <c r="BE475" i="1"/>
  <c r="BA475" i="1"/>
  <c r="BH475" i="1" s="1"/>
  <c r="AZ475" i="1"/>
  <c r="AV475" i="1"/>
  <c r="AQ475" i="1"/>
  <c r="AP475" i="1"/>
  <c r="AK475" i="1"/>
  <c r="BS475" i="1" s="1"/>
  <c r="AJ475" i="1"/>
  <c r="AF475" i="1"/>
  <c r="AE475" i="1"/>
  <c r="Z475" i="1"/>
  <c r="U475" i="1"/>
  <c r="N475" i="1"/>
  <c r="J475" i="1"/>
  <c r="I475" i="1"/>
  <c r="BV474" i="1"/>
  <c r="BX474" i="1" s="1"/>
  <c r="BU474" i="1"/>
  <c r="BE474" i="1"/>
  <c r="BA474" i="1"/>
  <c r="AZ474" i="1"/>
  <c r="AV474" i="1"/>
  <c r="AQ474" i="1"/>
  <c r="AP474" i="1"/>
  <c r="AK474" i="1"/>
  <c r="AJ474" i="1"/>
  <c r="BR474" i="1" s="1"/>
  <c r="AF474" i="1"/>
  <c r="AE474" i="1"/>
  <c r="Z474" i="1"/>
  <c r="U474" i="1"/>
  <c r="N474" i="1"/>
  <c r="J474" i="1"/>
  <c r="I474" i="1"/>
  <c r="BX473" i="1"/>
  <c r="BU473" i="1"/>
  <c r="BE473" i="1"/>
  <c r="BA473" i="1"/>
  <c r="AZ473" i="1"/>
  <c r="AV473" i="1"/>
  <c r="AQ473" i="1"/>
  <c r="AP473" i="1"/>
  <c r="AK473" i="1"/>
  <c r="AJ473" i="1"/>
  <c r="BR473" i="1" s="1"/>
  <c r="AF473" i="1"/>
  <c r="AE473" i="1"/>
  <c r="Z473" i="1"/>
  <c r="U473" i="1"/>
  <c r="N473" i="1"/>
  <c r="J473" i="1"/>
  <c r="I473" i="1"/>
  <c r="BX472" i="1"/>
  <c r="BU472" i="1"/>
  <c r="BE472" i="1"/>
  <c r="BA472" i="1"/>
  <c r="AZ472" i="1"/>
  <c r="AV472" i="1"/>
  <c r="AQ472" i="1"/>
  <c r="AP472" i="1"/>
  <c r="AK472" i="1"/>
  <c r="AJ472" i="1"/>
  <c r="AG472" i="1" s="1"/>
  <c r="AF472" i="1"/>
  <c r="AE472" i="1"/>
  <c r="Z472" i="1"/>
  <c r="U472" i="1"/>
  <c r="N472" i="1"/>
  <c r="J472" i="1"/>
  <c r="I472" i="1"/>
  <c r="K472" i="1" s="1"/>
  <c r="BX471" i="1"/>
  <c r="BU471" i="1"/>
  <c r="BE471" i="1"/>
  <c r="BA471" i="1"/>
  <c r="AZ471" i="1"/>
  <c r="BB471" i="1" s="1"/>
  <c r="AV471" i="1"/>
  <c r="AQ471" i="1"/>
  <c r="AP471" i="1"/>
  <c r="AK471" i="1"/>
  <c r="AJ471" i="1"/>
  <c r="AF471" i="1"/>
  <c r="AE471" i="1"/>
  <c r="Z471" i="1"/>
  <c r="U471" i="1"/>
  <c r="N471" i="1"/>
  <c r="J471" i="1"/>
  <c r="I471" i="1"/>
  <c r="BX470" i="1"/>
  <c r="BU470" i="1"/>
  <c r="BE470" i="1"/>
  <c r="BA470" i="1"/>
  <c r="AZ470" i="1"/>
  <c r="AV470" i="1"/>
  <c r="AQ470" i="1"/>
  <c r="AP470" i="1"/>
  <c r="AK470" i="1"/>
  <c r="AJ470" i="1"/>
  <c r="BR470" i="1" s="1"/>
  <c r="AF470" i="1"/>
  <c r="AE470" i="1"/>
  <c r="Z470" i="1"/>
  <c r="U470" i="1"/>
  <c r="N470" i="1"/>
  <c r="J470" i="1"/>
  <c r="I470" i="1"/>
  <c r="BV469" i="1"/>
  <c r="BX469" i="1" s="1"/>
  <c r="BU469" i="1"/>
  <c r="BE469" i="1"/>
  <c r="BA469" i="1"/>
  <c r="AZ469" i="1"/>
  <c r="AV469" i="1"/>
  <c r="AQ469" i="1"/>
  <c r="AP469" i="1"/>
  <c r="AK469" i="1"/>
  <c r="AJ469" i="1"/>
  <c r="BR469" i="1" s="1"/>
  <c r="AF469" i="1"/>
  <c r="AE469" i="1"/>
  <c r="Z469" i="1"/>
  <c r="U469" i="1"/>
  <c r="N469" i="1"/>
  <c r="J469" i="1"/>
  <c r="I469" i="1"/>
  <c r="BV468" i="1"/>
  <c r="BX468" i="1" s="1"/>
  <c r="BU468" i="1"/>
  <c r="BE468" i="1"/>
  <c r="BA468" i="1"/>
  <c r="AZ468" i="1"/>
  <c r="AV468" i="1"/>
  <c r="AQ468" i="1"/>
  <c r="AP468" i="1"/>
  <c r="AK468" i="1"/>
  <c r="AJ468" i="1"/>
  <c r="AF468" i="1"/>
  <c r="AE468" i="1"/>
  <c r="Z468" i="1"/>
  <c r="U468" i="1"/>
  <c r="N468" i="1"/>
  <c r="J468" i="1"/>
  <c r="I468" i="1"/>
  <c r="BX467" i="1"/>
  <c r="BU467" i="1"/>
  <c r="BE467" i="1"/>
  <c r="BA467" i="1"/>
  <c r="AZ467" i="1"/>
  <c r="AV467" i="1"/>
  <c r="AQ467" i="1"/>
  <c r="AP467" i="1"/>
  <c r="AK467" i="1"/>
  <c r="AJ467" i="1"/>
  <c r="AF467" i="1"/>
  <c r="AE467" i="1"/>
  <c r="Z467" i="1"/>
  <c r="U467" i="1"/>
  <c r="N467" i="1"/>
  <c r="J467" i="1"/>
  <c r="I467" i="1"/>
  <c r="BX466" i="1"/>
  <c r="BU466" i="1"/>
  <c r="BE466" i="1"/>
  <c r="BA466" i="1"/>
  <c r="AZ466" i="1"/>
  <c r="AV466" i="1"/>
  <c r="AQ466" i="1"/>
  <c r="AP466" i="1"/>
  <c r="AK466" i="1"/>
  <c r="BS466" i="1" s="1"/>
  <c r="AJ466" i="1"/>
  <c r="AF466" i="1"/>
  <c r="AE466" i="1"/>
  <c r="Z466" i="1"/>
  <c r="U466" i="1"/>
  <c r="N466" i="1"/>
  <c r="J466" i="1"/>
  <c r="I466" i="1"/>
  <c r="BV465" i="1"/>
  <c r="BX465" i="1" s="1"/>
  <c r="BU465" i="1"/>
  <c r="BE465" i="1"/>
  <c r="BA465" i="1"/>
  <c r="AZ465" i="1"/>
  <c r="AV465" i="1"/>
  <c r="AQ465" i="1"/>
  <c r="AP465" i="1"/>
  <c r="AJ465" i="1"/>
  <c r="BR465" i="1" s="1"/>
  <c r="AF465" i="1"/>
  <c r="AD465" i="1"/>
  <c r="AK465" i="1" s="1"/>
  <c r="Z465" i="1"/>
  <c r="U465" i="1"/>
  <c r="N465" i="1"/>
  <c r="J465" i="1"/>
  <c r="I465" i="1"/>
  <c r="BX464" i="1"/>
  <c r="BU464" i="1"/>
  <c r="BE464" i="1"/>
  <c r="BA464" i="1"/>
  <c r="AZ464" i="1"/>
  <c r="AV464" i="1"/>
  <c r="AQ464" i="1"/>
  <c r="AP464" i="1"/>
  <c r="AK464" i="1"/>
  <c r="BS464" i="1" s="1"/>
  <c r="AJ464" i="1"/>
  <c r="AF464" i="1"/>
  <c r="AE464" i="1"/>
  <c r="Z464" i="1"/>
  <c r="U464" i="1"/>
  <c r="N464" i="1"/>
  <c r="J464" i="1"/>
  <c r="I464" i="1"/>
  <c r="BX463" i="1"/>
  <c r="BU463" i="1"/>
  <c r="BE463" i="1"/>
  <c r="BA463" i="1"/>
  <c r="AZ463" i="1"/>
  <c r="AV463" i="1"/>
  <c r="AQ463" i="1"/>
  <c r="AP463" i="1"/>
  <c r="AK463" i="1"/>
  <c r="AJ463" i="1"/>
  <c r="AF463" i="1"/>
  <c r="AE463" i="1"/>
  <c r="Z463" i="1"/>
  <c r="U463" i="1"/>
  <c r="N463" i="1"/>
  <c r="J463" i="1"/>
  <c r="I463" i="1"/>
  <c r="K463" i="1" s="1"/>
  <c r="BX462" i="1"/>
  <c r="BU462" i="1"/>
  <c r="BE462" i="1"/>
  <c r="BA462" i="1"/>
  <c r="AZ462" i="1"/>
  <c r="AV462" i="1"/>
  <c r="AQ462" i="1"/>
  <c r="AP462" i="1"/>
  <c r="AK462" i="1"/>
  <c r="AJ462" i="1"/>
  <c r="BR462" i="1" s="1"/>
  <c r="AF462" i="1"/>
  <c r="AE462" i="1"/>
  <c r="Z462" i="1"/>
  <c r="U462" i="1"/>
  <c r="N462" i="1"/>
  <c r="J462" i="1"/>
  <c r="I462" i="1"/>
  <c r="BX461" i="1"/>
  <c r="BU461" i="1"/>
  <c r="BE461" i="1"/>
  <c r="BA461" i="1"/>
  <c r="AZ461" i="1"/>
  <c r="AV461" i="1"/>
  <c r="AQ461" i="1"/>
  <c r="AP461" i="1"/>
  <c r="AK461" i="1"/>
  <c r="AJ461" i="1"/>
  <c r="AF461" i="1"/>
  <c r="AE461" i="1"/>
  <c r="Z461" i="1"/>
  <c r="U461" i="1"/>
  <c r="N461" i="1"/>
  <c r="J461" i="1"/>
  <c r="I461" i="1"/>
  <c r="BX460" i="1"/>
  <c r="BU460" i="1"/>
  <c r="BE460" i="1"/>
  <c r="BA460" i="1"/>
  <c r="AZ460" i="1"/>
  <c r="AV460" i="1"/>
  <c r="AQ460" i="1"/>
  <c r="AP460" i="1"/>
  <c r="AK460" i="1"/>
  <c r="AJ460" i="1"/>
  <c r="AG460" i="1" s="1"/>
  <c r="AF460" i="1"/>
  <c r="AE460" i="1"/>
  <c r="Z460" i="1"/>
  <c r="U460" i="1"/>
  <c r="N460" i="1"/>
  <c r="J460" i="1"/>
  <c r="I460" i="1"/>
  <c r="BX459" i="1"/>
  <c r="BU459" i="1"/>
  <c r="BE459" i="1"/>
  <c r="BA459" i="1"/>
  <c r="AZ459" i="1"/>
  <c r="AV459" i="1"/>
  <c r="AQ459" i="1"/>
  <c r="AP459" i="1"/>
  <c r="AK459" i="1"/>
  <c r="AJ459" i="1"/>
  <c r="AF459" i="1"/>
  <c r="AE459" i="1"/>
  <c r="Z459" i="1"/>
  <c r="U459" i="1"/>
  <c r="N459" i="1"/>
  <c r="J459" i="1"/>
  <c r="I459" i="1"/>
  <c r="BX458" i="1"/>
  <c r="BU458" i="1"/>
  <c r="BE458" i="1"/>
  <c r="BA458" i="1"/>
  <c r="AZ458" i="1"/>
  <c r="AV458" i="1"/>
  <c r="AQ458" i="1"/>
  <c r="AP458" i="1"/>
  <c r="BG458" i="1" s="1"/>
  <c r="AK458" i="1"/>
  <c r="AJ458" i="1"/>
  <c r="AF458" i="1"/>
  <c r="AE458" i="1"/>
  <c r="Z458" i="1"/>
  <c r="U458" i="1"/>
  <c r="N458" i="1"/>
  <c r="J458" i="1"/>
  <c r="I458" i="1"/>
  <c r="BX457" i="1"/>
  <c r="BU457" i="1"/>
  <c r="BE457" i="1"/>
  <c r="BA457" i="1"/>
  <c r="AZ457" i="1"/>
  <c r="AV457" i="1"/>
  <c r="AQ457" i="1"/>
  <c r="BH457" i="1" s="1"/>
  <c r="AP457" i="1"/>
  <c r="AK457" i="1"/>
  <c r="AJ457" i="1"/>
  <c r="AF457" i="1"/>
  <c r="AE457" i="1"/>
  <c r="Z457" i="1"/>
  <c r="U457" i="1"/>
  <c r="N457" i="1"/>
  <c r="J457" i="1"/>
  <c r="I457" i="1"/>
  <c r="BX456" i="1"/>
  <c r="BU456" i="1"/>
  <c r="BE456" i="1"/>
  <c r="BA456" i="1"/>
  <c r="AZ456" i="1"/>
  <c r="AV456" i="1"/>
  <c r="AQ456" i="1"/>
  <c r="AP456" i="1"/>
  <c r="AK456" i="1"/>
  <c r="BS456" i="1" s="1"/>
  <c r="AJ456" i="1"/>
  <c r="AF456" i="1"/>
  <c r="AE456" i="1"/>
  <c r="Z456" i="1"/>
  <c r="U456" i="1"/>
  <c r="N456" i="1"/>
  <c r="J456" i="1"/>
  <c r="I456" i="1"/>
  <c r="BX455" i="1"/>
  <c r="BU455" i="1"/>
  <c r="BE455" i="1"/>
  <c r="BA455" i="1"/>
  <c r="AZ455" i="1"/>
  <c r="AV455" i="1"/>
  <c r="AQ455" i="1"/>
  <c r="AP455" i="1"/>
  <c r="AK455" i="1"/>
  <c r="AH455" i="1" s="1"/>
  <c r="AJ455" i="1"/>
  <c r="AF455" i="1"/>
  <c r="AE455" i="1"/>
  <c r="Z455" i="1"/>
  <c r="U455" i="1"/>
  <c r="N455" i="1"/>
  <c r="J455" i="1"/>
  <c r="I455" i="1"/>
  <c r="BX454" i="1"/>
  <c r="BU454" i="1"/>
  <c r="BE454" i="1"/>
  <c r="BA454" i="1"/>
  <c r="AZ454" i="1"/>
  <c r="AV454" i="1"/>
  <c r="AQ454" i="1"/>
  <c r="AP454" i="1"/>
  <c r="AK454" i="1"/>
  <c r="AJ454" i="1"/>
  <c r="BR454" i="1" s="1"/>
  <c r="AF454" i="1"/>
  <c r="AE454" i="1"/>
  <c r="Z454" i="1"/>
  <c r="U454" i="1"/>
  <c r="N454" i="1"/>
  <c r="J454" i="1"/>
  <c r="I454" i="1"/>
  <c r="BX453" i="1"/>
  <c r="BU453" i="1"/>
  <c r="BE453" i="1"/>
  <c r="BA453" i="1"/>
  <c r="AZ453" i="1"/>
  <c r="BG453" i="1" s="1"/>
  <c r="BI453" i="1" s="1"/>
  <c r="AV453" i="1"/>
  <c r="AQ453" i="1"/>
  <c r="BH453" i="1" s="1"/>
  <c r="AP453" i="1"/>
  <c r="AK453" i="1"/>
  <c r="AJ453" i="1"/>
  <c r="AF453" i="1"/>
  <c r="AE453" i="1"/>
  <c r="Z453" i="1"/>
  <c r="U453" i="1"/>
  <c r="N453" i="1"/>
  <c r="J453" i="1"/>
  <c r="I453" i="1"/>
  <c r="BX452" i="1"/>
  <c r="BU452" i="1"/>
  <c r="BE452" i="1"/>
  <c r="BA452" i="1"/>
  <c r="AZ452" i="1"/>
  <c r="AV452" i="1"/>
  <c r="AQ452" i="1"/>
  <c r="AP452" i="1"/>
  <c r="AK452" i="1"/>
  <c r="BS452" i="1" s="1"/>
  <c r="AJ452" i="1"/>
  <c r="AH452" i="1"/>
  <c r="AF452" i="1"/>
  <c r="AE452" i="1"/>
  <c r="Z452" i="1"/>
  <c r="U452" i="1"/>
  <c r="N452" i="1"/>
  <c r="J452" i="1"/>
  <c r="I452" i="1"/>
  <c r="BX451" i="1"/>
  <c r="BU451" i="1"/>
  <c r="BE451" i="1"/>
  <c r="BA451" i="1"/>
  <c r="AZ451" i="1"/>
  <c r="AV451" i="1"/>
  <c r="AQ451" i="1"/>
  <c r="AP451" i="1"/>
  <c r="AK451" i="1"/>
  <c r="BS451" i="1" s="1"/>
  <c r="AJ451" i="1"/>
  <c r="AF451" i="1"/>
  <c r="AE451" i="1"/>
  <c r="Z451" i="1"/>
  <c r="U451" i="1"/>
  <c r="N451" i="1"/>
  <c r="J451" i="1"/>
  <c r="I451" i="1"/>
  <c r="BX450" i="1"/>
  <c r="BU450" i="1"/>
  <c r="BE450" i="1"/>
  <c r="BA450" i="1"/>
  <c r="AZ450" i="1"/>
  <c r="AV450" i="1"/>
  <c r="AQ450" i="1"/>
  <c r="AP450" i="1"/>
  <c r="AK450" i="1"/>
  <c r="AJ450" i="1"/>
  <c r="AG450" i="1" s="1"/>
  <c r="AF450" i="1"/>
  <c r="AE450" i="1"/>
  <c r="Z450" i="1"/>
  <c r="U450" i="1"/>
  <c r="N450" i="1"/>
  <c r="J450" i="1"/>
  <c r="I450" i="1"/>
  <c r="BX449" i="1"/>
  <c r="BU449" i="1"/>
  <c r="BE449" i="1"/>
  <c r="BA449" i="1"/>
  <c r="AZ449" i="1"/>
  <c r="AV449" i="1"/>
  <c r="AQ449" i="1"/>
  <c r="AP449" i="1"/>
  <c r="AK449" i="1"/>
  <c r="AJ449" i="1"/>
  <c r="AF449" i="1"/>
  <c r="AE449" i="1"/>
  <c r="Z449" i="1"/>
  <c r="U449" i="1"/>
  <c r="N449" i="1"/>
  <c r="J449" i="1"/>
  <c r="I449" i="1"/>
  <c r="BX448" i="1"/>
  <c r="BU448" i="1"/>
  <c r="BE448" i="1"/>
  <c r="BA448" i="1"/>
  <c r="AZ448" i="1"/>
  <c r="AV448" i="1"/>
  <c r="AQ448" i="1"/>
  <c r="AP448" i="1"/>
  <c r="AK448" i="1"/>
  <c r="BS448" i="1" s="1"/>
  <c r="AJ448" i="1"/>
  <c r="BR448" i="1" s="1"/>
  <c r="BO448" i="1" s="1"/>
  <c r="AF448" i="1"/>
  <c r="AE448" i="1"/>
  <c r="Z448" i="1"/>
  <c r="U448" i="1"/>
  <c r="N448" i="1"/>
  <c r="J448" i="1"/>
  <c r="I448" i="1"/>
  <c r="BX447" i="1"/>
  <c r="BU447" i="1"/>
  <c r="BE447" i="1"/>
  <c r="BA447" i="1"/>
  <c r="AZ447" i="1"/>
  <c r="BB447" i="1" s="1"/>
  <c r="AV447" i="1"/>
  <c r="AQ447" i="1"/>
  <c r="AP447" i="1"/>
  <c r="AK447" i="1"/>
  <c r="AJ447" i="1"/>
  <c r="AF447" i="1"/>
  <c r="AE447" i="1"/>
  <c r="Z447" i="1"/>
  <c r="U447" i="1"/>
  <c r="N447" i="1"/>
  <c r="J447" i="1"/>
  <c r="I447" i="1"/>
  <c r="BX446" i="1"/>
  <c r="BU446" i="1"/>
  <c r="BE446" i="1"/>
  <c r="BA446" i="1"/>
  <c r="AZ446" i="1"/>
  <c r="AV446" i="1"/>
  <c r="AQ446" i="1"/>
  <c r="AP446" i="1"/>
  <c r="AK446" i="1"/>
  <c r="AJ446" i="1"/>
  <c r="AF446" i="1"/>
  <c r="AE446" i="1"/>
  <c r="Z446" i="1"/>
  <c r="U446" i="1"/>
  <c r="N446" i="1"/>
  <c r="J446" i="1"/>
  <c r="I446" i="1"/>
  <c r="BX445" i="1"/>
  <c r="BU445" i="1"/>
  <c r="BE445" i="1"/>
  <c r="BA445" i="1"/>
  <c r="AZ445" i="1"/>
  <c r="AV445" i="1"/>
  <c r="AQ445" i="1"/>
  <c r="BH445" i="1" s="1"/>
  <c r="AP445" i="1"/>
  <c r="AR445" i="1" s="1"/>
  <c r="AK445" i="1"/>
  <c r="AH445" i="1" s="1"/>
  <c r="AJ445" i="1"/>
  <c r="BR445" i="1" s="1"/>
  <c r="AF445" i="1"/>
  <c r="AE445" i="1"/>
  <c r="Z445" i="1"/>
  <c r="U445" i="1"/>
  <c r="N445" i="1"/>
  <c r="J445" i="1"/>
  <c r="I445" i="1"/>
  <c r="BX444" i="1"/>
  <c r="BU444" i="1"/>
  <c r="BE444" i="1"/>
  <c r="BA444" i="1"/>
  <c r="AZ444" i="1"/>
  <c r="AV444" i="1"/>
  <c r="AQ444" i="1"/>
  <c r="AP444" i="1"/>
  <c r="AK444" i="1"/>
  <c r="AJ444" i="1"/>
  <c r="AF444" i="1"/>
  <c r="AE444" i="1"/>
  <c r="Z444" i="1"/>
  <c r="U444" i="1"/>
  <c r="N444" i="1"/>
  <c r="J444" i="1"/>
  <c r="I444" i="1"/>
  <c r="BX443" i="1"/>
  <c r="BU443" i="1"/>
  <c r="BE443" i="1"/>
  <c r="BA443" i="1"/>
  <c r="AZ443" i="1"/>
  <c r="AV443" i="1"/>
  <c r="AQ443" i="1"/>
  <c r="AP443" i="1"/>
  <c r="AK443" i="1"/>
  <c r="AJ443" i="1"/>
  <c r="AF443" i="1"/>
  <c r="AE443" i="1"/>
  <c r="Z443" i="1"/>
  <c r="U443" i="1"/>
  <c r="N443" i="1"/>
  <c r="J443" i="1"/>
  <c r="I443" i="1"/>
  <c r="BX442" i="1"/>
  <c r="BU442" i="1"/>
  <c r="BE442" i="1"/>
  <c r="BA442" i="1"/>
  <c r="AZ442" i="1"/>
  <c r="BB442" i="1" s="1"/>
  <c r="AV442" i="1"/>
  <c r="AQ442" i="1"/>
  <c r="BH442" i="1" s="1"/>
  <c r="AP442" i="1"/>
  <c r="AK442" i="1"/>
  <c r="AJ442" i="1"/>
  <c r="AF442" i="1"/>
  <c r="AE442" i="1"/>
  <c r="Z442" i="1"/>
  <c r="U442" i="1"/>
  <c r="N442" i="1"/>
  <c r="J442" i="1"/>
  <c r="I442" i="1"/>
  <c r="BX441" i="1"/>
  <c r="BU441" i="1"/>
  <c r="BE441" i="1"/>
  <c r="BA441" i="1"/>
  <c r="AZ441" i="1"/>
  <c r="AV441" i="1"/>
  <c r="AQ441" i="1"/>
  <c r="AP441" i="1"/>
  <c r="AK441" i="1"/>
  <c r="BS441" i="1" s="1"/>
  <c r="AJ441" i="1"/>
  <c r="AF441" i="1"/>
  <c r="AE441" i="1"/>
  <c r="Z441" i="1"/>
  <c r="U441" i="1"/>
  <c r="N441" i="1"/>
  <c r="J441" i="1"/>
  <c r="I441" i="1"/>
  <c r="BX440" i="1"/>
  <c r="BU440" i="1"/>
  <c r="BE440" i="1"/>
  <c r="BA440" i="1"/>
  <c r="AZ440" i="1"/>
  <c r="AV440" i="1"/>
  <c r="AQ440" i="1"/>
  <c r="BH440" i="1" s="1"/>
  <c r="AP440" i="1"/>
  <c r="AK440" i="1"/>
  <c r="BS440" i="1" s="1"/>
  <c r="AJ440" i="1"/>
  <c r="AF440" i="1"/>
  <c r="AE440" i="1"/>
  <c r="Z440" i="1"/>
  <c r="U440" i="1"/>
  <c r="N440" i="1"/>
  <c r="J440" i="1"/>
  <c r="I440" i="1"/>
  <c r="BX439" i="1"/>
  <c r="BU439" i="1"/>
  <c r="BE439" i="1"/>
  <c r="BA439" i="1"/>
  <c r="AZ439" i="1"/>
  <c r="AV439" i="1"/>
  <c r="AQ439" i="1"/>
  <c r="AP439" i="1"/>
  <c r="AK439" i="1"/>
  <c r="AJ439" i="1"/>
  <c r="AF439" i="1"/>
  <c r="AE439" i="1"/>
  <c r="Z439" i="1"/>
  <c r="U439" i="1"/>
  <c r="N439" i="1"/>
  <c r="J439" i="1"/>
  <c r="I439" i="1"/>
  <c r="BX438" i="1"/>
  <c r="BU438" i="1"/>
  <c r="BE438" i="1"/>
  <c r="BA438" i="1"/>
  <c r="BB438" i="1" s="1"/>
  <c r="AZ438" i="1"/>
  <c r="AV438" i="1"/>
  <c r="AQ438" i="1"/>
  <c r="AP438" i="1"/>
  <c r="AK438" i="1"/>
  <c r="AJ438" i="1"/>
  <c r="AF438" i="1"/>
  <c r="AE438" i="1"/>
  <c r="Z438" i="1"/>
  <c r="U438" i="1"/>
  <c r="N438" i="1"/>
  <c r="J438" i="1"/>
  <c r="I438" i="1"/>
  <c r="BX437" i="1"/>
  <c r="BU437" i="1"/>
  <c r="BE437" i="1"/>
  <c r="BA437" i="1"/>
  <c r="AZ437" i="1"/>
  <c r="AV437" i="1"/>
  <c r="AQ437" i="1"/>
  <c r="BH437" i="1" s="1"/>
  <c r="AP437" i="1"/>
  <c r="AK437" i="1"/>
  <c r="BS437" i="1" s="1"/>
  <c r="AJ437" i="1"/>
  <c r="AF437" i="1"/>
  <c r="AE437" i="1"/>
  <c r="Z437" i="1"/>
  <c r="U437" i="1"/>
  <c r="N437" i="1"/>
  <c r="J437" i="1"/>
  <c r="I437" i="1"/>
  <c r="BX436" i="1"/>
  <c r="BU436" i="1"/>
  <c r="BE436" i="1"/>
  <c r="BA436" i="1"/>
  <c r="AZ436" i="1"/>
  <c r="AV436" i="1"/>
  <c r="AQ436" i="1"/>
  <c r="AP436" i="1"/>
  <c r="AK436" i="1"/>
  <c r="AJ436" i="1"/>
  <c r="AG436" i="1" s="1"/>
  <c r="AF436" i="1"/>
  <c r="AE436" i="1"/>
  <c r="Z436" i="1"/>
  <c r="U436" i="1"/>
  <c r="N436" i="1"/>
  <c r="J436" i="1"/>
  <c r="I436" i="1"/>
  <c r="BX435" i="1"/>
  <c r="BU435" i="1"/>
  <c r="BE435" i="1"/>
  <c r="BA435" i="1"/>
  <c r="AZ435" i="1"/>
  <c r="AV435" i="1"/>
  <c r="AQ435" i="1"/>
  <c r="AP435" i="1"/>
  <c r="AK435" i="1"/>
  <c r="AH435" i="1" s="1"/>
  <c r="AJ435" i="1"/>
  <c r="AF435" i="1"/>
  <c r="AE435" i="1"/>
  <c r="Z435" i="1"/>
  <c r="U435" i="1"/>
  <c r="N435" i="1"/>
  <c r="J435" i="1"/>
  <c r="I435" i="1"/>
  <c r="BX434" i="1"/>
  <c r="BU434" i="1"/>
  <c r="BE434" i="1"/>
  <c r="BA434" i="1"/>
  <c r="AZ434" i="1"/>
  <c r="AV434" i="1"/>
  <c r="AQ434" i="1"/>
  <c r="AP434" i="1"/>
  <c r="AK434" i="1"/>
  <c r="AJ434" i="1"/>
  <c r="BR434" i="1" s="1"/>
  <c r="BO434" i="1" s="1"/>
  <c r="AF434" i="1"/>
  <c r="AE434" i="1"/>
  <c r="Z434" i="1"/>
  <c r="U434" i="1"/>
  <c r="N434" i="1"/>
  <c r="J434" i="1"/>
  <c r="I434" i="1"/>
  <c r="BX433" i="1"/>
  <c r="BU433" i="1"/>
  <c r="BE433" i="1"/>
  <c r="BA433" i="1"/>
  <c r="AZ433" i="1"/>
  <c r="AV433" i="1"/>
  <c r="AQ433" i="1"/>
  <c r="AP433" i="1"/>
  <c r="AK433" i="1"/>
  <c r="AH433" i="1" s="1"/>
  <c r="AJ433" i="1"/>
  <c r="AF433" i="1"/>
  <c r="AE433" i="1"/>
  <c r="Z433" i="1"/>
  <c r="U433" i="1"/>
  <c r="N433" i="1"/>
  <c r="J433" i="1"/>
  <c r="I433" i="1"/>
  <c r="BX432" i="1"/>
  <c r="BU432" i="1"/>
  <c r="BE432" i="1"/>
  <c r="BA432" i="1"/>
  <c r="AZ432" i="1"/>
  <c r="AV432" i="1"/>
  <c r="AQ432" i="1"/>
  <c r="AP432" i="1"/>
  <c r="AK432" i="1"/>
  <c r="BS432" i="1" s="1"/>
  <c r="BP432" i="1" s="1"/>
  <c r="AJ432" i="1"/>
  <c r="AF432" i="1"/>
  <c r="AE432" i="1"/>
  <c r="Z432" i="1"/>
  <c r="U432" i="1"/>
  <c r="N432" i="1"/>
  <c r="J432" i="1"/>
  <c r="I432" i="1"/>
  <c r="BX431" i="1"/>
  <c r="BU431" i="1"/>
  <c r="BE431" i="1"/>
  <c r="BA431" i="1"/>
  <c r="AZ431" i="1"/>
  <c r="AV431" i="1"/>
  <c r="AQ431" i="1"/>
  <c r="AP431" i="1"/>
  <c r="AK431" i="1"/>
  <c r="AH431" i="1" s="1"/>
  <c r="AJ431" i="1"/>
  <c r="AL431" i="1" s="1"/>
  <c r="AF431" i="1"/>
  <c r="AE431" i="1"/>
  <c r="Z431" i="1"/>
  <c r="U431" i="1"/>
  <c r="N431" i="1"/>
  <c r="J431" i="1"/>
  <c r="I431" i="1"/>
  <c r="BX430" i="1"/>
  <c r="BU430" i="1"/>
  <c r="BE430" i="1"/>
  <c r="BA430" i="1"/>
  <c r="AZ430" i="1"/>
  <c r="AV430" i="1"/>
  <c r="AQ430" i="1"/>
  <c r="AP430" i="1"/>
  <c r="AK430" i="1"/>
  <c r="AJ430" i="1"/>
  <c r="BR430" i="1" s="1"/>
  <c r="AF430" i="1"/>
  <c r="AE430" i="1"/>
  <c r="Z430" i="1"/>
  <c r="U430" i="1"/>
  <c r="N430" i="1"/>
  <c r="J430" i="1"/>
  <c r="I430" i="1"/>
  <c r="BX429" i="1"/>
  <c r="BU429" i="1"/>
  <c r="BE429" i="1"/>
  <c r="BA429" i="1"/>
  <c r="AZ429" i="1"/>
  <c r="AV429" i="1"/>
  <c r="AQ429" i="1"/>
  <c r="AP429" i="1"/>
  <c r="AK429" i="1"/>
  <c r="AJ429" i="1"/>
  <c r="AF429" i="1"/>
  <c r="AE429" i="1"/>
  <c r="Z429" i="1"/>
  <c r="U429" i="1"/>
  <c r="N429" i="1"/>
  <c r="J429" i="1"/>
  <c r="I429" i="1"/>
  <c r="BX428" i="1"/>
  <c r="BU428" i="1"/>
  <c r="BE428" i="1"/>
  <c r="BA428" i="1"/>
  <c r="AZ428" i="1"/>
  <c r="AV428" i="1"/>
  <c r="AQ428" i="1"/>
  <c r="AP428" i="1"/>
  <c r="AK428" i="1"/>
  <c r="BS428" i="1" s="1"/>
  <c r="AJ428" i="1"/>
  <c r="AF428" i="1"/>
  <c r="AE428" i="1"/>
  <c r="Z428" i="1"/>
  <c r="U428" i="1"/>
  <c r="N428" i="1"/>
  <c r="J428" i="1"/>
  <c r="I428" i="1"/>
  <c r="BX427" i="1"/>
  <c r="BU427" i="1"/>
  <c r="BE427" i="1"/>
  <c r="BA427" i="1"/>
  <c r="AZ427" i="1"/>
  <c r="AV427" i="1"/>
  <c r="AQ427" i="1"/>
  <c r="AP427" i="1"/>
  <c r="AK427" i="1"/>
  <c r="AJ427" i="1"/>
  <c r="AF427" i="1"/>
  <c r="AE427" i="1"/>
  <c r="Z427" i="1"/>
  <c r="U427" i="1"/>
  <c r="N427" i="1"/>
  <c r="J427" i="1"/>
  <c r="I427" i="1"/>
  <c r="BV426" i="1"/>
  <c r="BX426" i="1" s="1"/>
  <c r="BU426" i="1"/>
  <c r="BE426" i="1"/>
  <c r="BA426" i="1"/>
  <c r="AZ426" i="1"/>
  <c r="AV426" i="1"/>
  <c r="AQ426" i="1"/>
  <c r="AP426" i="1"/>
  <c r="AK426" i="1"/>
  <c r="AJ426" i="1"/>
  <c r="AF426" i="1"/>
  <c r="AE426" i="1"/>
  <c r="Z426" i="1"/>
  <c r="U426" i="1"/>
  <c r="N426" i="1"/>
  <c r="J426" i="1"/>
  <c r="I426" i="1"/>
  <c r="BV425" i="1"/>
  <c r="BX425" i="1" s="1"/>
  <c r="BU425" i="1"/>
  <c r="BE425" i="1"/>
  <c r="BA425" i="1"/>
  <c r="AZ425" i="1"/>
  <c r="AV425" i="1"/>
  <c r="AQ425" i="1"/>
  <c r="AP425" i="1"/>
  <c r="AK425" i="1"/>
  <c r="AJ425" i="1"/>
  <c r="AF425" i="1"/>
  <c r="AE425" i="1"/>
  <c r="Z425" i="1"/>
  <c r="U425" i="1"/>
  <c r="N425" i="1"/>
  <c r="J425" i="1"/>
  <c r="I425" i="1"/>
  <c r="BV424" i="1"/>
  <c r="BX424" i="1" s="1"/>
  <c r="BU424" i="1"/>
  <c r="BE424" i="1"/>
  <c r="BA424" i="1"/>
  <c r="AZ424" i="1"/>
  <c r="AV424" i="1"/>
  <c r="AQ424" i="1"/>
  <c r="AP424" i="1"/>
  <c r="BG424" i="1" s="1"/>
  <c r="AJ424" i="1"/>
  <c r="AG424" i="1" s="1"/>
  <c r="AF424" i="1"/>
  <c r="AD424" i="1"/>
  <c r="Z424" i="1"/>
  <c r="U424" i="1"/>
  <c r="N424" i="1"/>
  <c r="J424" i="1"/>
  <c r="I424" i="1"/>
  <c r="BV423" i="1"/>
  <c r="BX423" i="1" s="1"/>
  <c r="BU423" i="1"/>
  <c r="BE423" i="1"/>
  <c r="BA423" i="1"/>
  <c r="AZ423" i="1"/>
  <c r="AV423" i="1"/>
  <c r="AQ423" i="1"/>
  <c r="AP423" i="1"/>
  <c r="AK423" i="1"/>
  <c r="AJ423" i="1"/>
  <c r="AF423" i="1"/>
  <c r="AE423" i="1"/>
  <c r="Z423" i="1"/>
  <c r="U423" i="1"/>
  <c r="N423" i="1"/>
  <c r="J423" i="1"/>
  <c r="I423" i="1"/>
  <c r="BX422" i="1"/>
  <c r="BU422" i="1"/>
  <c r="BE422" i="1"/>
  <c r="BA422" i="1"/>
  <c r="AZ422" i="1"/>
  <c r="AV422" i="1"/>
  <c r="AQ422" i="1"/>
  <c r="AP422" i="1"/>
  <c r="AK422" i="1"/>
  <c r="AJ422" i="1"/>
  <c r="AG422" i="1" s="1"/>
  <c r="AF422" i="1"/>
  <c r="AE422" i="1"/>
  <c r="Z422" i="1"/>
  <c r="U422" i="1"/>
  <c r="N422" i="1"/>
  <c r="J422" i="1"/>
  <c r="I422" i="1"/>
  <c r="BX421" i="1"/>
  <c r="BU421" i="1"/>
  <c r="BE421" i="1"/>
  <c r="BA421" i="1"/>
  <c r="AZ421" i="1"/>
  <c r="AV421" i="1"/>
  <c r="AQ421" i="1"/>
  <c r="AP421" i="1"/>
  <c r="AK421" i="1"/>
  <c r="AJ421" i="1"/>
  <c r="AL421" i="1" s="1"/>
  <c r="AF421" i="1"/>
  <c r="AE421" i="1"/>
  <c r="Z421" i="1"/>
  <c r="U421" i="1"/>
  <c r="N421" i="1"/>
  <c r="J421" i="1"/>
  <c r="I421" i="1"/>
  <c r="BX420" i="1"/>
  <c r="BU420" i="1"/>
  <c r="BE420" i="1"/>
  <c r="BA420" i="1"/>
  <c r="AZ420" i="1"/>
  <c r="AV420" i="1"/>
  <c r="AQ420" i="1"/>
  <c r="AP420" i="1"/>
  <c r="AK420" i="1"/>
  <c r="AJ420" i="1"/>
  <c r="AF420" i="1"/>
  <c r="AE420" i="1"/>
  <c r="Z420" i="1"/>
  <c r="U420" i="1"/>
  <c r="N420" i="1"/>
  <c r="J420" i="1"/>
  <c r="I420" i="1"/>
  <c r="BX419" i="1"/>
  <c r="BU419" i="1"/>
  <c r="BE419" i="1"/>
  <c r="BA419" i="1"/>
  <c r="AZ419" i="1"/>
  <c r="AV419" i="1"/>
  <c r="AQ419" i="1"/>
  <c r="AP419" i="1"/>
  <c r="AK419" i="1"/>
  <c r="AH419" i="1" s="1"/>
  <c r="AJ419" i="1"/>
  <c r="AF419" i="1"/>
  <c r="AE419" i="1"/>
  <c r="Z419" i="1"/>
  <c r="U419" i="1"/>
  <c r="N419" i="1"/>
  <c r="J419" i="1"/>
  <c r="I419" i="1"/>
  <c r="BX418" i="1"/>
  <c r="BU418" i="1"/>
  <c r="BE418" i="1"/>
  <c r="BA418" i="1"/>
  <c r="AZ418" i="1"/>
  <c r="AV418" i="1"/>
  <c r="AQ418" i="1"/>
  <c r="AP418" i="1"/>
  <c r="AK418" i="1"/>
  <c r="AJ418" i="1"/>
  <c r="AF418" i="1"/>
  <c r="AE418" i="1"/>
  <c r="Z418" i="1"/>
  <c r="U418" i="1"/>
  <c r="N418" i="1"/>
  <c r="J418" i="1"/>
  <c r="I418" i="1"/>
  <c r="BV417" i="1"/>
  <c r="BX417" i="1" s="1"/>
  <c r="BU417" i="1"/>
  <c r="BE417" i="1"/>
  <c r="BA417" i="1"/>
  <c r="AZ417" i="1"/>
  <c r="AV417" i="1"/>
  <c r="AQ417" i="1"/>
  <c r="AP417" i="1"/>
  <c r="AJ417" i="1"/>
  <c r="BR417" i="1" s="1"/>
  <c r="BO417" i="1" s="1"/>
  <c r="AF417" i="1"/>
  <c r="AD417" i="1"/>
  <c r="Z417" i="1"/>
  <c r="U417" i="1"/>
  <c r="N417" i="1"/>
  <c r="J417" i="1"/>
  <c r="I417" i="1"/>
  <c r="BX416" i="1"/>
  <c r="BU416" i="1"/>
  <c r="BE416" i="1"/>
  <c r="BA416" i="1"/>
  <c r="AZ416" i="1"/>
  <c r="AV416" i="1"/>
  <c r="AQ416" i="1"/>
  <c r="AP416" i="1"/>
  <c r="AK416" i="1"/>
  <c r="AJ416" i="1"/>
  <c r="BR416" i="1" s="1"/>
  <c r="BO416" i="1" s="1"/>
  <c r="AG416" i="1"/>
  <c r="AF416" i="1"/>
  <c r="AE416" i="1"/>
  <c r="Z416" i="1"/>
  <c r="U416" i="1"/>
  <c r="N416" i="1"/>
  <c r="J416" i="1"/>
  <c r="I416" i="1"/>
  <c r="BX415" i="1"/>
  <c r="BU415" i="1"/>
  <c r="BE415" i="1"/>
  <c r="BA415" i="1"/>
  <c r="AZ415" i="1"/>
  <c r="BB415" i="1" s="1"/>
  <c r="AV415" i="1"/>
  <c r="AQ415" i="1"/>
  <c r="AP415" i="1"/>
  <c r="AK415" i="1"/>
  <c r="AH415" i="1" s="1"/>
  <c r="AJ415" i="1"/>
  <c r="AF415" i="1"/>
  <c r="AE415" i="1"/>
  <c r="Z415" i="1"/>
  <c r="U415" i="1"/>
  <c r="N415" i="1"/>
  <c r="J415" i="1"/>
  <c r="I415" i="1"/>
  <c r="BX414" i="1"/>
  <c r="BU414" i="1"/>
  <c r="BE414" i="1"/>
  <c r="BA414" i="1"/>
  <c r="AZ414" i="1"/>
  <c r="AV414" i="1"/>
  <c r="AQ414" i="1"/>
  <c r="AP414" i="1"/>
  <c r="AK414" i="1"/>
  <c r="AJ414" i="1"/>
  <c r="BR414" i="1" s="1"/>
  <c r="AF414" i="1"/>
  <c r="AE414" i="1"/>
  <c r="Z414" i="1"/>
  <c r="U414" i="1"/>
  <c r="N414" i="1"/>
  <c r="J414" i="1"/>
  <c r="I414" i="1"/>
  <c r="BX413" i="1"/>
  <c r="BU413" i="1"/>
  <c r="BE413" i="1"/>
  <c r="BA413" i="1"/>
  <c r="AZ413" i="1"/>
  <c r="AV413" i="1"/>
  <c r="AQ413" i="1"/>
  <c r="AP413" i="1"/>
  <c r="AK413" i="1"/>
  <c r="AH413" i="1" s="1"/>
  <c r="AJ413" i="1"/>
  <c r="AF413" i="1"/>
  <c r="AE413" i="1"/>
  <c r="Z413" i="1"/>
  <c r="U413" i="1"/>
  <c r="N413" i="1"/>
  <c r="J413" i="1"/>
  <c r="I413" i="1"/>
  <c r="BX412" i="1"/>
  <c r="BU412" i="1"/>
  <c r="BE412" i="1"/>
  <c r="BA412" i="1"/>
  <c r="AZ412" i="1"/>
  <c r="AV412" i="1"/>
  <c r="AQ412" i="1"/>
  <c r="AP412" i="1"/>
  <c r="AK412" i="1"/>
  <c r="AJ412" i="1"/>
  <c r="BR412" i="1" s="1"/>
  <c r="BO412" i="1" s="1"/>
  <c r="AG412" i="1"/>
  <c r="AF412" i="1"/>
  <c r="AE412" i="1"/>
  <c r="Z412" i="1"/>
  <c r="U412" i="1"/>
  <c r="N412" i="1"/>
  <c r="J412" i="1"/>
  <c r="I412" i="1"/>
  <c r="BX411" i="1"/>
  <c r="BU411" i="1"/>
  <c r="BE411" i="1"/>
  <c r="BA411" i="1"/>
  <c r="AZ411" i="1"/>
  <c r="AV411" i="1"/>
  <c r="AQ411" i="1"/>
  <c r="AP411" i="1"/>
  <c r="AK411" i="1"/>
  <c r="AJ411" i="1"/>
  <c r="AF411" i="1"/>
  <c r="AE411" i="1"/>
  <c r="Z411" i="1"/>
  <c r="U411" i="1"/>
  <c r="N411" i="1"/>
  <c r="J411" i="1"/>
  <c r="I411" i="1"/>
  <c r="BX410" i="1"/>
  <c r="BU410" i="1"/>
  <c r="BE410" i="1"/>
  <c r="BA410" i="1"/>
  <c r="AZ410" i="1"/>
  <c r="AV410" i="1"/>
  <c r="AQ410" i="1"/>
  <c r="AP410" i="1"/>
  <c r="AK410" i="1"/>
  <c r="AJ410" i="1"/>
  <c r="BR410" i="1" s="1"/>
  <c r="AF410" i="1"/>
  <c r="AE410" i="1"/>
  <c r="Z410" i="1"/>
  <c r="U410" i="1"/>
  <c r="N410" i="1"/>
  <c r="J410" i="1"/>
  <c r="I410" i="1"/>
  <c r="BX409" i="1"/>
  <c r="BU409" i="1"/>
  <c r="BE409" i="1"/>
  <c r="BA409" i="1"/>
  <c r="AZ409" i="1"/>
  <c r="AV409" i="1"/>
  <c r="AQ409" i="1"/>
  <c r="AP409" i="1"/>
  <c r="AK409" i="1"/>
  <c r="AJ409" i="1"/>
  <c r="AF409" i="1"/>
  <c r="AE409" i="1"/>
  <c r="Z409" i="1"/>
  <c r="U409" i="1"/>
  <c r="N409" i="1"/>
  <c r="J409" i="1"/>
  <c r="I409" i="1"/>
  <c r="BX408" i="1"/>
  <c r="BU408" i="1"/>
  <c r="BE408" i="1"/>
  <c r="BA408" i="1"/>
  <c r="AZ408" i="1"/>
  <c r="AV408" i="1"/>
  <c r="AQ408" i="1"/>
  <c r="BH408" i="1" s="1"/>
  <c r="AP408" i="1"/>
  <c r="AK408" i="1"/>
  <c r="AJ408" i="1"/>
  <c r="AF408" i="1"/>
  <c r="AE408" i="1"/>
  <c r="Z408" i="1"/>
  <c r="U408" i="1"/>
  <c r="N408" i="1"/>
  <c r="J408" i="1"/>
  <c r="I408" i="1"/>
  <c r="BX407" i="1"/>
  <c r="BU407" i="1"/>
  <c r="BE407" i="1"/>
  <c r="BA407" i="1"/>
  <c r="AZ407" i="1"/>
  <c r="AV407" i="1"/>
  <c r="AQ407" i="1"/>
  <c r="AP407" i="1"/>
  <c r="AK407" i="1"/>
  <c r="AJ407" i="1"/>
  <c r="AF407" i="1"/>
  <c r="AE407" i="1"/>
  <c r="Z407" i="1"/>
  <c r="U407" i="1"/>
  <c r="N407" i="1"/>
  <c r="J407" i="1"/>
  <c r="I407" i="1"/>
  <c r="BX406" i="1"/>
  <c r="BU406" i="1"/>
  <c r="BE406" i="1"/>
  <c r="BA406" i="1"/>
  <c r="AZ406" i="1"/>
  <c r="AV406" i="1"/>
  <c r="AQ406" i="1"/>
  <c r="AP406" i="1"/>
  <c r="AK406" i="1"/>
  <c r="AJ406" i="1"/>
  <c r="AG406" i="1"/>
  <c r="AF406" i="1"/>
  <c r="AE406" i="1"/>
  <c r="Z406" i="1"/>
  <c r="U406" i="1"/>
  <c r="N406" i="1"/>
  <c r="J406" i="1"/>
  <c r="I406" i="1"/>
  <c r="BX405" i="1"/>
  <c r="BU405" i="1"/>
  <c r="BE405" i="1"/>
  <c r="BA405" i="1"/>
  <c r="AZ405" i="1"/>
  <c r="BB405" i="1" s="1"/>
  <c r="AV405" i="1"/>
  <c r="AQ405" i="1"/>
  <c r="AP405" i="1"/>
  <c r="AK405" i="1"/>
  <c r="AJ405" i="1"/>
  <c r="AF405" i="1"/>
  <c r="AE405" i="1"/>
  <c r="Z405" i="1"/>
  <c r="U405" i="1"/>
  <c r="N405" i="1"/>
  <c r="J405" i="1"/>
  <c r="I405" i="1"/>
  <c r="BX404" i="1"/>
  <c r="BU404" i="1"/>
  <c r="BE404" i="1"/>
  <c r="BA404" i="1"/>
  <c r="AZ404" i="1"/>
  <c r="AV404" i="1"/>
  <c r="AQ404" i="1"/>
  <c r="AP404" i="1"/>
  <c r="AK404" i="1"/>
  <c r="AJ404" i="1"/>
  <c r="AG404" i="1" s="1"/>
  <c r="AF404" i="1"/>
  <c r="AE404" i="1"/>
  <c r="Z404" i="1"/>
  <c r="U404" i="1"/>
  <c r="N404" i="1"/>
  <c r="J404" i="1"/>
  <c r="I404" i="1"/>
  <c r="K404" i="1" s="1"/>
  <c r="BX403" i="1"/>
  <c r="BU403" i="1"/>
  <c r="BE403" i="1"/>
  <c r="BA403" i="1"/>
  <c r="AZ403" i="1"/>
  <c r="AV403" i="1"/>
  <c r="AQ403" i="1"/>
  <c r="AP403" i="1"/>
  <c r="AK403" i="1"/>
  <c r="BS403" i="1" s="1"/>
  <c r="AJ403" i="1"/>
  <c r="AH403" i="1"/>
  <c r="AF403" i="1"/>
  <c r="AE403" i="1"/>
  <c r="Z403" i="1"/>
  <c r="U403" i="1"/>
  <c r="N403" i="1"/>
  <c r="J403" i="1"/>
  <c r="I403" i="1"/>
  <c r="BX402" i="1"/>
  <c r="BU402" i="1"/>
  <c r="BE402" i="1"/>
  <c r="BA402" i="1"/>
  <c r="AZ402" i="1"/>
  <c r="AV402" i="1"/>
  <c r="AQ402" i="1"/>
  <c r="AP402" i="1"/>
  <c r="AK402" i="1"/>
  <c r="AJ402" i="1"/>
  <c r="AG402" i="1" s="1"/>
  <c r="AF402" i="1"/>
  <c r="AE402" i="1"/>
  <c r="Z402" i="1"/>
  <c r="U402" i="1"/>
  <c r="N402" i="1"/>
  <c r="J402" i="1"/>
  <c r="I402" i="1"/>
  <c r="BX401" i="1"/>
  <c r="BU401" i="1"/>
  <c r="BE401" i="1"/>
  <c r="BA401" i="1"/>
  <c r="AZ401" i="1"/>
  <c r="AV401" i="1"/>
  <c r="AQ401" i="1"/>
  <c r="AP401" i="1"/>
  <c r="AK401" i="1"/>
  <c r="AH401" i="1" s="1"/>
  <c r="AJ401" i="1"/>
  <c r="AF401" i="1"/>
  <c r="AE401" i="1"/>
  <c r="Z401" i="1"/>
  <c r="U401" i="1"/>
  <c r="N401" i="1"/>
  <c r="J401" i="1"/>
  <c r="I401" i="1"/>
  <c r="BX400" i="1"/>
  <c r="BU400" i="1"/>
  <c r="BE400" i="1"/>
  <c r="BA400" i="1"/>
  <c r="AZ400" i="1"/>
  <c r="AV400" i="1"/>
  <c r="AQ400" i="1"/>
  <c r="AP400" i="1"/>
  <c r="AK400" i="1"/>
  <c r="AJ400" i="1"/>
  <c r="AF400" i="1"/>
  <c r="AE400" i="1"/>
  <c r="Z400" i="1"/>
  <c r="U400" i="1"/>
  <c r="N400" i="1"/>
  <c r="J400" i="1"/>
  <c r="I400" i="1"/>
  <c r="BX399" i="1"/>
  <c r="BU399" i="1"/>
  <c r="BE399" i="1"/>
  <c r="BA399" i="1"/>
  <c r="AZ399" i="1"/>
  <c r="AV399" i="1"/>
  <c r="AQ399" i="1"/>
  <c r="AP399" i="1"/>
  <c r="AK399" i="1"/>
  <c r="AH399" i="1" s="1"/>
  <c r="AJ399" i="1"/>
  <c r="AF399" i="1"/>
  <c r="AE399" i="1"/>
  <c r="Z399" i="1"/>
  <c r="U399" i="1"/>
  <c r="N399" i="1"/>
  <c r="J399" i="1"/>
  <c r="I399" i="1"/>
  <c r="BX398" i="1"/>
  <c r="BU398" i="1"/>
  <c r="BE398" i="1"/>
  <c r="BA398" i="1"/>
  <c r="AZ398" i="1"/>
  <c r="AV398" i="1"/>
  <c r="AQ398" i="1"/>
  <c r="AP398" i="1"/>
  <c r="AK398" i="1"/>
  <c r="AJ398" i="1"/>
  <c r="BR398" i="1" s="1"/>
  <c r="AF398" i="1"/>
  <c r="AE398" i="1"/>
  <c r="Z398" i="1"/>
  <c r="U398" i="1"/>
  <c r="N398" i="1"/>
  <c r="J398" i="1"/>
  <c r="I398" i="1"/>
  <c r="K398" i="1" s="1"/>
  <c r="BX397" i="1"/>
  <c r="BU397" i="1"/>
  <c r="BE397" i="1"/>
  <c r="BA397" i="1"/>
  <c r="AZ397" i="1"/>
  <c r="AV397" i="1"/>
  <c r="AQ397" i="1"/>
  <c r="AP397" i="1"/>
  <c r="AL397" i="1"/>
  <c r="AK397" i="1"/>
  <c r="BS397" i="1" s="1"/>
  <c r="AJ397" i="1"/>
  <c r="AF397" i="1"/>
  <c r="AE397" i="1"/>
  <c r="Z397" i="1"/>
  <c r="U397" i="1"/>
  <c r="N397" i="1"/>
  <c r="J397" i="1"/>
  <c r="I397" i="1"/>
  <c r="BX396" i="1"/>
  <c r="BU396" i="1"/>
  <c r="BE396" i="1"/>
  <c r="BA396" i="1"/>
  <c r="AZ396" i="1"/>
  <c r="AV396" i="1"/>
  <c r="AQ396" i="1"/>
  <c r="BH396" i="1" s="1"/>
  <c r="AP396" i="1"/>
  <c r="AK396" i="1"/>
  <c r="AJ396" i="1"/>
  <c r="AF396" i="1"/>
  <c r="AE396" i="1"/>
  <c r="Z396" i="1"/>
  <c r="U396" i="1"/>
  <c r="N396" i="1"/>
  <c r="J396" i="1"/>
  <c r="I396" i="1"/>
  <c r="BX395" i="1"/>
  <c r="BU395" i="1"/>
  <c r="BE395" i="1"/>
  <c r="BA395" i="1"/>
  <c r="AZ395" i="1"/>
  <c r="AV395" i="1"/>
  <c r="AQ395" i="1"/>
  <c r="AP395" i="1"/>
  <c r="AK395" i="1"/>
  <c r="AJ395" i="1"/>
  <c r="AF395" i="1"/>
  <c r="AE395" i="1"/>
  <c r="Z395" i="1"/>
  <c r="U395" i="1"/>
  <c r="N395" i="1"/>
  <c r="J395" i="1"/>
  <c r="I395" i="1"/>
  <c r="BX394" i="1"/>
  <c r="BU394" i="1"/>
  <c r="BE394" i="1"/>
  <c r="BA394" i="1"/>
  <c r="AZ394" i="1"/>
  <c r="AV394" i="1"/>
  <c r="AQ394" i="1"/>
  <c r="AP394" i="1"/>
  <c r="AK394" i="1"/>
  <c r="AJ394" i="1"/>
  <c r="AG394" i="1" s="1"/>
  <c r="AF394" i="1"/>
  <c r="AE394" i="1"/>
  <c r="Z394" i="1"/>
  <c r="U394" i="1"/>
  <c r="N394" i="1"/>
  <c r="J394" i="1"/>
  <c r="I394" i="1"/>
  <c r="K394" i="1" s="1"/>
  <c r="BX393" i="1"/>
  <c r="BU393" i="1"/>
  <c r="BE393" i="1"/>
  <c r="BB393" i="1"/>
  <c r="BA393" i="1"/>
  <c r="AZ393" i="1"/>
  <c r="AV393" i="1"/>
  <c r="AQ393" i="1"/>
  <c r="AP393" i="1"/>
  <c r="AK393" i="1"/>
  <c r="BS393" i="1" s="1"/>
  <c r="AJ393" i="1"/>
  <c r="AL393" i="1" s="1"/>
  <c r="AH393" i="1"/>
  <c r="AF393" i="1"/>
  <c r="AE393" i="1"/>
  <c r="Z393" i="1"/>
  <c r="U393" i="1"/>
  <c r="N393" i="1"/>
  <c r="J393" i="1"/>
  <c r="I393" i="1"/>
  <c r="BX392" i="1"/>
  <c r="BU392" i="1"/>
  <c r="BE392" i="1"/>
  <c r="BA392" i="1"/>
  <c r="AZ392" i="1"/>
  <c r="AV392" i="1"/>
  <c r="AQ392" i="1"/>
  <c r="AP392" i="1"/>
  <c r="AK392" i="1"/>
  <c r="AJ392" i="1"/>
  <c r="BR392" i="1" s="1"/>
  <c r="BO392" i="1" s="1"/>
  <c r="AF392" i="1"/>
  <c r="AE392" i="1"/>
  <c r="Z392" i="1"/>
  <c r="U392" i="1"/>
  <c r="N392" i="1"/>
  <c r="J392" i="1"/>
  <c r="I392" i="1"/>
  <c r="BX391" i="1"/>
  <c r="BU391" i="1"/>
  <c r="BE391" i="1"/>
  <c r="BA391" i="1"/>
  <c r="AZ391" i="1"/>
  <c r="AV391" i="1"/>
  <c r="AQ391" i="1"/>
  <c r="AP391" i="1"/>
  <c r="AK391" i="1"/>
  <c r="BS391" i="1" s="1"/>
  <c r="BP391" i="1" s="1"/>
  <c r="AJ391" i="1"/>
  <c r="AH391" i="1"/>
  <c r="AF391" i="1"/>
  <c r="AE391" i="1"/>
  <c r="Z391" i="1"/>
  <c r="U391" i="1"/>
  <c r="N391" i="1"/>
  <c r="J391" i="1"/>
  <c r="K391" i="1" s="1"/>
  <c r="I391" i="1"/>
  <c r="BX390" i="1"/>
  <c r="BU390" i="1"/>
  <c r="BE390" i="1"/>
  <c r="BA390" i="1"/>
  <c r="AZ390" i="1"/>
  <c r="AV390" i="1"/>
  <c r="AQ390" i="1"/>
  <c r="AP390" i="1"/>
  <c r="AK390" i="1"/>
  <c r="AJ390" i="1"/>
  <c r="AG390" i="1" s="1"/>
  <c r="AF390" i="1"/>
  <c r="AE390" i="1"/>
  <c r="Z390" i="1"/>
  <c r="U390" i="1"/>
  <c r="N390" i="1"/>
  <c r="J390" i="1"/>
  <c r="I390" i="1"/>
  <c r="BX389" i="1"/>
  <c r="BU389" i="1"/>
  <c r="BE389" i="1"/>
  <c r="BA389" i="1"/>
  <c r="BB389" i="1" s="1"/>
  <c r="AZ389" i="1"/>
  <c r="AV389" i="1"/>
  <c r="AQ389" i="1"/>
  <c r="AP389" i="1"/>
  <c r="AK389" i="1"/>
  <c r="AJ389" i="1"/>
  <c r="AF389" i="1"/>
  <c r="AE389" i="1"/>
  <c r="Z389" i="1"/>
  <c r="U389" i="1"/>
  <c r="N389" i="1"/>
  <c r="J389" i="1"/>
  <c r="I389" i="1"/>
  <c r="BX388" i="1"/>
  <c r="BU388" i="1"/>
  <c r="BE388" i="1"/>
  <c r="BA388" i="1"/>
  <c r="AZ388" i="1"/>
  <c r="AV388" i="1"/>
  <c r="AQ388" i="1"/>
  <c r="AP388" i="1"/>
  <c r="AK388" i="1"/>
  <c r="AJ388" i="1"/>
  <c r="AF388" i="1"/>
  <c r="AE388" i="1"/>
  <c r="Z388" i="1"/>
  <c r="U388" i="1"/>
  <c r="N388" i="1"/>
  <c r="J388" i="1"/>
  <c r="I388" i="1"/>
  <c r="BX387" i="1"/>
  <c r="BU387" i="1"/>
  <c r="BE387" i="1"/>
  <c r="BA387" i="1"/>
  <c r="AZ387" i="1"/>
  <c r="AV387" i="1"/>
  <c r="AQ387" i="1"/>
  <c r="AP387" i="1"/>
  <c r="AK387" i="1"/>
  <c r="AH387" i="1" s="1"/>
  <c r="AJ387" i="1"/>
  <c r="AF387" i="1"/>
  <c r="AE387" i="1"/>
  <c r="Z387" i="1"/>
  <c r="U387" i="1"/>
  <c r="N387" i="1"/>
  <c r="J387" i="1"/>
  <c r="I387" i="1"/>
  <c r="BX386" i="1"/>
  <c r="BU386" i="1"/>
  <c r="BE386" i="1"/>
  <c r="BA386" i="1"/>
  <c r="AZ386" i="1"/>
  <c r="AV386" i="1"/>
  <c r="AQ386" i="1"/>
  <c r="AP386" i="1"/>
  <c r="AK386" i="1"/>
  <c r="AJ386" i="1"/>
  <c r="AG386" i="1" s="1"/>
  <c r="AF386" i="1"/>
  <c r="AE386" i="1"/>
  <c r="Z386" i="1"/>
  <c r="U386" i="1"/>
  <c r="N386" i="1"/>
  <c r="J386" i="1"/>
  <c r="I386" i="1"/>
  <c r="BX385" i="1"/>
  <c r="BU385" i="1"/>
  <c r="BE385" i="1"/>
  <c r="BA385" i="1"/>
  <c r="AZ385" i="1"/>
  <c r="AV385" i="1"/>
  <c r="AQ385" i="1"/>
  <c r="AP385" i="1"/>
  <c r="AK385" i="1"/>
  <c r="AJ385" i="1"/>
  <c r="BR385" i="1" s="1"/>
  <c r="AG385" i="1"/>
  <c r="AF385" i="1"/>
  <c r="AE385" i="1"/>
  <c r="Z385" i="1"/>
  <c r="U385" i="1"/>
  <c r="N385" i="1"/>
  <c r="J385" i="1"/>
  <c r="I385" i="1"/>
  <c r="BX384" i="1"/>
  <c r="BU384" i="1"/>
  <c r="BE384" i="1"/>
  <c r="BA384" i="1"/>
  <c r="AZ384" i="1"/>
  <c r="AV384" i="1"/>
  <c r="AQ384" i="1"/>
  <c r="AP384" i="1"/>
  <c r="AK384" i="1"/>
  <c r="AJ384" i="1"/>
  <c r="BR384" i="1" s="1"/>
  <c r="AF384" i="1"/>
  <c r="AE384" i="1"/>
  <c r="Z384" i="1"/>
  <c r="U384" i="1"/>
  <c r="N384" i="1"/>
  <c r="J384" i="1"/>
  <c r="I384" i="1"/>
  <c r="BX383" i="1"/>
  <c r="BU383" i="1"/>
  <c r="BE383" i="1"/>
  <c r="BA383" i="1"/>
  <c r="AZ383" i="1"/>
  <c r="AV383" i="1"/>
  <c r="AQ383" i="1"/>
  <c r="AP383" i="1"/>
  <c r="AK383" i="1"/>
  <c r="AJ383" i="1"/>
  <c r="AF383" i="1"/>
  <c r="AE383" i="1"/>
  <c r="Z383" i="1"/>
  <c r="U383" i="1"/>
  <c r="N383" i="1"/>
  <c r="J383" i="1"/>
  <c r="I383" i="1"/>
  <c r="BV382" i="1"/>
  <c r="BX382" i="1" s="1"/>
  <c r="BU382" i="1"/>
  <c r="BE382" i="1"/>
  <c r="BA382" i="1"/>
  <c r="AZ382" i="1"/>
  <c r="AV382" i="1"/>
  <c r="AQ382" i="1"/>
  <c r="AP382" i="1"/>
  <c r="AK382" i="1"/>
  <c r="AH382" i="1" s="1"/>
  <c r="AJ382" i="1"/>
  <c r="AF382" i="1"/>
  <c r="AE382" i="1"/>
  <c r="Z382" i="1"/>
  <c r="U382" i="1"/>
  <c r="N382" i="1"/>
  <c r="J382" i="1"/>
  <c r="I382" i="1"/>
  <c r="BX381" i="1"/>
  <c r="BU381" i="1"/>
  <c r="BE381" i="1"/>
  <c r="BA381" i="1"/>
  <c r="AZ381" i="1"/>
  <c r="AV381" i="1"/>
  <c r="AQ381" i="1"/>
  <c r="AP381" i="1"/>
  <c r="AK381" i="1"/>
  <c r="BS381" i="1" s="1"/>
  <c r="AJ381" i="1"/>
  <c r="AF381" i="1"/>
  <c r="AE381" i="1"/>
  <c r="Z381" i="1"/>
  <c r="U381" i="1"/>
  <c r="N381" i="1"/>
  <c r="J381" i="1"/>
  <c r="I381" i="1"/>
  <c r="BX380" i="1"/>
  <c r="BU380" i="1"/>
  <c r="BE380" i="1"/>
  <c r="BA380" i="1"/>
  <c r="AZ380" i="1"/>
  <c r="AV380" i="1"/>
  <c r="AQ380" i="1"/>
  <c r="AP380" i="1"/>
  <c r="AK380" i="1"/>
  <c r="AJ380" i="1"/>
  <c r="AF380" i="1"/>
  <c r="AE380" i="1"/>
  <c r="Z380" i="1"/>
  <c r="U380" i="1"/>
  <c r="N380" i="1"/>
  <c r="J380" i="1"/>
  <c r="I380" i="1"/>
  <c r="BX379" i="1"/>
  <c r="BU379" i="1"/>
  <c r="BE379" i="1"/>
  <c r="BA379" i="1"/>
  <c r="AZ379" i="1"/>
  <c r="AV379" i="1"/>
  <c r="AQ379" i="1"/>
  <c r="BH379" i="1" s="1"/>
  <c r="AP379" i="1"/>
  <c r="AK379" i="1"/>
  <c r="AJ379" i="1"/>
  <c r="AF379" i="1"/>
  <c r="AE379" i="1"/>
  <c r="Z379" i="1"/>
  <c r="U379" i="1"/>
  <c r="N379" i="1"/>
  <c r="J379" i="1"/>
  <c r="I379" i="1"/>
  <c r="K379" i="1" s="1"/>
  <c r="BX378" i="1"/>
  <c r="BU378" i="1"/>
  <c r="BE378" i="1"/>
  <c r="BA378" i="1"/>
  <c r="AZ378" i="1"/>
  <c r="BB378" i="1" s="1"/>
  <c r="AV378" i="1"/>
  <c r="AQ378" i="1"/>
  <c r="AP378" i="1"/>
  <c r="AK378" i="1"/>
  <c r="AH378" i="1" s="1"/>
  <c r="AJ378" i="1"/>
  <c r="AF378" i="1"/>
  <c r="AE378" i="1"/>
  <c r="Z378" i="1"/>
  <c r="U378" i="1"/>
  <c r="N378" i="1"/>
  <c r="J378" i="1"/>
  <c r="I378" i="1"/>
  <c r="BX377" i="1"/>
  <c r="BU377" i="1"/>
  <c r="BE377" i="1"/>
  <c r="BA377" i="1"/>
  <c r="AZ377" i="1"/>
  <c r="AV377" i="1"/>
  <c r="AQ377" i="1"/>
  <c r="AP377" i="1"/>
  <c r="AK377" i="1"/>
  <c r="AJ377" i="1"/>
  <c r="AF377" i="1"/>
  <c r="AE377" i="1"/>
  <c r="Z377" i="1"/>
  <c r="U377" i="1"/>
  <c r="N377" i="1"/>
  <c r="J377" i="1"/>
  <c r="I377" i="1"/>
  <c r="BX376" i="1"/>
  <c r="BU376" i="1"/>
  <c r="BE376" i="1"/>
  <c r="BA376" i="1"/>
  <c r="AZ376" i="1"/>
  <c r="AV376" i="1"/>
  <c r="AQ376" i="1"/>
  <c r="AP376" i="1"/>
  <c r="AK376" i="1"/>
  <c r="AJ376" i="1"/>
  <c r="AF376" i="1"/>
  <c r="AE376" i="1"/>
  <c r="Z376" i="1"/>
  <c r="U376" i="1"/>
  <c r="N376" i="1"/>
  <c r="J376" i="1"/>
  <c r="I376" i="1"/>
  <c r="BX375" i="1"/>
  <c r="BU375" i="1"/>
  <c r="BE375" i="1"/>
  <c r="BA375" i="1"/>
  <c r="AZ375" i="1"/>
  <c r="AV375" i="1"/>
  <c r="AQ375" i="1"/>
  <c r="AP375" i="1"/>
  <c r="AK375" i="1"/>
  <c r="AJ375" i="1"/>
  <c r="AF375" i="1"/>
  <c r="AE375" i="1"/>
  <c r="Z375" i="1"/>
  <c r="U375" i="1"/>
  <c r="N375" i="1"/>
  <c r="J375" i="1"/>
  <c r="I375" i="1"/>
  <c r="BX374" i="1"/>
  <c r="BU374" i="1"/>
  <c r="BE374" i="1"/>
  <c r="BA374" i="1"/>
  <c r="AZ374" i="1"/>
  <c r="AV374" i="1"/>
  <c r="AQ374" i="1"/>
  <c r="AP374" i="1"/>
  <c r="AK374" i="1"/>
  <c r="BS374" i="1" s="1"/>
  <c r="AJ374" i="1"/>
  <c r="AF374" i="1"/>
  <c r="AE374" i="1"/>
  <c r="Z374" i="1"/>
  <c r="U374" i="1"/>
  <c r="N374" i="1"/>
  <c r="J374" i="1"/>
  <c r="I374" i="1"/>
  <c r="BX373" i="1"/>
  <c r="BU373" i="1"/>
  <c r="BE373" i="1"/>
  <c r="BA373" i="1"/>
  <c r="AZ373" i="1"/>
  <c r="AV373" i="1"/>
  <c r="AQ373" i="1"/>
  <c r="AP373" i="1"/>
  <c r="AK373" i="1"/>
  <c r="AJ373" i="1"/>
  <c r="AF373" i="1"/>
  <c r="AE373" i="1"/>
  <c r="Z373" i="1"/>
  <c r="U373" i="1"/>
  <c r="N373" i="1"/>
  <c r="J373" i="1"/>
  <c r="I373" i="1"/>
  <c r="BX372" i="1"/>
  <c r="BU372" i="1"/>
  <c r="BE372" i="1"/>
  <c r="BA372" i="1"/>
  <c r="AZ372" i="1"/>
  <c r="AV372" i="1"/>
  <c r="AQ372" i="1"/>
  <c r="AP372" i="1"/>
  <c r="AK372" i="1"/>
  <c r="AJ372" i="1"/>
  <c r="AF372" i="1"/>
  <c r="AE372" i="1"/>
  <c r="Z372" i="1"/>
  <c r="U372" i="1"/>
  <c r="N372" i="1"/>
  <c r="J372" i="1"/>
  <c r="I372" i="1"/>
  <c r="BX371" i="1"/>
  <c r="BU371" i="1"/>
  <c r="BE371" i="1"/>
  <c r="BA371" i="1"/>
  <c r="AZ371" i="1"/>
  <c r="AV371" i="1"/>
  <c r="AQ371" i="1"/>
  <c r="AP371" i="1"/>
  <c r="AK371" i="1"/>
  <c r="BS371" i="1" s="1"/>
  <c r="AJ371" i="1"/>
  <c r="BR371" i="1" s="1"/>
  <c r="BO371" i="1" s="1"/>
  <c r="AH371" i="1"/>
  <c r="AF371" i="1"/>
  <c r="AE371" i="1"/>
  <c r="Z371" i="1"/>
  <c r="U371" i="1"/>
  <c r="N371" i="1"/>
  <c r="J371" i="1"/>
  <c r="I371" i="1"/>
  <c r="BX370" i="1"/>
  <c r="BU370" i="1"/>
  <c r="BE370" i="1"/>
  <c r="BA370" i="1"/>
  <c r="AZ370" i="1"/>
  <c r="AV370" i="1"/>
  <c r="AQ370" i="1"/>
  <c r="AP370" i="1"/>
  <c r="AK370" i="1"/>
  <c r="BS370" i="1" s="1"/>
  <c r="AJ370" i="1"/>
  <c r="AF370" i="1"/>
  <c r="AE370" i="1"/>
  <c r="Z370" i="1"/>
  <c r="U370" i="1"/>
  <c r="N370" i="1"/>
  <c r="J370" i="1"/>
  <c r="I370" i="1"/>
  <c r="BX369" i="1"/>
  <c r="BU369" i="1"/>
  <c r="BE369" i="1"/>
  <c r="BA369" i="1"/>
  <c r="AZ369" i="1"/>
  <c r="AV369" i="1"/>
  <c r="AQ369" i="1"/>
  <c r="AP369" i="1"/>
  <c r="AR369" i="1" s="1"/>
  <c r="AK369" i="1"/>
  <c r="AJ369" i="1"/>
  <c r="AF369" i="1"/>
  <c r="AE369" i="1"/>
  <c r="Z369" i="1"/>
  <c r="U369" i="1"/>
  <c r="N369" i="1"/>
  <c r="J369" i="1"/>
  <c r="I369" i="1"/>
  <c r="BX368" i="1"/>
  <c r="BU368" i="1"/>
  <c r="BE368" i="1"/>
  <c r="BA368" i="1"/>
  <c r="AZ368" i="1"/>
  <c r="AV368" i="1"/>
  <c r="AQ368" i="1"/>
  <c r="AP368" i="1"/>
  <c r="AK368" i="1"/>
  <c r="AH368" i="1" s="1"/>
  <c r="AJ368" i="1"/>
  <c r="AG368" i="1" s="1"/>
  <c r="AF368" i="1"/>
  <c r="AE368" i="1"/>
  <c r="Z368" i="1"/>
  <c r="U368" i="1"/>
  <c r="N368" i="1"/>
  <c r="J368" i="1"/>
  <c r="I368" i="1"/>
  <c r="BX367" i="1"/>
  <c r="BU367" i="1"/>
  <c r="BE367" i="1"/>
  <c r="BA367" i="1"/>
  <c r="AZ367" i="1"/>
  <c r="BB367" i="1" s="1"/>
  <c r="AV367" i="1"/>
  <c r="AQ367" i="1"/>
  <c r="AP367" i="1"/>
  <c r="AK367" i="1"/>
  <c r="AJ367" i="1"/>
  <c r="BR367" i="1" s="1"/>
  <c r="BO367" i="1" s="1"/>
  <c r="AF367" i="1"/>
  <c r="AE367" i="1"/>
  <c r="Z367" i="1"/>
  <c r="U367" i="1"/>
  <c r="N367" i="1"/>
  <c r="J367" i="1"/>
  <c r="I367" i="1"/>
  <c r="BX366" i="1"/>
  <c r="BU366" i="1"/>
  <c r="BE366" i="1"/>
  <c r="BA366" i="1"/>
  <c r="AZ366" i="1"/>
  <c r="AV366" i="1"/>
  <c r="AQ366" i="1"/>
  <c r="AP366" i="1"/>
  <c r="AK366" i="1"/>
  <c r="BS366" i="1" s="1"/>
  <c r="BP366" i="1" s="1"/>
  <c r="AJ366" i="1"/>
  <c r="AF366" i="1"/>
  <c r="AE366" i="1"/>
  <c r="Z366" i="1"/>
  <c r="U366" i="1"/>
  <c r="N366" i="1"/>
  <c r="J366" i="1"/>
  <c r="I366" i="1"/>
  <c r="BX365" i="1"/>
  <c r="BU365" i="1"/>
  <c r="BE365" i="1"/>
  <c r="BA365" i="1"/>
  <c r="AZ365" i="1"/>
  <c r="AV365" i="1"/>
  <c r="AQ365" i="1"/>
  <c r="AP365" i="1"/>
  <c r="AK365" i="1"/>
  <c r="AJ365" i="1"/>
  <c r="AF365" i="1"/>
  <c r="AE365" i="1"/>
  <c r="Z365" i="1"/>
  <c r="U365" i="1"/>
  <c r="N365" i="1"/>
  <c r="J365" i="1"/>
  <c r="I365" i="1"/>
  <c r="BX364" i="1"/>
  <c r="BU364" i="1"/>
  <c r="BE364" i="1"/>
  <c r="BA364" i="1"/>
  <c r="AZ364" i="1"/>
  <c r="BB364" i="1" s="1"/>
  <c r="AV364" i="1"/>
  <c r="AQ364" i="1"/>
  <c r="AP364" i="1"/>
  <c r="AK364" i="1"/>
  <c r="AJ364" i="1"/>
  <c r="AG364" i="1" s="1"/>
  <c r="AF364" i="1"/>
  <c r="AE364" i="1"/>
  <c r="Z364" i="1"/>
  <c r="U364" i="1"/>
  <c r="N364" i="1"/>
  <c r="J364" i="1"/>
  <c r="I364" i="1"/>
  <c r="BX363" i="1"/>
  <c r="BU363" i="1"/>
  <c r="BE363" i="1"/>
  <c r="BA363" i="1"/>
  <c r="AZ363" i="1"/>
  <c r="AV363" i="1"/>
  <c r="AQ363" i="1"/>
  <c r="BH363" i="1" s="1"/>
  <c r="AP363" i="1"/>
  <c r="AK363" i="1"/>
  <c r="AJ363" i="1"/>
  <c r="AF363" i="1"/>
  <c r="AE363" i="1"/>
  <c r="Z363" i="1"/>
  <c r="U363" i="1"/>
  <c r="N363" i="1"/>
  <c r="J363" i="1"/>
  <c r="I363" i="1"/>
  <c r="BX362" i="1"/>
  <c r="BU362" i="1"/>
  <c r="BE362" i="1"/>
  <c r="BA362" i="1"/>
  <c r="AZ362" i="1"/>
  <c r="AV362" i="1"/>
  <c r="AQ362" i="1"/>
  <c r="AP362" i="1"/>
  <c r="AK362" i="1"/>
  <c r="BS362" i="1" s="1"/>
  <c r="AJ362" i="1"/>
  <c r="AF362" i="1"/>
  <c r="AE362" i="1"/>
  <c r="Z362" i="1"/>
  <c r="U362" i="1"/>
  <c r="N362" i="1"/>
  <c r="J362" i="1"/>
  <c r="I362" i="1"/>
  <c r="BX361" i="1"/>
  <c r="BU361" i="1"/>
  <c r="BE361" i="1"/>
  <c r="BA361" i="1"/>
  <c r="AZ361" i="1"/>
  <c r="AV361" i="1"/>
  <c r="AQ361" i="1"/>
  <c r="AP361" i="1"/>
  <c r="AK361" i="1"/>
  <c r="AJ361" i="1"/>
  <c r="AF361" i="1"/>
  <c r="AE361" i="1"/>
  <c r="Z361" i="1"/>
  <c r="U361" i="1"/>
  <c r="N361" i="1"/>
  <c r="J361" i="1"/>
  <c r="I361" i="1"/>
  <c r="BX360" i="1"/>
  <c r="BU360" i="1"/>
  <c r="BE360" i="1"/>
  <c r="BA360" i="1"/>
  <c r="AZ360" i="1"/>
  <c r="AV360" i="1"/>
  <c r="AQ360" i="1"/>
  <c r="AP360" i="1"/>
  <c r="AK360" i="1"/>
  <c r="AJ360" i="1"/>
  <c r="AF360" i="1"/>
  <c r="AE360" i="1"/>
  <c r="Z360" i="1"/>
  <c r="U360" i="1"/>
  <c r="N360" i="1"/>
  <c r="J360" i="1"/>
  <c r="I360" i="1"/>
  <c r="BX359" i="1"/>
  <c r="BU359" i="1"/>
  <c r="BE359" i="1"/>
  <c r="BA359" i="1"/>
  <c r="AZ359" i="1"/>
  <c r="AV359" i="1"/>
  <c r="AQ359" i="1"/>
  <c r="AP359" i="1"/>
  <c r="AK359" i="1"/>
  <c r="AJ359" i="1"/>
  <c r="AF359" i="1"/>
  <c r="AE359" i="1"/>
  <c r="Z359" i="1"/>
  <c r="U359" i="1"/>
  <c r="N359" i="1"/>
  <c r="J359" i="1"/>
  <c r="I359" i="1"/>
  <c r="BX358" i="1"/>
  <c r="BU358" i="1"/>
  <c r="BE358" i="1"/>
  <c r="BA358" i="1"/>
  <c r="AZ358" i="1"/>
  <c r="AV358" i="1"/>
  <c r="AQ358" i="1"/>
  <c r="AP358" i="1"/>
  <c r="AK358" i="1"/>
  <c r="BS358" i="1" s="1"/>
  <c r="BP358" i="1" s="1"/>
  <c r="AJ358" i="1"/>
  <c r="AF358" i="1"/>
  <c r="AE358" i="1"/>
  <c r="Z358" i="1"/>
  <c r="U358" i="1"/>
  <c r="N358" i="1"/>
  <c r="J358" i="1"/>
  <c r="I358" i="1"/>
  <c r="BX357" i="1"/>
  <c r="BU357" i="1"/>
  <c r="BE357" i="1"/>
  <c r="BA357" i="1"/>
  <c r="AZ357" i="1"/>
  <c r="AV357" i="1"/>
  <c r="AQ357" i="1"/>
  <c r="BH357" i="1" s="1"/>
  <c r="AP357" i="1"/>
  <c r="AK357" i="1"/>
  <c r="AJ357" i="1"/>
  <c r="AF357" i="1"/>
  <c r="AE357" i="1"/>
  <c r="Z357" i="1"/>
  <c r="U357" i="1"/>
  <c r="N357" i="1"/>
  <c r="J357" i="1"/>
  <c r="I357" i="1"/>
  <c r="BX356" i="1"/>
  <c r="BU356" i="1"/>
  <c r="BE356" i="1"/>
  <c r="BA356" i="1"/>
  <c r="AZ356" i="1"/>
  <c r="AV356" i="1"/>
  <c r="AQ356" i="1"/>
  <c r="AP356" i="1"/>
  <c r="AK356" i="1"/>
  <c r="BS356" i="1" s="1"/>
  <c r="AJ356" i="1"/>
  <c r="AF356" i="1"/>
  <c r="AE356" i="1"/>
  <c r="Z356" i="1"/>
  <c r="U356" i="1"/>
  <c r="N356" i="1"/>
  <c r="J356" i="1"/>
  <c r="I356" i="1"/>
  <c r="BX355" i="1"/>
  <c r="BU355" i="1"/>
  <c r="BE355" i="1"/>
  <c r="BA355" i="1"/>
  <c r="AZ355" i="1"/>
  <c r="AV355" i="1"/>
  <c r="AQ355" i="1"/>
  <c r="AP355" i="1"/>
  <c r="AK355" i="1"/>
  <c r="BS355" i="1" s="1"/>
  <c r="AJ355" i="1"/>
  <c r="BR355" i="1" s="1"/>
  <c r="BO355" i="1" s="1"/>
  <c r="AF355" i="1"/>
  <c r="AE355" i="1"/>
  <c r="Z355" i="1"/>
  <c r="U355" i="1"/>
  <c r="N355" i="1"/>
  <c r="J355" i="1"/>
  <c r="I355" i="1"/>
  <c r="BX354" i="1"/>
  <c r="BU354" i="1"/>
  <c r="BE354" i="1"/>
  <c r="BA354" i="1"/>
  <c r="AZ354" i="1"/>
  <c r="AV354" i="1"/>
  <c r="AQ354" i="1"/>
  <c r="AP354" i="1"/>
  <c r="AK354" i="1"/>
  <c r="BS354" i="1" s="1"/>
  <c r="AJ354" i="1"/>
  <c r="AF354" i="1"/>
  <c r="AE354" i="1"/>
  <c r="Z354" i="1"/>
  <c r="U354" i="1"/>
  <c r="N354" i="1"/>
  <c r="J354" i="1"/>
  <c r="I354" i="1"/>
  <c r="BX353" i="1"/>
  <c r="BU353" i="1"/>
  <c r="BE353" i="1"/>
  <c r="BA353" i="1"/>
  <c r="AZ353" i="1"/>
  <c r="AV353" i="1"/>
  <c r="AQ353" i="1"/>
  <c r="AP353" i="1"/>
  <c r="AK353" i="1"/>
  <c r="AJ353" i="1"/>
  <c r="AF353" i="1"/>
  <c r="AE353" i="1"/>
  <c r="Z353" i="1"/>
  <c r="U353" i="1"/>
  <c r="N353" i="1"/>
  <c r="J353" i="1"/>
  <c r="I353" i="1"/>
  <c r="BX352" i="1"/>
  <c r="BU352" i="1"/>
  <c r="BE352" i="1"/>
  <c r="BA352" i="1"/>
  <c r="AZ352" i="1"/>
  <c r="AV352" i="1"/>
  <c r="AQ352" i="1"/>
  <c r="AP352" i="1"/>
  <c r="AK352" i="1"/>
  <c r="BS352" i="1" s="1"/>
  <c r="AJ352" i="1"/>
  <c r="AF352" i="1"/>
  <c r="AE352" i="1"/>
  <c r="Z352" i="1"/>
  <c r="U352" i="1"/>
  <c r="N352" i="1"/>
  <c r="J352" i="1"/>
  <c r="I352" i="1"/>
  <c r="BX351" i="1"/>
  <c r="BU351" i="1"/>
  <c r="BG351" i="1"/>
  <c r="BE351" i="1"/>
  <c r="BA351" i="1"/>
  <c r="AZ351" i="1"/>
  <c r="AV351" i="1"/>
  <c r="AQ351" i="1"/>
  <c r="BH351" i="1" s="1"/>
  <c r="AP351" i="1"/>
  <c r="AK351" i="1"/>
  <c r="AJ351" i="1"/>
  <c r="BR351" i="1" s="1"/>
  <c r="BO351" i="1" s="1"/>
  <c r="AF351" i="1"/>
  <c r="AE351" i="1"/>
  <c r="Z351" i="1"/>
  <c r="U351" i="1"/>
  <c r="N351" i="1"/>
  <c r="J351" i="1"/>
  <c r="I351" i="1"/>
  <c r="BX350" i="1"/>
  <c r="BU350" i="1"/>
  <c r="BE350" i="1"/>
  <c r="BA350" i="1"/>
  <c r="AZ350" i="1"/>
  <c r="AV350" i="1"/>
  <c r="AQ350" i="1"/>
  <c r="AP350" i="1"/>
  <c r="AK350" i="1"/>
  <c r="BS350" i="1" s="1"/>
  <c r="AJ350" i="1"/>
  <c r="AF350" i="1"/>
  <c r="AE350" i="1"/>
  <c r="Z350" i="1"/>
  <c r="U350" i="1"/>
  <c r="N350" i="1"/>
  <c r="J350" i="1"/>
  <c r="I350" i="1"/>
  <c r="BX349" i="1"/>
  <c r="BU349" i="1"/>
  <c r="BE349" i="1"/>
  <c r="BA349" i="1"/>
  <c r="BB349" i="1" s="1"/>
  <c r="AZ349" i="1"/>
  <c r="AV349" i="1"/>
  <c r="AQ349" i="1"/>
  <c r="AP349" i="1"/>
  <c r="AK349" i="1"/>
  <c r="AJ349" i="1"/>
  <c r="AF349" i="1"/>
  <c r="AE349" i="1"/>
  <c r="Z349" i="1"/>
  <c r="U349" i="1"/>
  <c r="N349" i="1"/>
  <c r="J349" i="1"/>
  <c r="I349" i="1"/>
  <c r="K349" i="1" s="1"/>
  <c r="BX348" i="1"/>
  <c r="BU348" i="1"/>
  <c r="BE348" i="1"/>
  <c r="BA348" i="1"/>
  <c r="AZ348" i="1"/>
  <c r="AV348" i="1"/>
  <c r="AQ348" i="1"/>
  <c r="AP348" i="1"/>
  <c r="AK348" i="1"/>
  <c r="AJ348" i="1"/>
  <c r="BR348" i="1" s="1"/>
  <c r="AF348" i="1"/>
  <c r="AE348" i="1"/>
  <c r="Z348" i="1"/>
  <c r="U348" i="1"/>
  <c r="N348" i="1"/>
  <c r="J348" i="1"/>
  <c r="I348" i="1"/>
  <c r="BX347" i="1"/>
  <c r="BU347" i="1"/>
  <c r="BE347" i="1"/>
  <c r="BA347" i="1"/>
  <c r="AZ347" i="1"/>
  <c r="AV347" i="1"/>
  <c r="AQ347" i="1"/>
  <c r="AP347" i="1"/>
  <c r="AK347" i="1"/>
  <c r="AJ347" i="1"/>
  <c r="AF347" i="1"/>
  <c r="AE347" i="1"/>
  <c r="Z347" i="1"/>
  <c r="U347" i="1"/>
  <c r="N347" i="1"/>
  <c r="J347" i="1"/>
  <c r="I347" i="1"/>
  <c r="BX346" i="1"/>
  <c r="BU346" i="1"/>
  <c r="BE346" i="1"/>
  <c r="BA346" i="1"/>
  <c r="AZ346" i="1"/>
  <c r="AV346" i="1"/>
  <c r="AQ346" i="1"/>
  <c r="AP346" i="1"/>
  <c r="AK346" i="1"/>
  <c r="BS346" i="1" s="1"/>
  <c r="AJ346" i="1"/>
  <c r="AF346" i="1"/>
  <c r="AE346" i="1"/>
  <c r="Z346" i="1"/>
  <c r="U346" i="1"/>
  <c r="N346" i="1"/>
  <c r="J346" i="1"/>
  <c r="I346" i="1"/>
  <c r="BX345" i="1"/>
  <c r="BU345" i="1"/>
  <c r="BE345" i="1"/>
  <c r="BA345" i="1"/>
  <c r="AZ345" i="1"/>
  <c r="BB345" i="1" s="1"/>
  <c r="AV345" i="1"/>
  <c r="AQ345" i="1"/>
  <c r="AP345" i="1"/>
  <c r="AK345" i="1"/>
  <c r="AJ345" i="1"/>
  <c r="AF345" i="1"/>
  <c r="AE345" i="1"/>
  <c r="Z345" i="1"/>
  <c r="U345" i="1"/>
  <c r="N345" i="1"/>
  <c r="J345" i="1"/>
  <c r="I345" i="1"/>
  <c r="BX344" i="1"/>
  <c r="BU344" i="1"/>
  <c r="BE344" i="1"/>
  <c r="BA344" i="1"/>
  <c r="AZ344" i="1"/>
  <c r="AV344" i="1"/>
  <c r="AQ344" i="1"/>
  <c r="AP344" i="1"/>
  <c r="AK344" i="1"/>
  <c r="AJ344" i="1"/>
  <c r="AF344" i="1"/>
  <c r="AE344" i="1"/>
  <c r="Z344" i="1"/>
  <c r="U344" i="1"/>
  <c r="N344" i="1"/>
  <c r="J344" i="1"/>
  <c r="I344" i="1"/>
  <c r="BX343" i="1"/>
  <c r="BU343" i="1"/>
  <c r="BE343" i="1"/>
  <c r="BA343" i="1"/>
  <c r="AZ343" i="1"/>
  <c r="AV343" i="1"/>
  <c r="AQ343" i="1"/>
  <c r="AP343" i="1"/>
  <c r="AK343" i="1"/>
  <c r="AJ343" i="1"/>
  <c r="AF343" i="1"/>
  <c r="AE343" i="1"/>
  <c r="Z343" i="1"/>
  <c r="U343" i="1"/>
  <c r="N343" i="1"/>
  <c r="J343" i="1"/>
  <c r="I343" i="1"/>
  <c r="BX342" i="1"/>
  <c r="BU342" i="1"/>
  <c r="BE342" i="1"/>
  <c r="BA342" i="1"/>
  <c r="AZ342" i="1"/>
  <c r="AV342" i="1"/>
  <c r="AQ342" i="1"/>
  <c r="AP342" i="1"/>
  <c r="AK342" i="1"/>
  <c r="AJ342" i="1"/>
  <c r="AF342" i="1"/>
  <c r="AE342" i="1"/>
  <c r="Z342" i="1"/>
  <c r="U342" i="1"/>
  <c r="N342" i="1"/>
  <c r="J342" i="1"/>
  <c r="I342" i="1"/>
  <c r="BX341" i="1"/>
  <c r="BU341" i="1"/>
  <c r="BE341" i="1"/>
  <c r="BA341" i="1"/>
  <c r="AZ341" i="1"/>
  <c r="BB341" i="1" s="1"/>
  <c r="AV341" i="1"/>
  <c r="AQ341" i="1"/>
  <c r="AP341" i="1"/>
  <c r="AK341" i="1"/>
  <c r="AJ341" i="1"/>
  <c r="AF341" i="1"/>
  <c r="AE341" i="1"/>
  <c r="Z341" i="1"/>
  <c r="U341" i="1"/>
  <c r="N341" i="1"/>
  <c r="J341" i="1"/>
  <c r="I341" i="1"/>
  <c r="BX340" i="1"/>
  <c r="BU340" i="1"/>
  <c r="BE340" i="1"/>
  <c r="BA340" i="1"/>
  <c r="AZ340" i="1"/>
  <c r="AV340" i="1"/>
  <c r="AQ340" i="1"/>
  <c r="AP340" i="1"/>
  <c r="AK340" i="1"/>
  <c r="AJ340" i="1"/>
  <c r="AF340" i="1"/>
  <c r="AE340" i="1"/>
  <c r="Z340" i="1"/>
  <c r="U340" i="1"/>
  <c r="N340" i="1"/>
  <c r="J340" i="1"/>
  <c r="I340" i="1"/>
  <c r="BX339" i="1"/>
  <c r="BU339" i="1"/>
  <c r="BE339" i="1"/>
  <c r="BA339" i="1"/>
  <c r="AZ339" i="1"/>
  <c r="BB339" i="1" s="1"/>
  <c r="AV339" i="1"/>
  <c r="AQ339" i="1"/>
  <c r="BH339" i="1" s="1"/>
  <c r="AP339" i="1"/>
  <c r="AK339" i="1"/>
  <c r="AJ339" i="1"/>
  <c r="AF339" i="1"/>
  <c r="AE339" i="1"/>
  <c r="Z339" i="1"/>
  <c r="U339" i="1"/>
  <c r="N339" i="1"/>
  <c r="J339" i="1"/>
  <c r="I339" i="1"/>
  <c r="BX338" i="1"/>
  <c r="BU338" i="1"/>
  <c r="BE338" i="1"/>
  <c r="BA338" i="1"/>
  <c r="AZ338" i="1"/>
  <c r="AV338" i="1"/>
  <c r="AQ338" i="1"/>
  <c r="AP338" i="1"/>
  <c r="AK338" i="1"/>
  <c r="AJ338" i="1"/>
  <c r="AG338" i="1" s="1"/>
  <c r="AF338" i="1"/>
  <c r="AE338" i="1"/>
  <c r="Z338" i="1"/>
  <c r="U338" i="1"/>
  <c r="N338" i="1"/>
  <c r="J338" i="1"/>
  <c r="I338" i="1"/>
  <c r="K338" i="1" s="1"/>
  <c r="BX337" i="1"/>
  <c r="BU337" i="1"/>
  <c r="BE337" i="1"/>
  <c r="BA337" i="1"/>
  <c r="AZ337" i="1"/>
  <c r="AV337" i="1"/>
  <c r="AQ337" i="1"/>
  <c r="AP337" i="1"/>
  <c r="BG337" i="1" s="1"/>
  <c r="AK337" i="1"/>
  <c r="AJ337" i="1"/>
  <c r="BR337" i="1" s="1"/>
  <c r="AG337" i="1"/>
  <c r="AF337" i="1"/>
  <c r="AE337" i="1"/>
  <c r="Z337" i="1"/>
  <c r="U337" i="1"/>
  <c r="N337" i="1"/>
  <c r="J337" i="1"/>
  <c r="I337" i="1"/>
  <c r="BX336" i="1"/>
  <c r="BU336" i="1"/>
  <c r="BE336" i="1"/>
  <c r="BA336" i="1"/>
  <c r="AZ336" i="1"/>
  <c r="AV336" i="1"/>
  <c r="AQ336" i="1"/>
  <c r="AP336" i="1"/>
  <c r="AK336" i="1"/>
  <c r="AJ336" i="1"/>
  <c r="AF336" i="1"/>
  <c r="AE336" i="1"/>
  <c r="Z336" i="1"/>
  <c r="U336" i="1"/>
  <c r="N336" i="1"/>
  <c r="J336" i="1"/>
  <c r="I336" i="1"/>
  <c r="BX335" i="1"/>
  <c r="BU335" i="1"/>
  <c r="BE335" i="1"/>
  <c r="BA335" i="1"/>
  <c r="AZ335" i="1"/>
  <c r="AV335" i="1"/>
  <c r="AQ335" i="1"/>
  <c r="AP335" i="1"/>
  <c r="AK335" i="1"/>
  <c r="AJ335" i="1"/>
  <c r="AF335" i="1"/>
  <c r="AE335" i="1"/>
  <c r="Z335" i="1"/>
  <c r="U335" i="1"/>
  <c r="N335" i="1"/>
  <c r="J335" i="1"/>
  <c r="I335" i="1"/>
  <c r="BX334" i="1"/>
  <c r="BU334" i="1"/>
  <c r="BE334" i="1"/>
  <c r="BA334" i="1"/>
  <c r="AZ334" i="1"/>
  <c r="AV334" i="1"/>
  <c r="AQ334" i="1"/>
  <c r="AP334" i="1"/>
  <c r="AK334" i="1"/>
  <c r="AJ334" i="1"/>
  <c r="BR334" i="1" s="1"/>
  <c r="AF334" i="1"/>
  <c r="AE334" i="1"/>
  <c r="Z334" i="1"/>
  <c r="U334" i="1"/>
  <c r="N334" i="1"/>
  <c r="J334" i="1"/>
  <c r="I334" i="1"/>
  <c r="BX333" i="1"/>
  <c r="BU333" i="1"/>
  <c r="BE333" i="1"/>
  <c r="BA333" i="1"/>
  <c r="AZ333" i="1"/>
  <c r="AV333" i="1"/>
  <c r="AQ333" i="1"/>
  <c r="AR333" i="1" s="1"/>
  <c r="AP333" i="1"/>
  <c r="AK333" i="1"/>
  <c r="AJ333" i="1"/>
  <c r="AF333" i="1"/>
  <c r="AE333" i="1"/>
  <c r="Z333" i="1"/>
  <c r="U333" i="1"/>
  <c r="N333" i="1"/>
  <c r="J333" i="1"/>
  <c r="I333" i="1"/>
  <c r="K333" i="1" s="1"/>
  <c r="BX332" i="1"/>
  <c r="BU332" i="1"/>
  <c r="BE332" i="1"/>
  <c r="BA332" i="1"/>
  <c r="AZ332" i="1"/>
  <c r="AV332" i="1"/>
  <c r="AQ332" i="1"/>
  <c r="AP332" i="1"/>
  <c r="AK332" i="1"/>
  <c r="AJ332" i="1"/>
  <c r="BR332" i="1" s="1"/>
  <c r="BO332" i="1" s="1"/>
  <c r="AF332" i="1"/>
  <c r="AE332" i="1"/>
  <c r="Z332" i="1"/>
  <c r="U332" i="1"/>
  <c r="N332" i="1"/>
  <c r="J332" i="1"/>
  <c r="I332" i="1"/>
  <c r="BX331" i="1"/>
  <c r="BU331" i="1"/>
  <c r="BE331" i="1"/>
  <c r="BA331" i="1"/>
  <c r="AZ331" i="1"/>
  <c r="AV331" i="1"/>
  <c r="AQ331" i="1"/>
  <c r="AP331" i="1"/>
  <c r="AK331" i="1"/>
  <c r="BS331" i="1" s="1"/>
  <c r="BP331" i="1" s="1"/>
  <c r="AJ331" i="1"/>
  <c r="AF331" i="1"/>
  <c r="AE331" i="1"/>
  <c r="Z331" i="1"/>
  <c r="U331" i="1"/>
  <c r="N331" i="1"/>
  <c r="J331" i="1"/>
  <c r="I331" i="1"/>
  <c r="BX330" i="1"/>
  <c r="BU330" i="1"/>
  <c r="BE330" i="1"/>
  <c r="BA330" i="1"/>
  <c r="AZ330" i="1"/>
  <c r="AV330" i="1"/>
  <c r="AQ330" i="1"/>
  <c r="AP330" i="1"/>
  <c r="AK330" i="1"/>
  <c r="BS330" i="1" s="1"/>
  <c r="AJ330" i="1"/>
  <c r="AF330" i="1"/>
  <c r="AE330" i="1"/>
  <c r="Z330" i="1"/>
  <c r="U330" i="1"/>
  <c r="N330" i="1"/>
  <c r="J330" i="1"/>
  <c r="I330" i="1"/>
  <c r="BX329" i="1"/>
  <c r="BU329" i="1"/>
  <c r="BE329" i="1"/>
  <c r="BA329" i="1"/>
  <c r="AZ329" i="1"/>
  <c r="AV329" i="1"/>
  <c r="AQ329" i="1"/>
  <c r="AP329" i="1"/>
  <c r="AK329" i="1"/>
  <c r="AJ329" i="1"/>
  <c r="AG329" i="1" s="1"/>
  <c r="AF329" i="1"/>
  <c r="AE329" i="1"/>
  <c r="Z329" i="1"/>
  <c r="U329" i="1"/>
  <c r="N329" i="1"/>
  <c r="J329" i="1"/>
  <c r="I329" i="1"/>
  <c r="BX328" i="1"/>
  <c r="BU328" i="1"/>
  <c r="BE328" i="1"/>
  <c r="BA328" i="1"/>
  <c r="AZ328" i="1"/>
  <c r="AV328" i="1"/>
  <c r="AQ328" i="1"/>
  <c r="AP328" i="1"/>
  <c r="AK328" i="1"/>
  <c r="AJ328" i="1"/>
  <c r="AF328" i="1"/>
  <c r="AE328" i="1"/>
  <c r="Z328" i="1"/>
  <c r="U328" i="1"/>
  <c r="N328" i="1"/>
  <c r="J328" i="1"/>
  <c r="I328" i="1"/>
  <c r="BX327" i="1"/>
  <c r="BU327" i="1"/>
  <c r="BE327" i="1"/>
  <c r="BA327" i="1"/>
  <c r="AZ327" i="1"/>
  <c r="AV327" i="1"/>
  <c r="AQ327" i="1"/>
  <c r="AP327" i="1"/>
  <c r="AK327" i="1"/>
  <c r="BS327" i="1" s="1"/>
  <c r="AJ327" i="1"/>
  <c r="AF327" i="1"/>
  <c r="AE327" i="1"/>
  <c r="Z327" i="1"/>
  <c r="U327" i="1"/>
  <c r="N327" i="1"/>
  <c r="J327" i="1"/>
  <c r="I327" i="1"/>
  <c r="BX326" i="1"/>
  <c r="BU326" i="1"/>
  <c r="BE326" i="1"/>
  <c r="BA326" i="1"/>
  <c r="BB326" i="1" s="1"/>
  <c r="AZ326" i="1"/>
  <c r="AV326" i="1"/>
  <c r="AQ326" i="1"/>
  <c r="AP326" i="1"/>
  <c r="AK326" i="1"/>
  <c r="BS326" i="1" s="1"/>
  <c r="AJ326" i="1"/>
  <c r="AF326" i="1"/>
  <c r="AE326" i="1"/>
  <c r="Z326" i="1"/>
  <c r="U326" i="1"/>
  <c r="N326" i="1"/>
  <c r="J326" i="1"/>
  <c r="I326" i="1"/>
  <c r="BX325" i="1"/>
  <c r="BU325" i="1"/>
  <c r="BE325" i="1"/>
  <c r="BA325" i="1"/>
  <c r="AZ325" i="1"/>
  <c r="AV325" i="1"/>
  <c r="AQ325" i="1"/>
  <c r="AP325" i="1"/>
  <c r="AK325" i="1"/>
  <c r="AJ325" i="1"/>
  <c r="AG325" i="1" s="1"/>
  <c r="AF325" i="1"/>
  <c r="AE325" i="1"/>
  <c r="Z325" i="1"/>
  <c r="U325" i="1"/>
  <c r="N325" i="1"/>
  <c r="J325" i="1"/>
  <c r="I325" i="1"/>
  <c r="BX324" i="1"/>
  <c r="BU324" i="1"/>
  <c r="BE324" i="1"/>
  <c r="BA324" i="1"/>
  <c r="AZ324" i="1"/>
  <c r="AV324" i="1"/>
  <c r="AQ324" i="1"/>
  <c r="AP324" i="1"/>
  <c r="AK324" i="1"/>
  <c r="BS324" i="1" s="1"/>
  <c r="AJ324" i="1"/>
  <c r="AF324" i="1"/>
  <c r="AE324" i="1"/>
  <c r="Z324" i="1"/>
  <c r="U324" i="1"/>
  <c r="N324" i="1"/>
  <c r="J324" i="1"/>
  <c r="I324" i="1"/>
  <c r="BX323" i="1"/>
  <c r="BU323" i="1"/>
  <c r="BE323" i="1"/>
  <c r="BA323" i="1"/>
  <c r="AZ323" i="1"/>
  <c r="AV323" i="1"/>
  <c r="AQ323" i="1"/>
  <c r="AP323" i="1"/>
  <c r="AK323" i="1"/>
  <c r="BS323" i="1" s="1"/>
  <c r="AJ323" i="1"/>
  <c r="AF323" i="1"/>
  <c r="AE323" i="1"/>
  <c r="Z323" i="1"/>
  <c r="U323" i="1"/>
  <c r="N323" i="1"/>
  <c r="J323" i="1"/>
  <c r="I323" i="1"/>
  <c r="BX322" i="1"/>
  <c r="BU322" i="1"/>
  <c r="BE322" i="1"/>
  <c r="BA322" i="1"/>
  <c r="AZ322" i="1"/>
  <c r="AV322" i="1"/>
  <c r="AQ322" i="1"/>
  <c r="AP322" i="1"/>
  <c r="AK322" i="1"/>
  <c r="BS322" i="1" s="1"/>
  <c r="AJ322" i="1"/>
  <c r="AF322" i="1"/>
  <c r="AE322" i="1"/>
  <c r="Z322" i="1"/>
  <c r="U322" i="1"/>
  <c r="N322" i="1"/>
  <c r="J322" i="1"/>
  <c r="I322" i="1"/>
  <c r="BX321" i="1"/>
  <c r="BU321" i="1"/>
  <c r="BE321" i="1"/>
  <c r="BA321" i="1"/>
  <c r="AZ321" i="1"/>
  <c r="AV321" i="1"/>
  <c r="AQ321" i="1"/>
  <c r="AP321" i="1"/>
  <c r="AR321" i="1" s="1"/>
  <c r="AK321" i="1"/>
  <c r="AJ321" i="1"/>
  <c r="AG321" i="1" s="1"/>
  <c r="AF321" i="1"/>
  <c r="AE321" i="1"/>
  <c r="Z321" i="1"/>
  <c r="U321" i="1"/>
  <c r="N321" i="1"/>
  <c r="J321" i="1"/>
  <c r="I321" i="1"/>
  <c r="K321" i="1" s="1"/>
  <c r="BX320" i="1"/>
  <c r="BU320" i="1"/>
  <c r="BE320" i="1"/>
  <c r="BA320" i="1"/>
  <c r="AZ320" i="1"/>
  <c r="AV320" i="1"/>
  <c r="AQ320" i="1"/>
  <c r="AP320" i="1"/>
  <c r="AK320" i="1"/>
  <c r="AJ320" i="1"/>
  <c r="BR320" i="1" s="1"/>
  <c r="BO320" i="1" s="1"/>
  <c r="AF320" i="1"/>
  <c r="AE320" i="1"/>
  <c r="Z320" i="1"/>
  <c r="U320" i="1"/>
  <c r="N320" i="1"/>
  <c r="J320" i="1"/>
  <c r="I320" i="1"/>
  <c r="BX319" i="1"/>
  <c r="BU319" i="1"/>
  <c r="BE319" i="1"/>
  <c r="BA319" i="1"/>
  <c r="AZ319" i="1"/>
  <c r="AV319" i="1"/>
  <c r="AQ319" i="1"/>
  <c r="AP319" i="1"/>
  <c r="AK319" i="1"/>
  <c r="BS319" i="1" s="1"/>
  <c r="AJ319" i="1"/>
  <c r="AF319" i="1"/>
  <c r="AE319" i="1"/>
  <c r="Z319" i="1"/>
  <c r="U319" i="1"/>
  <c r="N319" i="1"/>
  <c r="J319" i="1"/>
  <c r="I319" i="1"/>
  <c r="BX318" i="1"/>
  <c r="BU318" i="1"/>
  <c r="BE318" i="1"/>
  <c r="BA318" i="1"/>
  <c r="AZ318" i="1"/>
  <c r="AV318" i="1"/>
  <c r="AQ318" i="1"/>
  <c r="AP318" i="1"/>
  <c r="AK318" i="1"/>
  <c r="BS318" i="1" s="1"/>
  <c r="AJ318" i="1"/>
  <c r="AF318" i="1"/>
  <c r="AE318" i="1"/>
  <c r="Z318" i="1"/>
  <c r="U318" i="1"/>
  <c r="N318" i="1"/>
  <c r="J318" i="1"/>
  <c r="I318" i="1"/>
  <c r="BX317" i="1"/>
  <c r="BU317" i="1"/>
  <c r="BE317" i="1"/>
  <c r="BA317" i="1"/>
  <c r="AZ317" i="1"/>
  <c r="AV317" i="1"/>
  <c r="AQ317" i="1"/>
  <c r="AP317" i="1"/>
  <c r="AK317" i="1"/>
  <c r="AJ317" i="1"/>
  <c r="AF317" i="1"/>
  <c r="AE317" i="1"/>
  <c r="Z317" i="1"/>
  <c r="U317" i="1"/>
  <c r="N317" i="1"/>
  <c r="J317" i="1"/>
  <c r="I317" i="1"/>
  <c r="BX316" i="1"/>
  <c r="BU316" i="1"/>
  <c r="BE316" i="1"/>
  <c r="BA316" i="1"/>
  <c r="AZ316" i="1"/>
  <c r="AV316" i="1"/>
  <c r="AQ316" i="1"/>
  <c r="AP316" i="1"/>
  <c r="AK316" i="1"/>
  <c r="AJ316" i="1"/>
  <c r="AF316" i="1"/>
  <c r="AE316" i="1"/>
  <c r="Z316" i="1"/>
  <c r="U316" i="1"/>
  <c r="N316" i="1"/>
  <c r="J316" i="1"/>
  <c r="I316" i="1"/>
  <c r="BX315" i="1"/>
  <c r="BU315" i="1"/>
  <c r="BE315" i="1"/>
  <c r="BA315" i="1"/>
  <c r="AZ315" i="1"/>
  <c r="AV315" i="1"/>
  <c r="AQ315" i="1"/>
  <c r="AP315" i="1"/>
  <c r="AK315" i="1"/>
  <c r="AJ315" i="1"/>
  <c r="AF315" i="1"/>
  <c r="AE315" i="1"/>
  <c r="Z315" i="1"/>
  <c r="U315" i="1"/>
  <c r="N315" i="1"/>
  <c r="J315" i="1"/>
  <c r="I315" i="1"/>
  <c r="BX314" i="1"/>
  <c r="BU314" i="1"/>
  <c r="BE314" i="1"/>
  <c r="BA314" i="1"/>
  <c r="AZ314" i="1"/>
  <c r="AV314" i="1"/>
  <c r="AQ314" i="1"/>
  <c r="AP314" i="1"/>
  <c r="AK314" i="1"/>
  <c r="BS314" i="1" s="1"/>
  <c r="AJ314" i="1"/>
  <c r="AF314" i="1"/>
  <c r="AE314" i="1"/>
  <c r="Z314" i="1"/>
  <c r="U314" i="1"/>
  <c r="N314" i="1"/>
  <c r="J314" i="1"/>
  <c r="I314" i="1"/>
  <c r="BX313" i="1"/>
  <c r="BU313" i="1"/>
  <c r="BE313" i="1"/>
  <c r="BA313" i="1"/>
  <c r="AZ313" i="1"/>
  <c r="AV313" i="1"/>
  <c r="AQ313" i="1"/>
  <c r="AP313" i="1"/>
  <c r="AR313" i="1" s="1"/>
  <c r="AK313" i="1"/>
  <c r="AJ313" i="1"/>
  <c r="AG313" i="1" s="1"/>
  <c r="AF313" i="1"/>
  <c r="AE313" i="1"/>
  <c r="Z313" i="1"/>
  <c r="U313" i="1"/>
  <c r="N313" i="1"/>
  <c r="J313" i="1"/>
  <c r="I313" i="1"/>
  <c r="BX312" i="1"/>
  <c r="BU312" i="1"/>
  <c r="BE312" i="1"/>
  <c r="BA312" i="1"/>
  <c r="AZ312" i="1"/>
  <c r="AV312" i="1"/>
  <c r="AQ312" i="1"/>
  <c r="AP312" i="1"/>
  <c r="AK312" i="1"/>
  <c r="BS312" i="1" s="1"/>
  <c r="BP312" i="1" s="1"/>
  <c r="AJ312" i="1"/>
  <c r="AH312" i="1"/>
  <c r="AF312" i="1"/>
  <c r="AE312" i="1"/>
  <c r="Z312" i="1"/>
  <c r="U312" i="1"/>
  <c r="N312" i="1"/>
  <c r="J312" i="1"/>
  <c r="I312" i="1"/>
  <c r="BX311" i="1"/>
  <c r="BU311" i="1"/>
  <c r="BD311" i="1"/>
  <c r="BA311" i="1" s="1"/>
  <c r="AZ311" i="1"/>
  <c r="AV311" i="1"/>
  <c r="AQ311" i="1"/>
  <c r="AP311" i="1"/>
  <c r="AK311" i="1"/>
  <c r="BS311" i="1" s="1"/>
  <c r="AJ311" i="1"/>
  <c r="AF311" i="1"/>
  <c r="AE311" i="1"/>
  <c r="Z311" i="1"/>
  <c r="U311" i="1"/>
  <c r="N311" i="1"/>
  <c r="J311" i="1"/>
  <c r="I311" i="1"/>
  <c r="BX310" i="1"/>
  <c r="BU310" i="1"/>
  <c r="BE310" i="1"/>
  <c r="BA310" i="1"/>
  <c r="AZ310" i="1"/>
  <c r="AV310" i="1"/>
  <c r="AQ310" i="1"/>
  <c r="AP310" i="1"/>
  <c r="AR310" i="1" s="1"/>
  <c r="AK310" i="1"/>
  <c r="AJ310" i="1"/>
  <c r="AG310" i="1" s="1"/>
  <c r="AF310" i="1"/>
  <c r="AE310" i="1"/>
  <c r="Z310" i="1"/>
  <c r="U310" i="1"/>
  <c r="N310" i="1"/>
  <c r="J310" i="1"/>
  <c r="I310" i="1"/>
  <c r="BX309" i="1"/>
  <c r="BU309" i="1"/>
  <c r="BE309" i="1"/>
  <c r="BA309" i="1"/>
  <c r="AZ309" i="1"/>
  <c r="AV309" i="1"/>
  <c r="AQ309" i="1"/>
  <c r="AP309" i="1"/>
  <c r="AK309" i="1"/>
  <c r="AJ309" i="1"/>
  <c r="BR309" i="1" s="1"/>
  <c r="BO309" i="1" s="1"/>
  <c r="AF309" i="1"/>
  <c r="AE309" i="1"/>
  <c r="Z309" i="1"/>
  <c r="U309" i="1"/>
  <c r="N309" i="1"/>
  <c r="J309" i="1"/>
  <c r="I309" i="1"/>
  <c r="BX308" i="1"/>
  <c r="BU308" i="1"/>
  <c r="BE308" i="1"/>
  <c r="BA308" i="1"/>
  <c r="AZ308" i="1"/>
  <c r="AV308" i="1"/>
  <c r="AQ308" i="1"/>
  <c r="AP308" i="1"/>
  <c r="AK308" i="1"/>
  <c r="BS308" i="1" s="1"/>
  <c r="AJ308" i="1"/>
  <c r="AF308" i="1"/>
  <c r="AE308" i="1"/>
  <c r="Z308" i="1"/>
  <c r="U308" i="1"/>
  <c r="N308" i="1"/>
  <c r="J308" i="1"/>
  <c r="I308" i="1"/>
  <c r="BX307" i="1"/>
  <c r="BU307" i="1"/>
  <c r="BE307" i="1"/>
  <c r="BA307" i="1"/>
  <c r="BB307" i="1" s="1"/>
  <c r="AZ307" i="1"/>
  <c r="AV307" i="1"/>
  <c r="AQ307" i="1"/>
  <c r="AP307" i="1"/>
  <c r="BG307" i="1" s="1"/>
  <c r="AK307" i="1"/>
  <c r="BS307" i="1" s="1"/>
  <c r="AJ307" i="1"/>
  <c r="AF307" i="1"/>
  <c r="AE307" i="1"/>
  <c r="Z307" i="1"/>
  <c r="U307" i="1"/>
  <c r="N307" i="1"/>
  <c r="J307" i="1"/>
  <c r="I307" i="1"/>
  <c r="BX306" i="1"/>
  <c r="BU306" i="1"/>
  <c r="BE306" i="1"/>
  <c r="BA306" i="1"/>
  <c r="AZ306" i="1"/>
  <c r="AV306" i="1"/>
  <c r="AQ306" i="1"/>
  <c r="AP306" i="1"/>
  <c r="AK306" i="1"/>
  <c r="AJ306" i="1"/>
  <c r="BR306" i="1" s="1"/>
  <c r="AF306" i="1"/>
  <c r="AE306" i="1"/>
  <c r="Z306" i="1"/>
  <c r="U306" i="1"/>
  <c r="N306" i="1"/>
  <c r="J306" i="1"/>
  <c r="I306" i="1"/>
  <c r="BX305" i="1"/>
  <c r="BU305" i="1"/>
  <c r="BE305" i="1"/>
  <c r="BA305" i="1"/>
  <c r="AZ305" i="1"/>
  <c r="AV305" i="1"/>
  <c r="AQ305" i="1"/>
  <c r="AP305" i="1"/>
  <c r="AR305" i="1" s="1"/>
  <c r="AK305" i="1"/>
  <c r="AJ305" i="1"/>
  <c r="AF305" i="1"/>
  <c r="AE305" i="1"/>
  <c r="Z305" i="1"/>
  <c r="U305" i="1"/>
  <c r="N305" i="1"/>
  <c r="J305" i="1"/>
  <c r="I305" i="1"/>
  <c r="BX304" i="1"/>
  <c r="BU304" i="1"/>
  <c r="BE304" i="1"/>
  <c r="BA304" i="1"/>
  <c r="BB304" i="1" s="1"/>
  <c r="AZ304" i="1"/>
  <c r="AU304" i="1"/>
  <c r="AP304" i="1"/>
  <c r="BG304" i="1" s="1"/>
  <c r="AK304" i="1"/>
  <c r="AJ304" i="1"/>
  <c r="AF304" i="1"/>
  <c r="AE304" i="1"/>
  <c r="Z304" i="1"/>
  <c r="U304" i="1"/>
  <c r="N304" i="1"/>
  <c r="J304" i="1"/>
  <c r="I304" i="1"/>
  <c r="BX303" i="1"/>
  <c r="BU303" i="1"/>
  <c r="BE303" i="1"/>
  <c r="BA303" i="1"/>
  <c r="AZ303" i="1"/>
  <c r="AV303" i="1"/>
  <c r="AQ303" i="1"/>
  <c r="AP303" i="1"/>
  <c r="AK303" i="1"/>
  <c r="AJ303" i="1"/>
  <c r="BR303" i="1" s="1"/>
  <c r="AG303" i="1"/>
  <c r="AF303" i="1"/>
  <c r="AE303" i="1"/>
  <c r="Z303" i="1"/>
  <c r="U303" i="1"/>
  <c r="N303" i="1"/>
  <c r="J303" i="1"/>
  <c r="I303" i="1"/>
  <c r="K303" i="1" s="1"/>
  <c r="BX302" i="1"/>
  <c r="BU302" i="1"/>
  <c r="BE302" i="1"/>
  <c r="BA302" i="1"/>
  <c r="AZ302" i="1"/>
  <c r="BB302" i="1" s="1"/>
  <c r="AV302" i="1"/>
  <c r="AQ302" i="1"/>
  <c r="AP302" i="1"/>
  <c r="AK302" i="1"/>
  <c r="AJ302" i="1"/>
  <c r="AF302" i="1"/>
  <c r="AE302" i="1"/>
  <c r="Z302" i="1"/>
  <c r="U302" i="1"/>
  <c r="N302" i="1"/>
  <c r="J302" i="1"/>
  <c r="I302" i="1"/>
  <c r="BX301" i="1"/>
  <c r="BU301" i="1"/>
  <c r="BE301" i="1"/>
  <c r="BA301" i="1"/>
  <c r="AZ301" i="1"/>
  <c r="AV301" i="1"/>
  <c r="AQ301" i="1"/>
  <c r="AP301" i="1"/>
  <c r="AK301" i="1"/>
  <c r="BS301" i="1" s="1"/>
  <c r="AJ301" i="1"/>
  <c r="AF301" i="1"/>
  <c r="AE301" i="1"/>
  <c r="Z301" i="1"/>
  <c r="U301" i="1"/>
  <c r="N301" i="1"/>
  <c r="J301" i="1"/>
  <c r="K301" i="1" s="1"/>
  <c r="I301" i="1"/>
  <c r="BX300" i="1"/>
  <c r="BU300" i="1"/>
  <c r="BE300" i="1"/>
  <c r="BA300" i="1"/>
  <c r="AZ300" i="1"/>
  <c r="BB300" i="1" s="1"/>
  <c r="AV300" i="1"/>
  <c r="AQ300" i="1"/>
  <c r="AP300" i="1"/>
  <c r="AK300" i="1"/>
  <c r="BS300" i="1" s="1"/>
  <c r="AJ300" i="1"/>
  <c r="AF300" i="1"/>
  <c r="AE300" i="1"/>
  <c r="Z300" i="1"/>
  <c r="U300" i="1"/>
  <c r="N300" i="1"/>
  <c r="J300" i="1"/>
  <c r="I300" i="1"/>
  <c r="K300" i="1" s="1"/>
  <c r="BX299" i="1"/>
  <c r="BU299" i="1"/>
  <c r="BE299" i="1"/>
  <c r="BA299" i="1"/>
  <c r="AZ299" i="1"/>
  <c r="AV299" i="1"/>
  <c r="AQ299" i="1"/>
  <c r="AP299" i="1"/>
  <c r="AK299" i="1"/>
  <c r="AJ299" i="1"/>
  <c r="AF299" i="1"/>
  <c r="AE299" i="1"/>
  <c r="Z299" i="1"/>
  <c r="U299" i="1"/>
  <c r="N299" i="1"/>
  <c r="J299" i="1"/>
  <c r="I299" i="1"/>
  <c r="K299" i="1" s="1"/>
  <c r="BX298" i="1"/>
  <c r="BU298" i="1"/>
  <c r="BE298" i="1"/>
  <c r="BA298" i="1"/>
  <c r="AZ298" i="1"/>
  <c r="AV298" i="1"/>
  <c r="AQ298" i="1"/>
  <c r="AP298" i="1"/>
  <c r="AK298" i="1"/>
  <c r="AJ298" i="1"/>
  <c r="AF298" i="1"/>
  <c r="AE298" i="1"/>
  <c r="Z298" i="1"/>
  <c r="U298" i="1"/>
  <c r="N298" i="1"/>
  <c r="J298" i="1"/>
  <c r="I298" i="1"/>
  <c r="BX297" i="1"/>
  <c r="BU297" i="1"/>
  <c r="BE297" i="1"/>
  <c r="BA297" i="1"/>
  <c r="BB297" i="1" s="1"/>
  <c r="AZ297" i="1"/>
  <c r="AV297" i="1"/>
  <c r="AQ297" i="1"/>
  <c r="AP297" i="1"/>
  <c r="AK297" i="1"/>
  <c r="BS297" i="1" s="1"/>
  <c r="AJ297" i="1"/>
  <c r="AL297" i="1" s="1"/>
  <c r="AF297" i="1"/>
  <c r="AE297" i="1"/>
  <c r="Z297" i="1"/>
  <c r="U297" i="1"/>
  <c r="N297" i="1"/>
  <c r="J297" i="1"/>
  <c r="I297" i="1"/>
  <c r="BX296" i="1"/>
  <c r="BU296" i="1"/>
  <c r="BE296" i="1"/>
  <c r="BA296" i="1"/>
  <c r="AZ296" i="1"/>
  <c r="AV296" i="1"/>
  <c r="AQ296" i="1"/>
  <c r="AP296" i="1"/>
  <c r="AK296" i="1"/>
  <c r="BS296" i="1" s="1"/>
  <c r="AJ296" i="1"/>
  <c r="AF296" i="1"/>
  <c r="AE296" i="1"/>
  <c r="Z296" i="1"/>
  <c r="U296" i="1"/>
  <c r="N296" i="1"/>
  <c r="J296" i="1"/>
  <c r="I296" i="1"/>
  <c r="BX295" i="1"/>
  <c r="BU295" i="1"/>
  <c r="BE295" i="1"/>
  <c r="BA295" i="1"/>
  <c r="AZ295" i="1"/>
  <c r="AV295" i="1"/>
  <c r="AQ295" i="1"/>
  <c r="AP295" i="1"/>
  <c r="AR295" i="1" s="1"/>
  <c r="AK295" i="1"/>
  <c r="AJ295" i="1"/>
  <c r="AG295" i="1" s="1"/>
  <c r="AF295" i="1"/>
  <c r="AE295" i="1"/>
  <c r="Z295" i="1"/>
  <c r="U295" i="1"/>
  <c r="N295" i="1"/>
  <c r="J295" i="1"/>
  <c r="I295" i="1"/>
  <c r="BX294" i="1"/>
  <c r="BU294" i="1"/>
  <c r="BE294" i="1"/>
  <c r="BA294" i="1"/>
  <c r="AZ294" i="1"/>
  <c r="AV294" i="1"/>
  <c r="AQ294" i="1"/>
  <c r="AP294" i="1"/>
  <c r="AK294" i="1"/>
  <c r="AH294" i="1" s="1"/>
  <c r="AJ294" i="1"/>
  <c r="AF294" i="1"/>
  <c r="AE294" i="1"/>
  <c r="Z294" i="1"/>
  <c r="U294" i="1"/>
  <c r="N294" i="1"/>
  <c r="J294" i="1"/>
  <c r="I294" i="1"/>
  <c r="BX293" i="1"/>
  <c r="BU293" i="1"/>
  <c r="BE293" i="1"/>
  <c r="BA293" i="1"/>
  <c r="AZ293" i="1"/>
  <c r="AV293" i="1"/>
  <c r="AQ293" i="1"/>
  <c r="AP293" i="1"/>
  <c r="AK293" i="1"/>
  <c r="BS293" i="1" s="1"/>
  <c r="AJ293" i="1"/>
  <c r="AF293" i="1"/>
  <c r="AE293" i="1"/>
  <c r="Z293" i="1"/>
  <c r="U293" i="1"/>
  <c r="N293" i="1"/>
  <c r="J293" i="1"/>
  <c r="I293" i="1"/>
  <c r="BX292" i="1"/>
  <c r="BU292" i="1"/>
  <c r="BE292" i="1"/>
  <c r="BA292" i="1"/>
  <c r="AZ292" i="1"/>
  <c r="AV292" i="1"/>
  <c r="AQ292" i="1"/>
  <c r="AP292" i="1"/>
  <c r="AK292" i="1"/>
  <c r="AJ292" i="1"/>
  <c r="AG292" i="1" s="1"/>
  <c r="AF292" i="1"/>
  <c r="AE292" i="1"/>
  <c r="Z292" i="1"/>
  <c r="U292" i="1"/>
  <c r="N292" i="1"/>
  <c r="J292" i="1"/>
  <c r="I292" i="1"/>
  <c r="BX291" i="1"/>
  <c r="BU291" i="1"/>
  <c r="BE291" i="1"/>
  <c r="BA291" i="1"/>
  <c r="AZ291" i="1"/>
  <c r="AV291" i="1"/>
  <c r="AQ291" i="1"/>
  <c r="AP291" i="1"/>
  <c r="AK291" i="1"/>
  <c r="AJ291" i="1"/>
  <c r="AF291" i="1"/>
  <c r="AE291" i="1"/>
  <c r="Z291" i="1"/>
  <c r="U291" i="1"/>
  <c r="N291" i="1"/>
  <c r="J291" i="1"/>
  <c r="I291" i="1"/>
  <c r="BX290" i="1"/>
  <c r="BU290" i="1"/>
  <c r="BE290" i="1"/>
  <c r="BA290" i="1"/>
  <c r="AZ290" i="1"/>
  <c r="AV290" i="1"/>
  <c r="AQ290" i="1"/>
  <c r="AP290" i="1"/>
  <c r="AR290" i="1" s="1"/>
  <c r="AK290" i="1"/>
  <c r="AJ290" i="1"/>
  <c r="AF290" i="1"/>
  <c r="AE290" i="1"/>
  <c r="Z290" i="1"/>
  <c r="U290" i="1"/>
  <c r="N290" i="1"/>
  <c r="J290" i="1"/>
  <c r="I290" i="1"/>
  <c r="BX289" i="1"/>
  <c r="BU289" i="1"/>
  <c r="BE289" i="1"/>
  <c r="BA289" i="1"/>
  <c r="AZ289" i="1"/>
  <c r="AV289" i="1"/>
  <c r="AQ289" i="1"/>
  <c r="AP289" i="1"/>
  <c r="AK289" i="1"/>
  <c r="AJ289" i="1"/>
  <c r="BR289" i="1" s="1"/>
  <c r="BO289" i="1" s="1"/>
  <c r="AF289" i="1"/>
  <c r="AE289" i="1"/>
  <c r="Z289" i="1"/>
  <c r="U289" i="1"/>
  <c r="N289" i="1"/>
  <c r="J289" i="1"/>
  <c r="K289" i="1" s="1"/>
  <c r="I289" i="1"/>
  <c r="BX288" i="1"/>
  <c r="BU288" i="1"/>
  <c r="BE288" i="1"/>
  <c r="BA288" i="1"/>
  <c r="AZ288" i="1"/>
  <c r="AV288" i="1"/>
  <c r="AQ288" i="1"/>
  <c r="AP288" i="1"/>
  <c r="AK288" i="1"/>
  <c r="BS288" i="1" s="1"/>
  <c r="AJ288" i="1"/>
  <c r="AF288" i="1"/>
  <c r="AE288" i="1"/>
  <c r="Z288" i="1"/>
  <c r="U288" i="1"/>
  <c r="N288" i="1"/>
  <c r="J288" i="1"/>
  <c r="I288" i="1"/>
  <c r="BX287" i="1"/>
  <c r="BU287" i="1"/>
  <c r="BE287" i="1"/>
  <c r="BA287" i="1"/>
  <c r="AZ287" i="1"/>
  <c r="AV287" i="1"/>
  <c r="AQ287" i="1"/>
  <c r="AP287" i="1"/>
  <c r="AK287" i="1"/>
  <c r="BS287" i="1" s="1"/>
  <c r="AJ287" i="1"/>
  <c r="AF287" i="1"/>
  <c r="AE287" i="1"/>
  <c r="Z287" i="1"/>
  <c r="U287" i="1"/>
  <c r="N287" i="1"/>
  <c r="J287" i="1"/>
  <c r="I287" i="1"/>
  <c r="BX286" i="1"/>
  <c r="BU286" i="1"/>
  <c r="BE286" i="1"/>
  <c r="BA286" i="1"/>
  <c r="AZ286" i="1"/>
  <c r="AV286" i="1"/>
  <c r="AQ286" i="1"/>
  <c r="AP286" i="1"/>
  <c r="AK286" i="1"/>
  <c r="AJ286" i="1"/>
  <c r="AF286" i="1"/>
  <c r="AE286" i="1"/>
  <c r="Z286" i="1"/>
  <c r="U286" i="1"/>
  <c r="N286" i="1"/>
  <c r="J286" i="1"/>
  <c r="I286" i="1"/>
  <c r="BX285" i="1"/>
  <c r="BU285" i="1"/>
  <c r="BE285" i="1"/>
  <c r="BA285" i="1"/>
  <c r="AZ285" i="1"/>
  <c r="AV285" i="1"/>
  <c r="AQ285" i="1"/>
  <c r="AP285" i="1"/>
  <c r="AK285" i="1"/>
  <c r="BS285" i="1" s="1"/>
  <c r="AJ285" i="1"/>
  <c r="AH285" i="1"/>
  <c r="AF285" i="1"/>
  <c r="AE285" i="1"/>
  <c r="Z285" i="1"/>
  <c r="U285" i="1"/>
  <c r="N285" i="1"/>
  <c r="J285" i="1"/>
  <c r="I285" i="1"/>
  <c r="BX284" i="1"/>
  <c r="BU284" i="1"/>
  <c r="BE284" i="1"/>
  <c r="BA284" i="1"/>
  <c r="AZ284" i="1"/>
  <c r="AV284" i="1"/>
  <c r="AQ284" i="1"/>
  <c r="AP284" i="1"/>
  <c r="AK284" i="1"/>
  <c r="BS284" i="1" s="1"/>
  <c r="AJ284" i="1"/>
  <c r="AL284" i="1" s="1"/>
  <c r="AF284" i="1"/>
  <c r="AE284" i="1"/>
  <c r="Z284" i="1"/>
  <c r="U284" i="1"/>
  <c r="N284" i="1"/>
  <c r="J284" i="1"/>
  <c r="I284" i="1"/>
  <c r="BX283" i="1"/>
  <c r="BU283" i="1"/>
  <c r="BE283" i="1"/>
  <c r="BA283" i="1"/>
  <c r="AZ283" i="1"/>
  <c r="AV283" i="1"/>
  <c r="AQ283" i="1"/>
  <c r="AP283" i="1"/>
  <c r="AK283" i="1"/>
  <c r="BS283" i="1" s="1"/>
  <c r="AJ283" i="1"/>
  <c r="AF283" i="1"/>
  <c r="AE283" i="1"/>
  <c r="Z283" i="1"/>
  <c r="U283" i="1"/>
  <c r="N283" i="1"/>
  <c r="J283" i="1"/>
  <c r="I283" i="1"/>
  <c r="BX282" i="1"/>
  <c r="BU282" i="1"/>
  <c r="BE282" i="1"/>
  <c r="BA282" i="1"/>
  <c r="AZ282" i="1"/>
  <c r="AV282" i="1"/>
  <c r="AQ282" i="1"/>
  <c r="AP282" i="1"/>
  <c r="AR282" i="1" s="1"/>
  <c r="AK282" i="1"/>
  <c r="AJ282" i="1"/>
  <c r="AG282" i="1" s="1"/>
  <c r="AF282" i="1"/>
  <c r="AE282" i="1"/>
  <c r="Z282" i="1"/>
  <c r="U282" i="1"/>
  <c r="N282" i="1"/>
  <c r="J282" i="1"/>
  <c r="I282" i="1"/>
  <c r="BX281" i="1"/>
  <c r="BU281" i="1"/>
  <c r="BE281" i="1"/>
  <c r="BA281" i="1"/>
  <c r="AZ281" i="1"/>
  <c r="AV281" i="1"/>
  <c r="AQ281" i="1"/>
  <c r="AP281" i="1"/>
  <c r="AK281" i="1"/>
  <c r="AJ281" i="1"/>
  <c r="BR281" i="1" s="1"/>
  <c r="BO281" i="1" s="1"/>
  <c r="AF281" i="1"/>
  <c r="AE281" i="1"/>
  <c r="Z281" i="1"/>
  <c r="U281" i="1"/>
  <c r="N281" i="1"/>
  <c r="J281" i="1"/>
  <c r="I281" i="1"/>
  <c r="BX280" i="1"/>
  <c r="BU280" i="1"/>
  <c r="BE280" i="1"/>
  <c r="BA280" i="1"/>
  <c r="AZ280" i="1"/>
  <c r="AV280" i="1"/>
  <c r="AQ280" i="1"/>
  <c r="BH280" i="1" s="1"/>
  <c r="AP280" i="1"/>
  <c r="AK280" i="1"/>
  <c r="BS280" i="1" s="1"/>
  <c r="AJ280" i="1"/>
  <c r="AF280" i="1"/>
  <c r="AE280" i="1"/>
  <c r="Z280" i="1"/>
  <c r="U280" i="1"/>
  <c r="N280" i="1"/>
  <c r="J280" i="1"/>
  <c r="I280" i="1"/>
  <c r="K280" i="1" s="1"/>
  <c r="BX279" i="1"/>
  <c r="BU279" i="1"/>
  <c r="BE279" i="1"/>
  <c r="BA279" i="1"/>
  <c r="AZ279" i="1"/>
  <c r="AV279" i="1"/>
  <c r="AQ279" i="1"/>
  <c r="AP279" i="1"/>
  <c r="AK279" i="1"/>
  <c r="BS279" i="1" s="1"/>
  <c r="AJ279" i="1"/>
  <c r="AF279" i="1"/>
  <c r="AE279" i="1"/>
  <c r="Z279" i="1"/>
  <c r="U279" i="1"/>
  <c r="N279" i="1"/>
  <c r="J279" i="1"/>
  <c r="I279" i="1"/>
  <c r="K279" i="1" s="1"/>
  <c r="BX278" i="1"/>
  <c r="BU278" i="1"/>
  <c r="BE278" i="1"/>
  <c r="BA278" i="1"/>
  <c r="AZ278" i="1"/>
  <c r="AU278" i="1"/>
  <c r="AV278" i="1" s="1"/>
  <c r="AP278" i="1"/>
  <c r="AK278" i="1"/>
  <c r="AH278" i="1" s="1"/>
  <c r="AJ278" i="1"/>
  <c r="AG278" i="1" s="1"/>
  <c r="AF278" i="1"/>
  <c r="AE278" i="1"/>
  <c r="Z278" i="1"/>
  <c r="U278" i="1"/>
  <c r="N278" i="1"/>
  <c r="J278" i="1"/>
  <c r="I278" i="1"/>
  <c r="BX277" i="1"/>
  <c r="BU277" i="1"/>
  <c r="BE277" i="1"/>
  <c r="BA277" i="1"/>
  <c r="AZ277" i="1"/>
  <c r="AV277" i="1"/>
  <c r="AQ277" i="1"/>
  <c r="AP277" i="1"/>
  <c r="AK277" i="1"/>
  <c r="BS277" i="1" s="1"/>
  <c r="AJ277" i="1"/>
  <c r="AF277" i="1"/>
  <c r="AE277" i="1"/>
  <c r="Z277" i="1"/>
  <c r="U277" i="1"/>
  <c r="N277" i="1"/>
  <c r="J277" i="1"/>
  <c r="I277" i="1"/>
  <c r="BX276" i="1"/>
  <c r="BU276" i="1"/>
  <c r="BE276" i="1"/>
  <c r="BA276" i="1"/>
  <c r="AZ276" i="1"/>
  <c r="AV276" i="1"/>
  <c r="AQ276" i="1"/>
  <c r="AP276" i="1"/>
  <c r="AK276" i="1"/>
  <c r="BS276" i="1" s="1"/>
  <c r="AJ276" i="1"/>
  <c r="AF276" i="1"/>
  <c r="AE276" i="1"/>
  <c r="Z276" i="1"/>
  <c r="U276" i="1"/>
  <c r="N276" i="1"/>
  <c r="J276" i="1"/>
  <c r="I276" i="1"/>
  <c r="BX275" i="1"/>
  <c r="BU275" i="1"/>
  <c r="BE275" i="1"/>
  <c r="BA275" i="1"/>
  <c r="AZ275" i="1"/>
  <c r="AV275" i="1"/>
  <c r="AQ275" i="1"/>
  <c r="AP275" i="1"/>
  <c r="AK275" i="1"/>
  <c r="AJ275" i="1"/>
  <c r="AF275" i="1"/>
  <c r="AE275" i="1"/>
  <c r="Z275" i="1"/>
  <c r="U275" i="1"/>
  <c r="N275" i="1"/>
  <c r="J275" i="1"/>
  <c r="I275" i="1"/>
  <c r="BX274" i="1"/>
  <c r="BU274" i="1"/>
  <c r="BE274" i="1"/>
  <c r="BA274" i="1"/>
  <c r="BH274" i="1" s="1"/>
  <c r="AZ274" i="1"/>
  <c r="AV274" i="1"/>
  <c r="AQ274" i="1"/>
  <c r="AP274" i="1"/>
  <c r="AR274" i="1" s="1"/>
  <c r="AK274" i="1"/>
  <c r="BS274" i="1" s="1"/>
  <c r="BP274" i="1" s="1"/>
  <c r="AJ274" i="1"/>
  <c r="BR274" i="1" s="1"/>
  <c r="AF274" i="1"/>
  <c r="AE274" i="1"/>
  <c r="Z274" i="1"/>
  <c r="U274" i="1"/>
  <c r="N274" i="1"/>
  <c r="J274" i="1"/>
  <c r="I274" i="1"/>
  <c r="BX273" i="1"/>
  <c r="BU273" i="1"/>
  <c r="BP273" i="1"/>
  <c r="BE273" i="1"/>
  <c r="BA273" i="1"/>
  <c r="AZ273" i="1"/>
  <c r="AV273" i="1"/>
  <c r="AQ273" i="1"/>
  <c r="AP273" i="1"/>
  <c r="AK273" i="1"/>
  <c r="BS273" i="1" s="1"/>
  <c r="AJ273" i="1"/>
  <c r="AL273" i="1" s="1"/>
  <c r="AF273" i="1"/>
  <c r="AE273" i="1"/>
  <c r="Z273" i="1"/>
  <c r="U273" i="1"/>
  <c r="N273" i="1"/>
  <c r="J273" i="1"/>
  <c r="I273" i="1"/>
  <c r="BX272" i="1"/>
  <c r="BU272" i="1"/>
  <c r="BE272" i="1"/>
  <c r="BA272" i="1"/>
  <c r="AZ272" i="1"/>
  <c r="AV272" i="1"/>
  <c r="AQ272" i="1"/>
  <c r="AP272" i="1"/>
  <c r="AK272" i="1"/>
  <c r="BS272" i="1" s="1"/>
  <c r="AJ272" i="1"/>
  <c r="AF272" i="1"/>
  <c r="AE272" i="1"/>
  <c r="Z272" i="1"/>
  <c r="U272" i="1"/>
  <c r="N272" i="1"/>
  <c r="J272" i="1"/>
  <c r="I272" i="1"/>
  <c r="K272" i="1" s="1"/>
  <c r="BX271" i="1"/>
  <c r="BU271" i="1"/>
  <c r="BE271" i="1"/>
  <c r="BA271" i="1"/>
  <c r="BH271" i="1" s="1"/>
  <c r="AZ271" i="1"/>
  <c r="AV271" i="1"/>
  <c r="AQ271" i="1"/>
  <c r="AP271" i="1"/>
  <c r="AR271" i="1" s="1"/>
  <c r="AK271" i="1"/>
  <c r="AJ271" i="1"/>
  <c r="BR271" i="1" s="1"/>
  <c r="AF271" i="1"/>
  <c r="AE271" i="1"/>
  <c r="Z271" i="1"/>
  <c r="U271" i="1"/>
  <c r="N271" i="1"/>
  <c r="J271" i="1"/>
  <c r="I271" i="1"/>
  <c r="K271" i="1" s="1"/>
  <c r="BX270" i="1"/>
  <c r="BU270" i="1"/>
  <c r="BE270" i="1"/>
  <c r="BA270" i="1"/>
  <c r="AZ270" i="1"/>
  <c r="AU270" i="1"/>
  <c r="AP270" i="1"/>
  <c r="AK270" i="1"/>
  <c r="AJ270" i="1"/>
  <c r="BR270" i="1" s="1"/>
  <c r="AF270" i="1"/>
  <c r="AE270" i="1"/>
  <c r="Z270" i="1"/>
  <c r="U270" i="1"/>
  <c r="N270" i="1"/>
  <c r="J270" i="1"/>
  <c r="I270" i="1"/>
  <c r="BV269" i="1"/>
  <c r="BX269" i="1" s="1"/>
  <c r="BU269" i="1"/>
  <c r="BE269" i="1"/>
  <c r="BA269" i="1"/>
  <c r="AZ269" i="1"/>
  <c r="AV269" i="1"/>
  <c r="AQ269" i="1"/>
  <c r="AP269" i="1"/>
  <c r="AR269" i="1" s="1"/>
  <c r="AK269" i="1"/>
  <c r="AJ269" i="1"/>
  <c r="AG269" i="1" s="1"/>
  <c r="AF269" i="1"/>
  <c r="AE269" i="1"/>
  <c r="Z269" i="1"/>
  <c r="U269" i="1"/>
  <c r="N269" i="1"/>
  <c r="J269" i="1"/>
  <c r="I269" i="1"/>
  <c r="BX268" i="1"/>
  <c r="BU268" i="1"/>
  <c r="BE268" i="1"/>
  <c r="BA268" i="1"/>
  <c r="AZ268" i="1"/>
  <c r="AV268" i="1"/>
  <c r="AQ268" i="1"/>
  <c r="AP268" i="1"/>
  <c r="AK268" i="1"/>
  <c r="AH268" i="1" s="1"/>
  <c r="AJ268" i="1"/>
  <c r="BR268" i="1" s="1"/>
  <c r="BO268" i="1" s="1"/>
  <c r="AF268" i="1"/>
  <c r="AE268" i="1"/>
  <c r="Z268" i="1"/>
  <c r="U268" i="1"/>
  <c r="N268" i="1"/>
  <c r="J268" i="1"/>
  <c r="I268" i="1"/>
  <c r="BX267" i="1"/>
  <c r="BU267" i="1"/>
  <c r="BE267" i="1"/>
  <c r="BA267" i="1"/>
  <c r="AZ267" i="1"/>
  <c r="AV267" i="1"/>
  <c r="AQ267" i="1"/>
  <c r="AP267" i="1"/>
  <c r="AK267" i="1"/>
  <c r="BS267" i="1" s="1"/>
  <c r="AJ267" i="1"/>
  <c r="AF267" i="1"/>
  <c r="AE267" i="1"/>
  <c r="Z267" i="1"/>
  <c r="U267" i="1"/>
  <c r="N267" i="1"/>
  <c r="J267" i="1"/>
  <c r="I267" i="1"/>
  <c r="K267" i="1" s="1"/>
  <c r="BX266" i="1"/>
  <c r="BU266" i="1"/>
  <c r="BE266" i="1"/>
  <c r="BA266" i="1"/>
  <c r="AZ266" i="1"/>
  <c r="AV266" i="1"/>
  <c r="AQ266" i="1"/>
  <c r="AP266" i="1"/>
  <c r="AK266" i="1"/>
  <c r="BS266" i="1" s="1"/>
  <c r="AJ266" i="1"/>
  <c r="AF266" i="1"/>
  <c r="AE266" i="1"/>
  <c r="Z266" i="1"/>
  <c r="U266" i="1"/>
  <c r="N266" i="1"/>
  <c r="J266" i="1"/>
  <c r="I266" i="1"/>
  <c r="BX265" i="1"/>
  <c r="BU265" i="1"/>
  <c r="BE265" i="1"/>
  <c r="BA265" i="1"/>
  <c r="AZ265" i="1"/>
  <c r="AV265" i="1"/>
  <c r="AQ265" i="1"/>
  <c r="AP265" i="1"/>
  <c r="AK265" i="1"/>
  <c r="AJ265" i="1"/>
  <c r="BR265" i="1" s="1"/>
  <c r="AG265" i="1"/>
  <c r="AF265" i="1"/>
  <c r="AE265" i="1"/>
  <c r="Z265" i="1"/>
  <c r="U265" i="1"/>
  <c r="N265" i="1"/>
  <c r="J265" i="1"/>
  <c r="I265" i="1"/>
  <c r="K265" i="1" s="1"/>
  <c r="BX264" i="1"/>
  <c r="BU264" i="1"/>
  <c r="BE264" i="1"/>
  <c r="BA264" i="1"/>
  <c r="BH264" i="1" s="1"/>
  <c r="AZ264" i="1"/>
  <c r="AV264" i="1"/>
  <c r="AQ264" i="1"/>
  <c r="AP264" i="1"/>
  <c r="AR264" i="1" s="1"/>
  <c r="AK264" i="1"/>
  <c r="AJ264" i="1"/>
  <c r="AF264" i="1"/>
  <c r="AE264" i="1"/>
  <c r="Z264" i="1"/>
  <c r="U264" i="1"/>
  <c r="N264" i="1"/>
  <c r="J264" i="1"/>
  <c r="I264" i="1"/>
  <c r="BX263" i="1"/>
  <c r="BU263" i="1"/>
  <c r="BE263" i="1"/>
  <c r="BA263" i="1"/>
  <c r="AZ263" i="1"/>
  <c r="AV263" i="1"/>
  <c r="AQ263" i="1"/>
  <c r="AP263" i="1"/>
  <c r="AK263" i="1"/>
  <c r="BS263" i="1" s="1"/>
  <c r="AJ263" i="1"/>
  <c r="AF263" i="1"/>
  <c r="AE263" i="1"/>
  <c r="Z263" i="1"/>
  <c r="U263" i="1"/>
  <c r="N263" i="1"/>
  <c r="J263" i="1"/>
  <c r="I263" i="1"/>
  <c r="BX262" i="1"/>
  <c r="BU262" i="1"/>
  <c r="BE262" i="1"/>
  <c r="BA262" i="1"/>
  <c r="AZ262" i="1"/>
  <c r="AV262" i="1"/>
  <c r="AQ262" i="1"/>
  <c r="AP262" i="1"/>
  <c r="AK262" i="1"/>
  <c r="BS262" i="1" s="1"/>
  <c r="AJ262" i="1"/>
  <c r="AF262" i="1"/>
  <c r="AE262" i="1"/>
  <c r="Z262" i="1"/>
  <c r="U262" i="1"/>
  <c r="N262" i="1"/>
  <c r="J262" i="1"/>
  <c r="I262" i="1"/>
  <c r="BX261" i="1"/>
  <c r="BU261" i="1"/>
  <c r="BE261" i="1"/>
  <c r="BA261" i="1"/>
  <c r="AZ261" i="1"/>
  <c r="AV261" i="1"/>
  <c r="AQ261" i="1"/>
  <c r="AR261" i="1" s="1"/>
  <c r="AP261" i="1"/>
  <c r="AK261" i="1"/>
  <c r="AJ261" i="1"/>
  <c r="AF261" i="1"/>
  <c r="AE261" i="1"/>
  <c r="Z261" i="1"/>
  <c r="U261" i="1"/>
  <c r="N261" i="1"/>
  <c r="J261" i="1"/>
  <c r="I261" i="1"/>
  <c r="BX260" i="1"/>
  <c r="BU260" i="1"/>
  <c r="BE260" i="1"/>
  <c r="BA260" i="1"/>
  <c r="AZ260" i="1"/>
  <c r="AV260" i="1"/>
  <c r="AQ260" i="1"/>
  <c r="AP260" i="1"/>
  <c r="AR260" i="1" s="1"/>
  <c r="AK260" i="1"/>
  <c r="AH260" i="1" s="1"/>
  <c r="AJ260" i="1"/>
  <c r="BR260" i="1" s="1"/>
  <c r="BO260" i="1" s="1"/>
  <c r="AF260" i="1"/>
  <c r="AE260" i="1"/>
  <c r="Z260" i="1"/>
  <c r="U260" i="1"/>
  <c r="N260" i="1"/>
  <c r="J260" i="1"/>
  <c r="I260" i="1"/>
  <c r="BX259" i="1"/>
  <c r="BU259" i="1"/>
  <c r="BE259" i="1"/>
  <c r="BA259" i="1"/>
  <c r="AZ259" i="1"/>
  <c r="AV259" i="1"/>
  <c r="AQ259" i="1"/>
  <c r="AP259" i="1"/>
  <c r="AK259" i="1"/>
  <c r="BS259" i="1" s="1"/>
  <c r="BP259" i="1" s="1"/>
  <c r="AJ259" i="1"/>
  <c r="AF259" i="1"/>
  <c r="AE259" i="1"/>
  <c r="Z259" i="1"/>
  <c r="U259" i="1"/>
  <c r="N259" i="1"/>
  <c r="J259" i="1"/>
  <c r="I259" i="1"/>
  <c r="BX258" i="1"/>
  <c r="BU258" i="1"/>
  <c r="BE258" i="1"/>
  <c r="BA258" i="1"/>
  <c r="AZ258" i="1"/>
  <c r="AV258" i="1"/>
  <c r="AQ258" i="1"/>
  <c r="AP258" i="1"/>
  <c r="AK258" i="1"/>
  <c r="BS258" i="1" s="1"/>
  <c r="AJ258" i="1"/>
  <c r="AF258" i="1"/>
  <c r="AE258" i="1"/>
  <c r="Z258" i="1"/>
  <c r="U258" i="1"/>
  <c r="N258" i="1"/>
  <c r="J258" i="1"/>
  <c r="I258" i="1"/>
  <c r="BX257" i="1"/>
  <c r="BU257" i="1"/>
  <c r="BE257" i="1"/>
  <c r="BA257" i="1"/>
  <c r="AZ257" i="1"/>
  <c r="AV257" i="1"/>
  <c r="AQ257" i="1"/>
  <c r="AP257" i="1"/>
  <c r="AK257" i="1"/>
  <c r="AJ257" i="1"/>
  <c r="AF257" i="1"/>
  <c r="AE257" i="1"/>
  <c r="Z257" i="1"/>
  <c r="U257" i="1"/>
  <c r="N257" i="1"/>
  <c r="J257" i="1"/>
  <c r="I257" i="1"/>
  <c r="K257" i="1" s="1"/>
  <c r="BX256" i="1"/>
  <c r="BU256" i="1"/>
  <c r="BE256" i="1"/>
  <c r="BA256" i="1"/>
  <c r="AZ256" i="1"/>
  <c r="AV256" i="1"/>
  <c r="AQ256" i="1"/>
  <c r="AP256" i="1"/>
  <c r="AK256" i="1"/>
  <c r="BS256" i="1" s="1"/>
  <c r="AJ256" i="1"/>
  <c r="AF256" i="1"/>
  <c r="AE256" i="1"/>
  <c r="Z256" i="1"/>
  <c r="U256" i="1"/>
  <c r="N256" i="1"/>
  <c r="J256" i="1"/>
  <c r="I256" i="1"/>
  <c r="BX255" i="1"/>
  <c r="BU255" i="1"/>
  <c r="BE255" i="1"/>
  <c r="BA255" i="1"/>
  <c r="AZ255" i="1"/>
  <c r="AV255" i="1"/>
  <c r="AQ255" i="1"/>
  <c r="AP255" i="1"/>
  <c r="AK255" i="1"/>
  <c r="BS255" i="1" s="1"/>
  <c r="AJ255" i="1"/>
  <c r="AF255" i="1"/>
  <c r="AE255" i="1"/>
  <c r="Z255" i="1"/>
  <c r="U255" i="1"/>
  <c r="N255" i="1"/>
  <c r="J255" i="1"/>
  <c r="I255" i="1"/>
  <c r="BX254" i="1"/>
  <c r="BU254" i="1"/>
  <c r="BE254" i="1"/>
  <c r="BA254" i="1"/>
  <c r="AZ254" i="1"/>
  <c r="AV254" i="1"/>
  <c r="AQ254" i="1"/>
  <c r="AP254" i="1"/>
  <c r="AK254" i="1"/>
  <c r="BS254" i="1" s="1"/>
  <c r="AJ254" i="1"/>
  <c r="AF254" i="1"/>
  <c r="AE254" i="1"/>
  <c r="Z254" i="1"/>
  <c r="U254" i="1"/>
  <c r="N254" i="1"/>
  <c r="J254" i="1"/>
  <c r="I254" i="1"/>
  <c r="BX253" i="1"/>
  <c r="BU253" i="1"/>
  <c r="BE253" i="1"/>
  <c r="BA253" i="1"/>
  <c r="AZ253" i="1"/>
  <c r="AV253" i="1"/>
  <c r="AQ253" i="1"/>
  <c r="AP253" i="1"/>
  <c r="AK253" i="1"/>
  <c r="AJ253" i="1"/>
  <c r="AG253" i="1" s="1"/>
  <c r="AF253" i="1"/>
  <c r="AE253" i="1"/>
  <c r="Z253" i="1"/>
  <c r="U253" i="1"/>
  <c r="N253" i="1"/>
  <c r="J253" i="1"/>
  <c r="I253" i="1"/>
  <c r="BX252" i="1"/>
  <c r="BU252" i="1"/>
  <c r="BE252" i="1"/>
  <c r="BA252" i="1"/>
  <c r="AZ252" i="1"/>
  <c r="AV252" i="1"/>
  <c r="AQ252" i="1"/>
  <c r="AP252" i="1"/>
  <c r="AK252" i="1"/>
  <c r="AH252" i="1" s="1"/>
  <c r="AJ252" i="1"/>
  <c r="BR252" i="1" s="1"/>
  <c r="BO252" i="1" s="1"/>
  <c r="AF252" i="1"/>
  <c r="AE252" i="1"/>
  <c r="Z252" i="1"/>
  <c r="U252" i="1"/>
  <c r="N252" i="1"/>
  <c r="J252" i="1"/>
  <c r="I252" i="1"/>
  <c r="BX251" i="1"/>
  <c r="BU251" i="1"/>
  <c r="BE251" i="1"/>
  <c r="BA251" i="1"/>
  <c r="AZ251" i="1"/>
  <c r="AV251" i="1"/>
  <c r="AQ251" i="1"/>
  <c r="AP251" i="1"/>
  <c r="AK251" i="1"/>
  <c r="BS251" i="1" s="1"/>
  <c r="AJ251" i="1"/>
  <c r="AF251" i="1"/>
  <c r="AE251" i="1"/>
  <c r="Z251" i="1"/>
  <c r="U251" i="1"/>
  <c r="N251" i="1"/>
  <c r="J251" i="1"/>
  <c r="I251" i="1"/>
  <c r="K251" i="1" s="1"/>
  <c r="BX250" i="1"/>
  <c r="BU250" i="1"/>
  <c r="BE250" i="1"/>
  <c r="BA250" i="1"/>
  <c r="AZ250" i="1"/>
  <c r="AV250" i="1"/>
  <c r="AQ250" i="1"/>
  <c r="AP250" i="1"/>
  <c r="AK250" i="1"/>
  <c r="BS250" i="1" s="1"/>
  <c r="AJ250" i="1"/>
  <c r="AF250" i="1"/>
  <c r="AE250" i="1"/>
  <c r="Z250" i="1"/>
  <c r="U250" i="1"/>
  <c r="N250" i="1"/>
  <c r="J250" i="1"/>
  <c r="I250" i="1"/>
  <c r="BX249" i="1"/>
  <c r="BU249" i="1"/>
  <c r="BE249" i="1"/>
  <c r="BA249" i="1"/>
  <c r="AZ249" i="1"/>
  <c r="AV249" i="1"/>
  <c r="AQ249" i="1"/>
  <c r="AP249" i="1"/>
  <c r="AK249" i="1"/>
  <c r="AJ249" i="1"/>
  <c r="BR249" i="1" s="1"/>
  <c r="AF249" i="1"/>
  <c r="AE249" i="1"/>
  <c r="Z249" i="1"/>
  <c r="U249" i="1"/>
  <c r="N249" i="1"/>
  <c r="J249" i="1"/>
  <c r="I249" i="1"/>
  <c r="BX248" i="1"/>
  <c r="BU248" i="1"/>
  <c r="BE248" i="1"/>
  <c r="BA248" i="1"/>
  <c r="AZ248" i="1"/>
  <c r="AV248" i="1"/>
  <c r="AQ248" i="1"/>
  <c r="AP248" i="1"/>
  <c r="AK248" i="1"/>
  <c r="BS248" i="1" s="1"/>
  <c r="AJ248" i="1"/>
  <c r="AF248" i="1"/>
  <c r="AE248" i="1"/>
  <c r="Z248" i="1"/>
  <c r="U248" i="1"/>
  <c r="N248" i="1"/>
  <c r="J248" i="1"/>
  <c r="I248" i="1"/>
  <c r="BX247" i="1"/>
  <c r="BU247" i="1"/>
  <c r="BE247" i="1"/>
  <c r="BA247" i="1"/>
  <c r="AZ247" i="1"/>
  <c r="AV247" i="1"/>
  <c r="AQ247" i="1"/>
  <c r="AP247" i="1"/>
  <c r="AK247" i="1"/>
  <c r="BS247" i="1" s="1"/>
  <c r="AJ247" i="1"/>
  <c r="AF247" i="1"/>
  <c r="AE247" i="1"/>
  <c r="Z247" i="1"/>
  <c r="U247" i="1"/>
  <c r="N247" i="1"/>
  <c r="J247" i="1"/>
  <c r="I247" i="1"/>
  <c r="BX246" i="1"/>
  <c r="BU246" i="1"/>
  <c r="BE246" i="1"/>
  <c r="BA246" i="1"/>
  <c r="AZ246" i="1"/>
  <c r="AV246" i="1"/>
  <c r="AQ246" i="1"/>
  <c r="AP246" i="1"/>
  <c r="AK246" i="1"/>
  <c r="BS246" i="1" s="1"/>
  <c r="AJ246" i="1"/>
  <c r="AF246" i="1"/>
  <c r="AE246" i="1"/>
  <c r="Z246" i="1"/>
  <c r="U246" i="1"/>
  <c r="N246" i="1"/>
  <c r="J246" i="1"/>
  <c r="I246" i="1"/>
  <c r="BX245" i="1"/>
  <c r="BU245" i="1"/>
  <c r="BE245" i="1"/>
  <c r="BA245" i="1"/>
  <c r="AZ245" i="1"/>
  <c r="AV245" i="1"/>
  <c r="AQ245" i="1"/>
  <c r="AP245" i="1"/>
  <c r="AK245" i="1"/>
  <c r="AJ245" i="1"/>
  <c r="AG245" i="1" s="1"/>
  <c r="AF245" i="1"/>
  <c r="AE245" i="1"/>
  <c r="Z245" i="1"/>
  <c r="U245" i="1"/>
  <c r="N245" i="1"/>
  <c r="J245" i="1"/>
  <c r="I245" i="1"/>
  <c r="BX244" i="1"/>
  <c r="BU244" i="1"/>
  <c r="BE244" i="1"/>
  <c r="BA244" i="1"/>
  <c r="AZ244" i="1"/>
  <c r="AV244" i="1"/>
  <c r="AQ244" i="1"/>
  <c r="AP244" i="1"/>
  <c r="AR244" i="1" s="1"/>
  <c r="AK244" i="1"/>
  <c r="AJ244" i="1"/>
  <c r="BR244" i="1" s="1"/>
  <c r="BO244" i="1" s="1"/>
  <c r="AF244" i="1"/>
  <c r="AE244" i="1"/>
  <c r="Z244" i="1"/>
  <c r="U244" i="1"/>
  <c r="N244" i="1"/>
  <c r="J244" i="1"/>
  <c r="I244" i="1"/>
  <c r="BX243" i="1"/>
  <c r="BU243" i="1"/>
  <c r="BE243" i="1"/>
  <c r="BA243" i="1"/>
  <c r="AZ243" i="1"/>
  <c r="AV243" i="1"/>
  <c r="AQ243" i="1"/>
  <c r="AP243" i="1"/>
  <c r="AK243" i="1"/>
  <c r="BS243" i="1" s="1"/>
  <c r="AJ243" i="1"/>
  <c r="AF243" i="1"/>
  <c r="AE243" i="1"/>
  <c r="Z243" i="1"/>
  <c r="U243" i="1"/>
  <c r="N243" i="1"/>
  <c r="J243" i="1"/>
  <c r="I243" i="1"/>
  <c r="BX242" i="1"/>
  <c r="BU242" i="1"/>
  <c r="BE242" i="1"/>
  <c r="BA242" i="1"/>
  <c r="AZ242" i="1"/>
  <c r="AV242" i="1"/>
  <c r="AQ242" i="1"/>
  <c r="AP242" i="1"/>
  <c r="AK242" i="1"/>
  <c r="BS242" i="1" s="1"/>
  <c r="AJ242" i="1"/>
  <c r="AF242" i="1"/>
  <c r="AE242" i="1"/>
  <c r="Z242" i="1"/>
  <c r="U242" i="1"/>
  <c r="N242" i="1"/>
  <c r="J242" i="1"/>
  <c r="I242" i="1"/>
  <c r="BX241" i="1"/>
  <c r="BU241" i="1"/>
  <c r="BE241" i="1"/>
  <c r="BA241" i="1"/>
  <c r="AZ241" i="1"/>
  <c r="AV241" i="1"/>
  <c r="AQ241" i="1"/>
  <c r="AP241" i="1"/>
  <c r="AK241" i="1"/>
  <c r="AJ241" i="1"/>
  <c r="AF241" i="1"/>
  <c r="AE241" i="1"/>
  <c r="Z241" i="1"/>
  <c r="U241" i="1"/>
  <c r="N241" i="1"/>
  <c r="J241" i="1"/>
  <c r="I241" i="1"/>
  <c r="BX240" i="1"/>
  <c r="BU240" i="1"/>
  <c r="BE240" i="1"/>
  <c r="BA240" i="1"/>
  <c r="AZ240" i="1"/>
  <c r="AV240" i="1"/>
  <c r="AQ240" i="1"/>
  <c r="AP240" i="1"/>
  <c r="AK240" i="1"/>
  <c r="AH240" i="1" s="1"/>
  <c r="AJ240" i="1"/>
  <c r="AF240" i="1"/>
  <c r="AE240" i="1"/>
  <c r="Z240" i="1"/>
  <c r="U240" i="1"/>
  <c r="N240" i="1"/>
  <c r="J240" i="1"/>
  <c r="I240" i="1"/>
  <c r="BX239" i="1"/>
  <c r="BU239" i="1"/>
  <c r="BE239" i="1"/>
  <c r="BA239" i="1"/>
  <c r="AZ239" i="1"/>
  <c r="AV239" i="1"/>
  <c r="AQ239" i="1"/>
  <c r="AP239" i="1"/>
  <c r="AK239" i="1"/>
  <c r="BS239" i="1" s="1"/>
  <c r="AJ239" i="1"/>
  <c r="AF239" i="1"/>
  <c r="AE239" i="1"/>
  <c r="Z239" i="1"/>
  <c r="U239" i="1"/>
  <c r="N239" i="1"/>
  <c r="J239" i="1"/>
  <c r="I239" i="1"/>
  <c r="K239" i="1" s="1"/>
  <c r="BX238" i="1"/>
  <c r="BU238" i="1"/>
  <c r="BE238" i="1"/>
  <c r="BA238" i="1"/>
  <c r="AZ238" i="1"/>
  <c r="AV238" i="1"/>
  <c r="AQ238" i="1"/>
  <c r="AP238" i="1"/>
  <c r="AK238" i="1"/>
  <c r="BS238" i="1" s="1"/>
  <c r="AJ238" i="1"/>
  <c r="AF238" i="1"/>
  <c r="AE238" i="1"/>
  <c r="Z238" i="1"/>
  <c r="U238" i="1"/>
  <c r="N238" i="1"/>
  <c r="J238" i="1"/>
  <c r="I238" i="1"/>
  <c r="BX237" i="1"/>
  <c r="BU237" i="1"/>
  <c r="BE237" i="1"/>
  <c r="BA237" i="1"/>
  <c r="AZ237" i="1"/>
  <c r="BB237" i="1" s="1"/>
  <c r="AV237" i="1"/>
  <c r="AQ237" i="1"/>
  <c r="AP237" i="1"/>
  <c r="AK237" i="1"/>
  <c r="AJ237" i="1"/>
  <c r="AG237" i="1" s="1"/>
  <c r="AF237" i="1"/>
  <c r="AE237" i="1"/>
  <c r="Z237" i="1"/>
  <c r="U237" i="1"/>
  <c r="N237" i="1"/>
  <c r="J237" i="1"/>
  <c r="I237" i="1"/>
  <c r="BX236" i="1"/>
  <c r="BU236" i="1"/>
  <c r="BE236" i="1"/>
  <c r="BA236" i="1"/>
  <c r="BH236" i="1" s="1"/>
  <c r="AZ236" i="1"/>
  <c r="AV236" i="1"/>
  <c r="AQ236" i="1"/>
  <c r="AP236" i="1"/>
  <c r="AR236" i="1" s="1"/>
  <c r="AK236" i="1"/>
  <c r="BS236" i="1" s="1"/>
  <c r="AJ236" i="1"/>
  <c r="BR236" i="1" s="1"/>
  <c r="BO236" i="1" s="1"/>
  <c r="AF236" i="1"/>
  <c r="AE236" i="1"/>
  <c r="Z236" i="1"/>
  <c r="U236" i="1"/>
  <c r="N236" i="1"/>
  <c r="J236" i="1"/>
  <c r="I236" i="1"/>
  <c r="BX235" i="1"/>
  <c r="BU235" i="1"/>
  <c r="BE235" i="1"/>
  <c r="BA235" i="1"/>
  <c r="AZ235" i="1"/>
  <c r="AV235" i="1"/>
  <c r="AQ235" i="1"/>
  <c r="AP235" i="1"/>
  <c r="AK235" i="1"/>
  <c r="BS235" i="1" s="1"/>
  <c r="AJ235" i="1"/>
  <c r="AF235" i="1"/>
  <c r="AE235" i="1"/>
  <c r="Z235" i="1"/>
  <c r="U235" i="1"/>
  <c r="N235" i="1"/>
  <c r="J235" i="1"/>
  <c r="I235" i="1"/>
  <c r="BX234" i="1"/>
  <c r="BU234" i="1"/>
  <c r="BE234" i="1"/>
  <c r="BA234" i="1"/>
  <c r="AZ234" i="1"/>
  <c r="AV234" i="1"/>
  <c r="AQ234" i="1"/>
  <c r="AP234" i="1"/>
  <c r="AK234" i="1"/>
  <c r="BS234" i="1" s="1"/>
  <c r="AJ234" i="1"/>
  <c r="AF234" i="1"/>
  <c r="AE234" i="1"/>
  <c r="Z234" i="1"/>
  <c r="U234" i="1"/>
  <c r="N234" i="1"/>
  <c r="J234" i="1"/>
  <c r="I234" i="1"/>
  <c r="BX233" i="1"/>
  <c r="BU233" i="1"/>
  <c r="BE233" i="1"/>
  <c r="BA233" i="1"/>
  <c r="AZ233" i="1"/>
  <c r="AV233" i="1"/>
  <c r="AQ233" i="1"/>
  <c r="AP233" i="1"/>
  <c r="AK233" i="1"/>
  <c r="AJ233" i="1"/>
  <c r="AF233" i="1"/>
  <c r="AE233" i="1"/>
  <c r="Z233" i="1"/>
  <c r="U233" i="1"/>
  <c r="N233" i="1"/>
  <c r="J233" i="1"/>
  <c r="I233" i="1"/>
  <c r="K233" i="1" s="1"/>
  <c r="BX232" i="1"/>
  <c r="BU232" i="1"/>
  <c r="BE232" i="1"/>
  <c r="BA232" i="1"/>
  <c r="AZ232" i="1"/>
  <c r="AV232" i="1"/>
  <c r="AQ232" i="1"/>
  <c r="AP232" i="1"/>
  <c r="AK232" i="1"/>
  <c r="AH232" i="1" s="1"/>
  <c r="AJ232" i="1"/>
  <c r="AF232" i="1"/>
  <c r="AE232" i="1"/>
  <c r="Z232" i="1"/>
  <c r="U232" i="1"/>
  <c r="N232" i="1"/>
  <c r="J232" i="1"/>
  <c r="I232" i="1"/>
  <c r="BX231" i="1"/>
  <c r="BU231" i="1"/>
  <c r="BE231" i="1"/>
  <c r="BA231" i="1"/>
  <c r="AZ231" i="1"/>
  <c r="AV231" i="1"/>
  <c r="AQ231" i="1"/>
  <c r="AP231" i="1"/>
  <c r="AK231" i="1"/>
  <c r="BS231" i="1" s="1"/>
  <c r="AJ231" i="1"/>
  <c r="AF231" i="1"/>
  <c r="AE231" i="1"/>
  <c r="Z231" i="1"/>
  <c r="U231" i="1"/>
  <c r="N231" i="1"/>
  <c r="J231" i="1"/>
  <c r="I231" i="1"/>
  <c r="BX230" i="1"/>
  <c r="BU230" i="1"/>
  <c r="BE230" i="1"/>
  <c r="BA230" i="1"/>
  <c r="AZ230" i="1"/>
  <c r="AV230" i="1"/>
  <c r="AQ230" i="1"/>
  <c r="AP230" i="1"/>
  <c r="AK230" i="1"/>
  <c r="BS230" i="1" s="1"/>
  <c r="AJ230" i="1"/>
  <c r="AF230" i="1"/>
  <c r="AE230" i="1"/>
  <c r="Z230" i="1"/>
  <c r="U230" i="1"/>
  <c r="N230" i="1"/>
  <c r="J230" i="1"/>
  <c r="I230" i="1"/>
  <c r="BX229" i="1"/>
  <c r="BU229" i="1"/>
  <c r="BE229" i="1"/>
  <c r="BA229" i="1"/>
  <c r="AZ229" i="1"/>
  <c r="BB229" i="1" s="1"/>
  <c r="AV229" i="1"/>
  <c r="AQ229" i="1"/>
  <c r="AP229" i="1"/>
  <c r="AK229" i="1"/>
  <c r="AJ229" i="1"/>
  <c r="AG229" i="1" s="1"/>
  <c r="AF229" i="1"/>
  <c r="AE229" i="1"/>
  <c r="Z229" i="1"/>
  <c r="U229" i="1"/>
  <c r="N229" i="1"/>
  <c r="J229" i="1"/>
  <c r="I229" i="1"/>
  <c r="BX228" i="1"/>
  <c r="BU228" i="1"/>
  <c r="BE228" i="1"/>
  <c r="BA228" i="1"/>
  <c r="BH228" i="1" s="1"/>
  <c r="AZ228" i="1"/>
  <c r="AV228" i="1"/>
  <c r="AQ228" i="1"/>
  <c r="AP228" i="1"/>
  <c r="AR228" i="1" s="1"/>
  <c r="AK228" i="1"/>
  <c r="AJ228" i="1"/>
  <c r="BR228" i="1" s="1"/>
  <c r="BO228" i="1" s="1"/>
  <c r="AF228" i="1"/>
  <c r="AE228" i="1"/>
  <c r="Z228" i="1"/>
  <c r="U228" i="1"/>
  <c r="N228" i="1"/>
  <c r="J228" i="1"/>
  <c r="I228" i="1"/>
  <c r="BX227" i="1"/>
  <c r="BU227" i="1"/>
  <c r="BE227" i="1"/>
  <c r="BA227" i="1"/>
  <c r="AZ227" i="1"/>
  <c r="AV227" i="1"/>
  <c r="AQ227" i="1"/>
  <c r="AP227" i="1"/>
  <c r="AK227" i="1"/>
  <c r="BS227" i="1" s="1"/>
  <c r="AJ227" i="1"/>
  <c r="AF227" i="1"/>
  <c r="AE227" i="1"/>
  <c r="Z227" i="1"/>
  <c r="U227" i="1"/>
  <c r="N227" i="1"/>
  <c r="J227" i="1"/>
  <c r="I227" i="1"/>
  <c r="BX226" i="1"/>
  <c r="BU226" i="1"/>
  <c r="BE226" i="1"/>
  <c r="BA226" i="1"/>
  <c r="AZ226" i="1"/>
  <c r="BG226" i="1" s="1"/>
  <c r="AV226" i="1"/>
  <c r="AQ226" i="1"/>
  <c r="AP226" i="1"/>
  <c r="AK226" i="1"/>
  <c r="BS226" i="1" s="1"/>
  <c r="AJ226" i="1"/>
  <c r="AF226" i="1"/>
  <c r="AE226" i="1"/>
  <c r="Z226" i="1"/>
  <c r="U226" i="1"/>
  <c r="N226" i="1"/>
  <c r="J226" i="1"/>
  <c r="I226" i="1"/>
  <c r="K226" i="1" s="1"/>
  <c r="BX225" i="1"/>
  <c r="BU225" i="1"/>
  <c r="BE225" i="1"/>
  <c r="BA225" i="1"/>
  <c r="BH225" i="1" s="1"/>
  <c r="AZ225" i="1"/>
  <c r="AV225" i="1"/>
  <c r="AQ225" i="1"/>
  <c r="AP225" i="1"/>
  <c r="AK225" i="1"/>
  <c r="AJ225" i="1"/>
  <c r="BR225" i="1" s="1"/>
  <c r="AF225" i="1"/>
  <c r="AE225" i="1"/>
  <c r="Z225" i="1"/>
  <c r="U225" i="1"/>
  <c r="N225" i="1"/>
  <c r="J225" i="1"/>
  <c r="I225" i="1"/>
  <c r="BX224" i="1"/>
  <c r="BU224" i="1"/>
  <c r="BE224" i="1"/>
  <c r="BA224" i="1"/>
  <c r="AZ224" i="1"/>
  <c r="AV224" i="1"/>
  <c r="AQ224" i="1"/>
  <c r="AP224" i="1"/>
  <c r="AK224" i="1"/>
  <c r="AH224" i="1" s="1"/>
  <c r="AJ224" i="1"/>
  <c r="AF224" i="1"/>
  <c r="AE224" i="1"/>
  <c r="Z224" i="1"/>
  <c r="U224" i="1"/>
  <c r="N224" i="1"/>
  <c r="J224" i="1"/>
  <c r="I224" i="1"/>
  <c r="BX223" i="1"/>
  <c r="BU223" i="1"/>
  <c r="BE223" i="1"/>
  <c r="BA223" i="1"/>
  <c r="AZ223" i="1"/>
  <c r="AV223" i="1"/>
  <c r="AQ223" i="1"/>
  <c r="AP223" i="1"/>
  <c r="AK223" i="1"/>
  <c r="BS223" i="1" s="1"/>
  <c r="AJ223" i="1"/>
  <c r="AL223" i="1" s="1"/>
  <c r="AF223" i="1"/>
  <c r="AE223" i="1"/>
  <c r="Z223" i="1"/>
  <c r="U223" i="1"/>
  <c r="N223" i="1"/>
  <c r="J223" i="1"/>
  <c r="I223" i="1"/>
  <c r="BX222" i="1"/>
  <c r="BU222" i="1"/>
  <c r="BE222" i="1"/>
  <c r="BA222" i="1"/>
  <c r="AZ222" i="1"/>
  <c r="AV222" i="1"/>
  <c r="AQ222" i="1"/>
  <c r="AP222" i="1"/>
  <c r="AK222" i="1"/>
  <c r="BS222" i="1" s="1"/>
  <c r="AJ222" i="1"/>
  <c r="AF222" i="1"/>
  <c r="AE222" i="1"/>
  <c r="Z222" i="1"/>
  <c r="U222" i="1"/>
  <c r="N222" i="1"/>
  <c r="J222" i="1"/>
  <c r="I222" i="1"/>
  <c r="BX221" i="1"/>
  <c r="BU221" i="1"/>
  <c r="BE221" i="1"/>
  <c r="BA221" i="1"/>
  <c r="AZ221" i="1"/>
  <c r="AV221" i="1"/>
  <c r="AQ221" i="1"/>
  <c r="AP221" i="1"/>
  <c r="AK221" i="1"/>
  <c r="AJ221" i="1"/>
  <c r="AG221" i="1" s="1"/>
  <c r="AF221" i="1"/>
  <c r="AE221" i="1"/>
  <c r="Z221" i="1"/>
  <c r="U221" i="1"/>
  <c r="N221" i="1"/>
  <c r="J221" i="1"/>
  <c r="I221" i="1"/>
  <c r="BX220" i="1"/>
  <c r="BU220" i="1"/>
  <c r="BE220" i="1"/>
  <c r="BA220" i="1"/>
  <c r="AZ220" i="1"/>
  <c r="AV220" i="1"/>
  <c r="AQ220" i="1"/>
  <c r="AP220" i="1"/>
  <c r="AJ220" i="1"/>
  <c r="BR220" i="1" s="1"/>
  <c r="BO220" i="1" s="1"/>
  <c r="AF220" i="1"/>
  <c r="AD220" i="1"/>
  <c r="Z220" i="1"/>
  <c r="U220" i="1"/>
  <c r="N220" i="1"/>
  <c r="J220" i="1"/>
  <c r="I220" i="1"/>
  <c r="BX219" i="1"/>
  <c r="BU219" i="1"/>
  <c r="BE219" i="1"/>
  <c r="BA219" i="1"/>
  <c r="AZ219" i="1"/>
  <c r="AV219" i="1"/>
  <c r="AQ219" i="1"/>
  <c r="AP219" i="1"/>
  <c r="AK219" i="1"/>
  <c r="BS219" i="1" s="1"/>
  <c r="AJ219" i="1"/>
  <c r="AF219" i="1"/>
  <c r="AE219" i="1"/>
  <c r="Z219" i="1"/>
  <c r="U219" i="1"/>
  <c r="L219" i="1"/>
  <c r="I219" i="1" s="1"/>
  <c r="J219" i="1"/>
  <c r="BX218" i="1"/>
  <c r="BU218" i="1"/>
  <c r="BS218" i="1"/>
  <c r="BE218" i="1"/>
  <c r="BA218" i="1"/>
  <c r="AZ218" i="1"/>
  <c r="AV218" i="1"/>
  <c r="AQ218" i="1"/>
  <c r="AP218" i="1"/>
  <c r="AK218" i="1"/>
  <c r="AH218" i="1" s="1"/>
  <c r="AJ218" i="1"/>
  <c r="BR218" i="1" s="1"/>
  <c r="AF218" i="1"/>
  <c r="AE218" i="1"/>
  <c r="Z218" i="1"/>
  <c r="U218" i="1"/>
  <c r="L218" i="1"/>
  <c r="N218" i="1" s="1"/>
  <c r="J218" i="1"/>
  <c r="BX217" i="1"/>
  <c r="BU217" i="1"/>
  <c r="BE217" i="1"/>
  <c r="BA217" i="1"/>
  <c r="AZ217" i="1"/>
  <c r="AV217" i="1"/>
  <c r="AQ217" i="1"/>
  <c r="AP217" i="1"/>
  <c r="AK217" i="1"/>
  <c r="BS217" i="1" s="1"/>
  <c r="AJ217" i="1"/>
  <c r="AF217" i="1"/>
  <c r="AE217" i="1"/>
  <c r="Z217" i="1"/>
  <c r="U217" i="1"/>
  <c r="L217" i="1"/>
  <c r="I217" i="1" s="1"/>
  <c r="J217" i="1"/>
  <c r="BX216" i="1"/>
  <c r="BU216" i="1"/>
  <c r="BE216" i="1"/>
  <c r="BA216" i="1"/>
  <c r="AZ216" i="1"/>
  <c r="AV216" i="1"/>
  <c r="AQ216" i="1"/>
  <c r="AP216" i="1"/>
  <c r="AK216" i="1"/>
  <c r="AH216" i="1" s="1"/>
  <c r="AJ216" i="1"/>
  <c r="BR216" i="1" s="1"/>
  <c r="AF216" i="1"/>
  <c r="AE216" i="1"/>
  <c r="Z216" i="1"/>
  <c r="U216" i="1"/>
  <c r="L216" i="1"/>
  <c r="N216" i="1" s="1"/>
  <c r="J216" i="1"/>
  <c r="BX215" i="1"/>
  <c r="BU215" i="1"/>
  <c r="BE215" i="1"/>
  <c r="BA215" i="1"/>
  <c r="AZ215" i="1"/>
  <c r="AV215" i="1"/>
  <c r="AQ215" i="1"/>
  <c r="AP215" i="1"/>
  <c r="AK215" i="1"/>
  <c r="BS215" i="1" s="1"/>
  <c r="AJ215" i="1"/>
  <c r="AF215" i="1"/>
  <c r="AE215" i="1"/>
  <c r="Z215" i="1"/>
  <c r="U215" i="1"/>
  <c r="L215" i="1"/>
  <c r="I215" i="1" s="1"/>
  <c r="J215" i="1"/>
  <c r="BX214" i="1"/>
  <c r="BU214" i="1"/>
  <c r="BS214" i="1"/>
  <c r="BP214" i="1" s="1"/>
  <c r="BE214" i="1"/>
  <c r="BA214" i="1"/>
  <c r="AZ214" i="1"/>
  <c r="AV214" i="1"/>
  <c r="AQ214" i="1"/>
  <c r="AP214" i="1"/>
  <c r="AK214" i="1"/>
  <c r="AH214" i="1" s="1"/>
  <c r="AJ214" i="1"/>
  <c r="BR214" i="1" s="1"/>
  <c r="AF214" i="1"/>
  <c r="AE214" i="1"/>
  <c r="Z214" i="1"/>
  <c r="U214" i="1"/>
  <c r="L214" i="1"/>
  <c r="N214" i="1" s="1"/>
  <c r="J214" i="1"/>
  <c r="BX213" i="1"/>
  <c r="BU213" i="1"/>
  <c r="BE213" i="1"/>
  <c r="BA213" i="1"/>
  <c r="AZ213" i="1"/>
  <c r="AV213" i="1"/>
  <c r="AQ213" i="1"/>
  <c r="AP213" i="1"/>
  <c r="AK213" i="1"/>
  <c r="BS213" i="1" s="1"/>
  <c r="AJ213" i="1"/>
  <c r="AF213" i="1"/>
  <c r="AE213" i="1"/>
  <c r="Z213" i="1"/>
  <c r="U213" i="1"/>
  <c r="N213" i="1"/>
  <c r="J213" i="1"/>
  <c r="I213" i="1"/>
  <c r="K213" i="1" s="1"/>
  <c r="BX212" i="1"/>
  <c r="BU212" i="1"/>
  <c r="BE212" i="1"/>
  <c r="BA212" i="1"/>
  <c r="AZ212" i="1"/>
  <c r="AV212" i="1"/>
  <c r="AQ212" i="1"/>
  <c r="AP212" i="1"/>
  <c r="AK212" i="1"/>
  <c r="AJ212" i="1"/>
  <c r="AF212" i="1"/>
  <c r="AE212" i="1"/>
  <c r="Z212" i="1"/>
  <c r="U212" i="1"/>
  <c r="N212" i="1"/>
  <c r="J212" i="1"/>
  <c r="I212" i="1"/>
  <c r="BX211" i="1"/>
  <c r="BU211" i="1"/>
  <c r="BE211" i="1"/>
  <c r="BA211" i="1"/>
  <c r="AZ211" i="1"/>
  <c r="AV211" i="1"/>
  <c r="AQ211" i="1"/>
  <c r="AP211" i="1"/>
  <c r="AK211" i="1"/>
  <c r="AJ211" i="1"/>
  <c r="BR211" i="1" s="1"/>
  <c r="AF211" i="1"/>
  <c r="AE211" i="1"/>
  <c r="Z211" i="1"/>
  <c r="U211" i="1"/>
  <c r="L211" i="1"/>
  <c r="N211" i="1" s="1"/>
  <c r="J211" i="1"/>
  <c r="BX210" i="1"/>
  <c r="BU210" i="1"/>
  <c r="BE210" i="1"/>
  <c r="BA210" i="1"/>
  <c r="BB210" i="1" s="1"/>
  <c r="AZ210" i="1"/>
  <c r="AV210" i="1"/>
  <c r="AQ210" i="1"/>
  <c r="AP210" i="1"/>
  <c r="AK210" i="1"/>
  <c r="BS210" i="1" s="1"/>
  <c r="AJ210" i="1"/>
  <c r="AF210" i="1"/>
  <c r="AE210" i="1"/>
  <c r="Z210" i="1"/>
  <c r="U210" i="1"/>
  <c r="L210" i="1"/>
  <c r="J210" i="1"/>
  <c r="BX209" i="1"/>
  <c r="BU209" i="1"/>
  <c r="BE209" i="1"/>
  <c r="BA209" i="1"/>
  <c r="AZ209" i="1"/>
  <c r="AV209" i="1"/>
  <c r="AQ209" i="1"/>
  <c r="AP209" i="1"/>
  <c r="AK209" i="1"/>
  <c r="AJ209" i="1"/>
  <c r="BR209" i="1" s="1"/>
  <c r="BO209" i="1" s="1"/>
  <c r="AF209" i="1"/>
  <c r="AE209" i="1"/>
  <c r="Z209" i="1"/>
  <c r="U209" i="1"/>
  <c r="L209" i="1"/>
  <c r="N209" i="1" s="1"/>
  <c r="J209" i="1"/>
  <c r="BX208" i="1"/>
  <c r="BU208" i="1"/>
  <c r="BE208" i="1"/>
  <c r="BA208" i="1"/>
  <c r="AZ208" i="1"/>
  <c r="AV208" i="1"/>
  <c r="AQ208" i="1"/>
  <c r="AP208" i="1"/>
  <c r="AK208" i="1"/>
  <c r="BS208" i="1" s="1"/>
  <c r="AJ208" i="1"/>
  <c r="AF208" i="1"/>
  <c r="AE208" i="1"/>
  <c r="Z208" i="1"/>
  <c r="U208" i="1"/>
  <c r="N208" i="1"/>
  <c r="J208" i="1"/>
  <c r="I208" i="1"/>
  <c r="BX207" i="1"/>
  <c r="BU207" i="1"/>
  <c r="BE207" i="1"/>
  <c r="BA207" i="1"/>
  <c r="AZ207" i="1"/>
  <c r="BB207" i="1" s="1"/>
  <c r="AV207" i="1"/>
  <c r="AQ207" i="1"/>
  <c r="AP207" i="1"/>
  <c r="AK207" i="1"/>
  <c r="AJ207" i="1"/>
  <c r="BR207" i="1" s="1"/>
  <c r="AF207" i="1"/>
  <c r="AE207" i="1"/>
  <c r="Z207" i="1"/>
  <c r="U207" i="1"/>
  <c r="N207" i="1"/>
  <c r="J207" i="1"/>
  <c r="I207" i="1"/>
  <c r="BX206" i="1"/>
  <c r="BU206" i="1"/>
  <c r="BE206" i="1"/>
  <c r="BA206" i="1"/>
  <c r="AZ206" i="1"/>
  <c r="AV206" i="1"/>
  <c r="AQ206" i="1"/>
  <c r="AP206" i="1"/>
  <c r="AK206" i="1"/>
  <c r="AH206" i="1" s="1"/>
  <c r="AJ206" i="1"/>
  <c r="BR206" i="1" s="1"/>
  <c r="AF206" i="1"/>
  <c r="AE206" i="1"/>
  <c r="Z206" i="1"/>
  <c r="U206" i="1"/>
  <c r="N206" i="1"/>
  <c r="J206" i="1"/>
  <c r="I206" i="1"/>
  <c r="BX205" i="1"/>
  <c r="BU205" i="1"/>
  <c r="BE205" i="1"/>
  <c r="BA205" i="1"/>
  <c r="AZ205" i="1"/>
  <c r="AV205" i="1"/>
  <c r="AQ205" i="1"/>
  <c r="AP205" i="1"/>
  <c r="AK205" i="1"/>
  <c r="BS205" i="1" s="1"/>
  <c r="AJ205" i="1"/>
  <c r="AF205" i="1"/>
  <c r="AE205" i="1"/>
  <c r="Z205" i="1"/>
  <c r="U205" i="1"/>
  <c r="N205" i="1"/>
  <c r="J205" i="1"/>
  <c r="I205" i="1"/>
  <c r="K205" i="1" s="1"/>
  <c r="BX204" i="1"/>
  <c r="BU204" i="1"/>
  <c r="BE204" i="1"/>
  <c r="BA204" i="1"/>
  <c r="AZ204" i="1"/>
  <c r="AV204" i="1"/>
  <c r="AQ204" i="1"/>
  <c r="AP204" i="1"/>
  <c r="AK204" i="1"/>
  <c r="BS204" i="1" s="1"/>
  <c r="AJ204" i="1"/>
  <c r="AF204" i="1"/>
  <c r="AE204" i="1"/>
  <c r="Z204" i="1"/>
  <c r="U204" i="1"/>
  <c r="N204" i="1"/>
  <c r="J204" i="1"/>
  <c r="I204" i="1"/>
  <c r="BX203" i="1"/>
  <c r="BU203" i="1"/>
  <c r="BE203" i="1"/>
  <c r="BA203" i="1"/>
  <c r="AZ203" i="1"/>
  <c r="AV203" i="1"/>
  <c r="AQ203" i="1"/>
  <c r="AP203" i="1"/>
  <c r="AK203" i="1"/>
  <c r="AJ203" i="1"/>
  <c r="AF203" i="1"/>
  <c r="AE203" i="1"/>
  <c r="Z203" i="1"/>
  <c r="U203" i="1"/>
  <c r="N203" i="1"/>
  <c r="J203" i="1"/>
  <c r="I203" i="1"/>
  <c r="BX202" i="1"/>
  <c r="BU202" i="1"/>
  <c r="BE202" i="1"/>
  <c r="BA202" i="1"/>
  <c r="AZ202" i="1"/>
  <c r="AV202" i="1"/>
  <c r="AQ202" i="1"/>
  <c r="AP202" i="1"/>
  <c r="AK202" i="1"/>
  <c r="AH202" i="1" s="1"/>
  <c r="AJ202" i="1"/>
  <c r="BR202" i="1" s="1"/>
  <c r="BO202" i="1" s="1"/>
  <c r="AF202" i="1"/>
  <c r="AE202" i="1"/>
  <c r="Z202" i="1"/>
  <c r="U202" i="1"/>
  <c r="N202" i="1"/>
  <c r="J202" i="1"/>
  <c r="I202" i="1"/>
  <c r="BX201" i="1"/>
  <c r="BF201" i="1"/>
  <c r="BD201" i="1"/>
  <c r="BC201" i="1"/>
  <c r="AY201" i="1"/>
  <c r="AT201" i="1"/>
  <c r="AO201" i="1"/>
  <c r="AN201" i="1"/>
  <c r="AM201" i="1"/>
  <c r="AF201" i="1"/>
  <c r="AC201" i="1"/>
  <c r="AB201" i="1"/>
  <c r="AA201" i="1"/>
  <c r="Y201" i="1"/>
  <c r="X201" i="1"/>
  <c r="W201" i="1"/>
  <c r="V201" i="1"/>
  <c r="T201" i="1"/>
  <c r="S201" i="1"/>
  <c r="R201" i="1"/>
  <c r="Q201" i="1"/>
  <c r="P201" i="1"/>
  <c r="O201" i="1"/>
  <c r="H201" i="1"/>
  <c r="D201" i="1"/>
  <c r="C201" i="1"/>
  <c r="BU200" i="1"/>
  <c r="BE200" i="1"/>
  <c r="BA200" i="1"/>
  <c r="AZ200" i="1"/>
  <c r="AV200" i="1"/>
  <c r="AQ200" i="1"/>
  <c r="AP200" i="1"/>
  <c r="AJ200" i="1"/>
  <c r="BR200" i="1" s="1"/>
  <c r="BO200" i="1" s="1"/>
  <c r="AD200" i="1"/>
  <c r="AE200" i="1" s="1"/>
  <c r="Z200" i="1"/>
  <c r="Y200" i="1"/>
  <c r="U200" i="1"/>
  <c r="N200" i="1"/>
  <c r="J200" i="1"/>
  <c r="K200" i="1" s="1"/>
  <c r="I200" i="1"/>
  <c r="BX199" i="1"/>
  <c r="BU199" i="1"/>
  <c r="BE199" i="1"/>
  <c r="BA199" i="1"/>
  <c r="AZ199" i="1"/>
  <c r="AV199" i="1"/>
  <c r="AV197" i="1" s="1"/>
  <c r="AQ199" i="1"/>
  <c r="AP199" i="1"/>
  <c r="AJ199" i="1"/>
  <c r="AE199" i="1"/>
  <c r="Y199" i="1"/>
  <c r="Z199" i="1" s="1"/>
  <c r="U199" i="1"/>
  <c r="N199" i="1"/>
  <c r="J199" i="1"/>
  <c r="I199" i="1"/>
  <c r="BX198" i="1"/>
  <c r="BU198" i="1"/>
  <c r="BE198" i="1"/>
  <c r="BA198" i="1"/>
  <c r="AZ198" i="1"/>
  <c r="AV198" i="1"/>
  <c r="AQ198" i="1"/>
  <c r="AP198" i="1"/>
  <c r="AJ198" i="1"/>
  <c r="BR198" i="1" s="1"/>
  <c r="AF198" i="1"/>
  <c r="AE198" i="1"/>
  <c r="Y198" i="1"/>
  <c r="U198" i="1"/>
  <c r="N198" i="1"/>
  <c r="J198" i="1"/>
  <c r="I198" i="1"/>
  <c r="I197" i="1" s="1"/>
  <c r="BX197" i="1"/>
  <c r="BF197" i="1"/>
  <c r="BD197" i="1"/>
  <c r="BC197" i="1"/>
  <c r="AY197" i="1"/>
  <c r="AU197" i="1"/>
  <c r="AT197" i="1"/>
  <c r="AO197" i="1"/>
  <c r="AN197" i="1"/>
  <c r="AM197" i="1"/>
  <c r="AF197" i="1"/>
  <c r="AC197" i="1"/>
  <c r="AB197" i="1"/>
  <c r="AA197" i="1"/>
  <c r="X197" i="1"/>
  <c r="W197" i="1"/>
  <c r="V197" i="1"/>
  <c r="T197" i="1"/>
  <c r="S197" i="1"/>
  <c r="R197" i="1"/>
  <c r="Q197" i="1"/>
  <c r="P197" i="1"/>
  <c r="O197" i="1"/>
  <c r="M197" i="1"/>
  <c r="L197" i="1"/>
  <c r="H197" i="1"/>
  <c r="D197" i="1"/>
  <c r="C197" i="1"/>
  <c r="BX196" i="1"/>
  <c r="BU196" i="1"/>
  <c r="BE196" i="1"/>
  <c r="BA196" i="1"/>
  <c r="AZ196" i="1"/>
  <c r="AV196" i="1"/>
  <c r="AQ196" i="1"/>
  <c r="AP196" i="1"/>
  <c r="AK196" i="1"/>
  <c r="BS196" i="1" s="1"/>
  <c r="AJ196" i="1"/>
  <c r="AF196" i="1"/>
  <c r="AE196" i="1"/>
  <c r="Z196" i="1"/>
  <c r="U196" i="1"/>
  <c r="N196" i="1"/>
  <c r="J196" i="1"/>
  <c r="I196" i="1"/>
  <c r="BX195" i="1"/>
  <c r="BU195" i="1"/>
  <c r="BE195" i="1"/>
  <c r="BA195" i="1"/>
  <c r="AZ195" i="1"/>
  <c r="AV195" i="1"/>
  <c r="AQ195" i="1"/>
  <c r="AP195" i="1"/>
  <c r="AP194" i="1" s="1"/>
  <c r="AK195" i="1"/>
  <c r="AJ195" i="1"/>
  <c r="BR195" i="1" s="1"/>
  <c r="AF195" i="1"/>
  <c r="AE195" i="1"/>
  <c r="Z195" i="1"/>
  <c r="U195" i="1"/>
  <c r="N195" i="1"/>
  <c r="J195" i="1"/>
  <c r="I195" i="1"/>
  <c r="BW194" i="1"/>
  <c r="BW193" i="1" s="1"/>
  <c r="BV194" i="1"/>
  <c r="BV193" i="1" s="1"/>
  <c r="BF194" i="1"/>
  <c r="BD194" i="1"/>
  <c r="BC194" i="1"/>
  <c r="BC193" i="1" s="1"/>
  <c r="AY194" i="1"/>
  <c r="AU194" i="1"/>
  <c r="AT194" i="1"/>
  <c r="AO194" i="1"/>
  <c r="AN194" i="1"/>
  <c r="AM194" i="1"/>
  <c r="AF194" i="1"/>
  <c r="AD194" i="1"/>
  <c r="AC194" i="1"/>
  <c r="AB194" i="1"/>
  <c r="AA194" i="1"/>
  <c r="Y194" i="1"/>
  <c r="X194" i="1"/>
  <c r="W194" i="1"/>
  <c r="V194" i="1"/>
  <c r="T194" i="1"/>
  <c r="S194" i="1"/>
  <c r="R194" i="1"/>
  <c r="P194" i="1"/>
  <c r="O194" i="1"/>
  <c r="M194" i="1"/>
  <c r="L194" i="1"/>
  <c r="H194" i="1"/>
  <c r="D194" i="1"/>
  <c r="C194" i="1"/>
  <c r="BV192" i="1"/>
  <c r="BX192" i="1" s="1"/>
  <c r="BU192" i="1"/>
  <c r="BE192" i="1"/>
  <c r="BA192" i="1"/>
  <c r="BH192" i="1" s="1"/>
  <c r="AZ192" i="1"/>
  <c r="AV192" i="1"/>
  <c r="AQ192" i="1"/>
  <c r="AP192" i="1"/>
  <c r="AR192" i="1" s="1"/>
  <c r="AJ192" i="1"/>
  <c r="BR192" i="1" s="1"/>
  <c r="AF192" i="1"/>
  <c r="AD192" i="1"/>
  <c r="Z192" i="1"/>
  <c r="U192" i="1"/>
  <c r="M192" i="1"/>
  <c r="L192" i="1"/>
  <c r="I192" i="1"/>
  <c r="BX191" i="1"/>
  <c r="BU191" i="1"/>
  <c r="BE191" i="1"/>
  <c r="BA191" i="1"/>
  <c r="AZ191" i="1"/>
  <c r="AV191" i="1"/>
  <c r="AQ191" i="1"/>
  <c r="AP191" i="1"/>
  <c r="AK191" i="1"/>
  <c r="BS191" i="1" s="1"/>
  <c r="BP191" i="1" s="1"/>
  <c r="AJ191" i="1"/>
  <c r="AF191" i="1"/>
  <c r="AE191" i="1"/>
  <c r="Z191" i="1"/>
  <c r="U191" i="1"/>
  <c r="N191" i="1"/>
  <c r="J191" i="1"/>
  <c r="I191" i="1"/>
  <c r="BX190" i="1"/>
  <c r="BU190" i="1"/>
  <c r="BE190" i="1"/>
  <c r="BA190" i="1"/>
  <c r="AZ190" i="1"/>
  <c r="AV190" i="1"/>
  <c r="AQ190" i="1"/>
  <c r="AP190" i="1"/>
  <c r="AK190" i="1"/>
  <c r="BS190" i="1" s="1"/>
  <c r="AJ190" i="1"/>
  <c r="AF190" i="1"/>
  <c r="AE190" i="1"/>
  <c r="Z190" i="1"/>
  <c r="U190" i="1"/>
  <c r="N190" i="1"/>
  <c r="J190" i="1"/>
  <c r="I190" i="1"/>
  <c r="BV189" i="1"/>
  <c r="BX189" i="1" s="1"/>
  <c r="BU189" i="1"/>
  <c r="BE189" i="1"/>
  <c r="BA189" i="1"/>
  <c r="AZ189" i="1"/>
  <c r="AV189" i="1"/>
  <c r="AQ189" i="1"/>
  <c r="AP189" i="1"/>
  <c r="AK189" i="1"/>
  <c r="AJ189" i="1"/>
  <c r="AG189" i="1" s="1"/>
  <c r="AF189" i="1"/>
  <c r="AE189" i="1"/>
  <c r="Z189" i="1"/>
  <c r="U189" i="1"/>
  <c r="N189" i="1"/>
  <c r="J189" i="1"/>
  <c r="I189" i="1"/>
  <c r="BV188" i="1"/>
  <c r="BX188" i="1" s="1"/>
  <c r="BU188" i="1"/>
  <c r="BE188" i="1"/>
  <c r="BA188" i="1"/>
  <c r="AZ188" i="1"/>
  <c r="AV188" i="1"/>
  <c r="AQ188" i="1"/>
  <c r="AP188" i="1"/>
  <c r="AK188" i="1"/>
  <c r="BS188" i="1" s="1"/>
  <c r="AJ188" i="1"/>
  <c r="AF188" i="1"/>
  <c r="AE188" i="1"/>
  <c r="Z188" i="1"/>
  <c r="U188" i="1"/>
  <c r="N188" i="1"/>
  <c r="J188" i="1"/>
  <c r="I188" i="1"/>
  <c r="BV187" i="1"/>
  <c r="BX187" i="1" s="1"/>
  <c r="BU187" i="1"/>
  <c r="BE187" i="1"/>
  <c r="BA187" i="1"/>
  <c r="AZ187" i="1"/>
  <c r="AV187" i="1"/>
  <c r="AQ187" i="1"/>
  <c r="AP187" i="1"/>
  <c r="AR187" i="1" s="1"/>
  <c r="AK187" i="1"/>
  <c r="AJ187" i="1"/>
  <c r="AF187" i="1"/>
  <c r="AE187" i="1"/>
  <c r="Z187" i="1"/>
  <c r="U187" i="1"/>
  <c r="N187" i="1"/>
  <c r="J187" i="1"/>
  <c r="I187" i="1"/>
  <c r="K187" i="1" s="1"/>
  <c r="BX186" i="1"/>
  <c r="BU186" i="1"/>
  <c r="BE186" i="1"/>
  <c r="BA186" i="1"/>
  <c r="AZ186" i="1"/>
  <c r="AU186" i="1"/>
  <c r="AQ186" i="1" s="1"/>
  <c r="AP186" i="1"/>
  <c r="AK186" i="1"/>
  <c r="AJ186" i="1"/>
  <c r="AF186" i="1"/>
  <c r="AE186" i="1"/>
  <c r="Z186" i="1"/>
  <c r="U186" i="1"/>
  <c r="N186" i="1"/>
  <c r="J186" i="1"/>
  <c r="I186" i="1"/>
  <c r="BX185" i="1"/>
  <c r="BU185" i="1"/>
  <c r="BE185" i="1"/>
  <c r="BA185" i="1"/>
  <c r="AZ185" i="1"/>
  <c r="AV185" i="1"/>
  <c r="AQ185" i="1"/>
  <c r="AP185" i="1"/>
  <c r="AK185" i="1"/>
  <c r="AJ185" i="1"/>
  <c r="BR185" i="1" s="1"/>
  <c r="AF185" i="1"/>
  <c r="AE185" i="1"/>
  <c r="Z185" i="1"/>
  <c r="U185" i="1"/>
  <c r="N185" i="1"/>
  <c r="J185" i="1"/>
  <c r="I185" i="1"/>
  <c r="BV184" i="1"/>
  <c r="BX184" i="1" s="1"/>
  <c r="BU184" i="1"/>
  <c r="BE184" i="1"/>
  <c r="BA184" i="1"/>
  <c r="AZ184" i="1"/>
  <c r="AU184" i="1"/>
  <c r="AQ184" i="1" s="1"/>
  <c r="AP184" i="1"/>
  <c r="AJ184" i="1"/>
  <c r="AF184" i="1"/>
  <c r="AD184" i="1"/>
  <c r="AK184" i="1" s="1"/>
  <c r="AH184" i="1" s="1"/>
  <c r="Z184" i="1"/>
  <c r="U184" i="1"/>
  <c r="N184" i="1"/>
  <c r="J184" i="1"/>
  <c r="I184" i="1"/>
  <c r="BX183" i="1"/>
  <c r="BU183" i="1"/>
  <c r="BE183" i="1"/>
  <c r="BA183" i="1"/>
  <c r="AZ183" i="1"/>
  <c r="AV183" i="1"/>
  <c r="AQ183" i="1"/>
  <c r="AP183" i="1"/>
  <c r="AK183" i="1"/>
  <c r="AJ183" i="1"/>
  <c r="AF183" i="1"/>
  <c r="AE183" i="1"/>
  <c r="Z183" i="1"/>
  <c r="U183" i="1"/>
  <c r="N183" i="1"/>
  <c r="J183" i="1"/>
  <c r="I183" i="1"/>
  <c r="BV182" i="1"/>
  <c r="BX182" i="1" s="1"/>
  <c r="BU182" i="1"/>
  <c r="BH182" i="1"/>
  <c r="BE182" i="1"/>
  <c r="BA182" i="1"/>
  <c r="AZ182" i="1"/>
  <c r="AV182" i="1"/>
  <c r="AQ182" i="1"/>
  <c r="AP182" i="1"/>
  <c r="AK182" i="1"/>
  <c r="BS182" i="1" s="1"/>
  <c r="BP182" i="1" s="1"/>
  <c r="AJ182" i="1"/>
  <c r="AF182" i="1"/>
  <c r="AE182" i="1"/>
  <c r="Z182" i="1"/>
  <c r="U182" i="1"/>
  <c r="N182" i="1"/>
  <c r="J182" i="1"/>
  <c r="I182" i="1"/>
  <c r="BX181" i="1"/>
  <c r="BU181" i="1"/>
  <c r="BD181" i="1"/>
  <c r="BA181" i="1" s="1"/>
  <c r="AZ181" i="1"/>
  <c r="AV181" i="1"/>
  <c r="AQ181" i="1"/>
  <c r="AP181" i="1"/>
  <c r="AK181" i="1"/>
  <c r="BS181" i="1" s="1"/>
  <c r="AJ181" i="1"/>
  <c r="AF181" i="1"/>
  <c r="AE181" i="1"/>
  <c r="Z181" i="1"/>
  <c r="U181" i="1"/>
  <c r="N181" i="1"/>
  <c r="J181" i="1"/>
  <c r="I181" i="1"/>
  <c r="BV180" i="1"/>
  <c r="BX180" i="1" s="1"/>
  <c r="BU180" i="1"/>
  <c r="BE180" i="1"/>
  <c r="BA180" i="1"/>
  <c r="AZ180" i="1"/>
  <c r="AV180" i="1"/>
  <c r="AQ180" i="1"/>
  <c r="AP180" i="1"/>
  <c r="AK180" i="1"/>
  <c r="AJ180" i="1"/>
  <c r="AF180" i="1"/>
  <c r="AE180" i="1"/>
  <c r="Z180" i="1"/>
  <c r="U180" i="1"/>
  <c r="N180" i="1"/>
  <c r="J180" i="1"/>
  <c r="I180" i="1"/>
  <c r="BX179" i="1"/>
  <c r="BU179" i="1"/>
  <c r="BE179" i="1"/>
  <c r="BA179" i="1"/>
  <c r="AZ179" i="1"/>
  <c r="AV179" i="1"/>
  <c r="AQ179" i="1"/>
  <c r="AP179" i="1"/>
  <c r="AK179" i="1"/>
  <c r="AJ179" i="1"/>
  <c r="AF179" i="1"/>
  <c r="AE179" i="1"/>
  <c r="Z179" i="1"/>
  <c r="U179" i="1"/>
  <c r="N179" i="1"/>
  <c r="J179" i="1"/>
  <c r="I179" i="1"/>
  <c r="BV178" i="1"/>
  <c r="BX178" i="1" s="1"/>
  <c r="BU178" i="1"/>
  <c r="BE178" i="1"/>
  <c r="BA178" i="1"/>
  <c r="AZ178" i="1"/>
  <c r="AV178" i="1"/>
  <c r="AQ178" i="1"/>
  <c r="BH178" i="1" s="1"/>
  <c r="AP178" i="1"/>
  <c r="AK178" i="1"/>
  <c r="AJ178" i="1"/>
  <c r="AG178" i="1" s="1"/>
  <c r="AF178" i="1"/>
  <c r="AE178" i="1"/>
  <c r="Z178" i="1"/>
  <c r="U178" i="1"/>
  <c r="N178" i="1"/>
  <c r="J178" i="1"/>
  <c r="I178" i="1"/>
  <c r="BV177" i="1"/>
  <c r="BX177" i="1" s="1"/>
  <c r="BU177" i="1"/>
  <c r="BE177" i="1"/>
  <c r="BA177" i="1"/>
  <c r="AZ177" i="1"/>
  <c r="AV177" i="1"/>
  <c r="AQ177" i="1"/>
  <c r="AP177" i="1"/>
  <c r="AK177" i="1"/>
  <c r="BS177" i="1" s="1"/>
  <c r="AJ177" i="1"/>
  <c r="AF177" i="1"/>
  <c r="AE177" i="1"/>
  <c r="Z177" i="1"/>
  <c r="U177" i="1"/>
  <c r="N177" i="1"/>
  <c r="J177" i="1"/>
  <c r="I177" i="1"/>
  <c r="BV176" i="1"/>
  <c r="BX176" i="1" s="1"/>
  <c r="BU176" i="1"/>
  <c r="BE176" i="1"/>
  <c r="BA176" i="1"/>
  <c r="AZ176" i="1"/>
  <c r="AV176" i="1"/>
  <c r="AQ176" i="1"/>
  <c r="AP176" i="1"/>
  <c r="AR176" i="1" s="1"/>
  <c r="AJ176" i="1"/>
  <c r="AF176" i="1"/>
  <c r="AD176" i="1"/>
  <c r="Z176" i="1"/>
  <c r="U176" i="1"/>
  <c r="N176" i="1"/>
  <c r="J176" i="1"/>
  <c r="I176" i="1"/>
  <c r="BV175" i="1"/>
  <c r="BX175" i="1" s="1"/>
  <c r="BU175" i="1"/>
  <c r="BE175" i="1"/>
  <c r="BA175" i="1"/>
  <c r="BB175" i="1" s="1"/>
  <c r="AZ175" i="1"/>
  <c r="AV175" i="1"/>
  <c r="AQ175" i="1"/>
  <c r="AP175" i="1"/>
  <c r="BG175" i="1" s="1"/>
  <c r="AJ175" i="1"/>
  <c r="AF175" i="1"/>
  <c r="AD175" i="1"/>
  <c r="AK175" i="1" s="1"/>
  <c r="BS175" i="1" s="1"/>
  <c r="BP175" i="1" s="1"/>
  <c r="Z175" i="1"/>
  <c r="U175" i="1"/>
  <c r="N175" i="1"/>
  <c r="J175" i="1"/>
  <c r="I175" i="1"/>
  <c r="BX174" i="1"/>
  <c r="BU174" i="1"/>
  <c r="BE174" i="1"/>
  <c r="BA174" i="1"/>
  <c r="AZ174" i="1"/>
  <c r="AV174" i="1"/>
  <c r="AQ174" i="1"/>
  <c r="AP174" i="1"/>
  <c r="AK174" i="1"/>
  <c r="AJ174" i="1"/>
  <c r="AF174" i="1"/>
  <c r="AE174" i="1"/>
  <c r="Z174" i="1"/>
  <c r="U174" i="1"/>
  <c r="N174" i="1"/>
  <c r="J174" i="1"/>
  <c r="I174" i="1"/>
  <c r="BV173" i="1"/>
  <c r="BX173" i="1" s="1"/>
  <c r="BU173" i="1"/>
  <c r="BE173" i="1"/>
  <c r="BA173" i="1"/>
  <c r="AZ173" i="1"/>
  <c r="AV173" i="1"/>
  <c r="AQ173" i="1"/>
  <c r="AP173" i="1"/>
  <c r="AK173" i="1"/>
  <c r="BS173" i="1" s="1"/>
  <c r="AJ173" i="1"/>
  <c r="AF173" i="1"/>
  <c r="AE173" i="1"/>
  <c r="Z173" i="1"/>
  <c r="U173" i="1"/>
  <c r="N173" i="1"/>
  <c r="J173" i="1"/>
  <c r="I173" i="1"/>
  <c r="BV172" i="1"/>
  <c r="BX172" i="1" s="1"/>
  <c r="BU172" i="1"/>
  <c r="BE172" i="1"/>
  <c r="BA172" i="1"/>
  <c r="AZ172" i="1"/>
  <c r="AV172" i="1"/>
  <c r="AQ172" i="1"/>
  <c r="AP172" i="1"/>
  <c r="AK172" i="1"/>
  <c r="AJ172" i="1"/>
  <c r="BR172" i="1" s="1"/>
  <c r="BO172" i="1" s="1"/>
  <c r="AF172" i="1"/>
  <c r="AE172" i="1"/>
  <c r="Z172" i="1"/>
  <c r="U172" i="1"/>
  <c r="N172" i="1"/>
  <c r="J172" i="1"/>
  <c r="I172" i="1"/>
  <c r="BV171" i="1"/>
  <c r="BX171" i="1" s="1"/>
  <c r="BU171" i="1"/>
  <c r="BE171" i="1"/>
  <c r="BA171" i="1"/>
  <c r="BB171" i="1" s="1"/>
  <c r="AZ171" i="1"/>
  <c r="AV171" i="1"/>
  <c r="AQ171" i="1"/>
  <c r="AP171" i="1"/>
  <c r="BG171" i="1" s="1"/>
  <c r="AK171" i="1"/>
  <c r="BS171" i="1" s="1"/>
  <c r="AJ171" i="1"/>
  <c r="AF171" i="1"/>
  <c r="AE171" i="1"/>
  <c r="Z171" i="1"/>
  <c r="U171" i="1"/>
  <c r="N171" i="1"/>
  <c r="J171" i="1"/>
  <c r="I171" i="1"/>
  <c r="BV170" i="1"/>
  <c r="BX170" i="1" s="1"/>
  <c r="BU170" i="1"/>
  <c r="BE170" i="1"/>
  <c r="BA170" i="1"/>
  <c r="AZ170" i="1"/>
  <c r="AV170" i="1"/>
  <c r="AQ170" i="1"/>
  <c r="AP170" i="1"/>
  <c r="AK170" i="1"/>
  <c r="BS170" i="1" s="1"/>
  <c r="AJ170" i="1"/>
  <c r="AF170" i="1"/>
  <c r="AE170" i="1"/>
  <c r="Z170" i="1"/>
  <c r="U170" i="1"/>
  <c r="N170" i="1"/>
  <c r="J170" i="1"/>
  <c r="I170" i="1"/>
  <c r="BV169" i="1"/>
  <c r="BX169" i="1" s="1"/>
  <c r="BU169" i="1"/>
  <c r="BE169" i="1"/>
  <c r="BA169" i="1"/>
  <c r="AZ169" i="1"/>
  <c r="AV169" i="1"/>
  <c r="AQ169" i="1"/>
  <c r="AP169" i="1"/>
  <c r="AK169" i="1"/>
  <c r="BS169" i="1" s="1"/>
  <c r="AJ169" i="1"/>
  <c r="AF169" i="1"/>
  <c r="AE169" i="1"/>
  <c r="Z169" i="1"/>
  <c r="U169" i="1"/>
  <c r="N169" i="1"/>
  <c r="J169" i="1"/>
  <c r="I169" i="1"/>
  <c r="BX168" i="1"/>
  <c r="BV168" i="1"/>
  <c r="BU168" i="1"/>
  <c r="BE168" i="1"/>
  <c r="BA168" i="1"/>
  <c r="AZ168" i="1"/>
  <c r="AV168" i="1"/>
  <c r="AQ168" i="1"/>
  <c r="AP168" i="1"/>
  <c r="AK168" i="1"/>
  <c r="AH168" i="1" s="1"/>
  <c r="AJ168" i="1"/>
  <c r="AF168" i="1"/>
  <c r="AE168" i="1"/>
  <c r="Z168" i="1"/>
  <c r="U168" i="1"/>
  <c r="N168" i="1"/>
  <c r="J168" i="1"/>
  <c r="I168" i="1"/>
  <c r="BV167" i="1"/>
  <c r="BX167" i="1" s="1"/>
  <c r="BU167" i="1"/>
  <c r="BE167" i="1"/>
  <c r="BA167" i="1"/>
  <c r="AZ167" i="1"/>
  <c r="BB167" i="1" s="1"/>
  <c r="AV167" i="1"/>
  <c r="AQ167" i="1"/>
  <c r="AP167" i="1"/>
  <c r="AK167" i="1"/>
  <c r="BS167" i="1" s="1"/>
  <c r="AJ167" i="1"/>
  <c r="AF167" i="1"/>
  <c r="AE167" i="1"/>
  <c r="Z167" i="1"/>
  <c r="U167" i="1"/>
  <c r="N167" i="1"/>
  <c r="J167" i="1"/>
  <c r="I167" i="1"/>
  <c r="BV166" i="1"/>
  <c r="BX166" i="1" s="1"/>
  <c r="BU166" i="1"/>
  <c r="BE166" i="1"/>
  <c r="BA166" i="1"/>
  <c r="AZ166" i="1"/>
  <c r="AV166" i="1"/>
  <c r="AQ166" i="1"/>
  <c r="AP166" i="1"/>
  <c r="AK166" i="1"/>
  <c r="AJ166" i="1"/>
  <c r="BR166" i="1" s="1"/>
  <c r="BO166" i="1" s="1"/>
  <c r="AF166" i="1"/>
  <c r="AE166" i="1"/>
  <c r="Z166" i="1"/>
  <c r="U166" i="1"/>
  <c r="N166" i="1"/>
  <c r="J166" i="1"/>
  <c r="I166" i="1"/>
  <c r="BV165" i="1"/>
  <c r="BX165" i="1" s="1"/>
  <c r="BU165" i="1"/>
  <c r="BE165" i="1"/>
  <c r="BA165" i="1"/>
  <c r="AZ165" i="1"/>
  <c r="AV165" i="1"/>
  <c r="AQ165" i="1"/>
  <c r="AP165" i="1"/>
  <c r="AK165" i="1"/>
  <c r="BS165" i="1" s="1"/>
  <c r="AJ165" i="1"/>
  <c r="AF165" i="1"/>
  <c r="AE165" i="1"/>
  <c r="Z165" i="1"/>
  <c r="U165" i="1"/>
  <c r="N165" i="1"/>
  <c r="J165" i="1"/>
  <c r="I165" i="1"/>
  <c r="BV164" i="1"/>
  <c r="BX164" i="1" s="1"/>
  <c r="BU164" i="1"/>
  <c r="BE164" i="1"/>
  <c r="BA164" i="1"/>
  <c r="AZ164" i="1"/>
  <c r="AU164" i="1"/>
  <c r="AP164" i="1"/>
  <c r="AJ164" i="1"/>
  <c r="BR164" i="1" s="1"/>
  <c r="BO164" i="1" s="1"/>
  <c r="AF164" i="1"/>
  <c r="AD164" i="1"/>
  <c r="AK164" i="1" s="1"/>
  <c r="AH164" i="1" s="1"/>
  <c r="Z164" i="1"/>
  <c r="U164" i="1"/>
  <c r="M164" i="1"/>
  <c r="J164" i="1" s="1"/>
  <c r="L164" i="1"/>
  <c r="BV163" i="1"/>
  <c r="BX163" i="1" s="1"/>
  <c r="BU163" i="1"/>
  <c r="BE163" i="1"/>
  <c r="BA163" i="1"/>
  <c r="AZ163" i="1"/>
  <c r="AU163" i="1"/>
  <c r="AP163" i="1"/>
  <c r="AJ163" i="1"/>
  <c r="BR163" i="1" s="1"/>
  <c r="AG163" i="1"/>
  <c r="AF163" i="1"/>
  <c r="AD163" i="1"/>
  <c r="AE163" i="1" s="1"/>
  <c r="Z163" i="1"/>
  <c r="U163" i="1"/>
  <c r="M163" i="1"/>
  <c r="L163" i="1"/>
  <c r="BX162" i="1"/>
  <c r="BU162" i="1"/>
  <c r="BE162" i="1"/>
  <c r="BA162" i="1"/>
  <c r="AZ162" i="1"/>
  <c r="AV162" i="1"/>
  <c r="AQ162" i="1"/>
  <c r="AP162" i="1"/>
  <c r="AK162" i="1"/>
  <c r="AJ162" i="1"/>
  <c r="AG162" i="1" s="1"/>
  <c r="AF162" i="1"/>
  <c r="AE162" i="1"/>
  <c r="Z162" i="1"/>
  <c r="U162" i="1"/>
  <c r="N162" i="1"/>
  <c r="J162" i="1"/>
  <c r="I162" i="1"/>
  <c r="BX161" i="1"/>
  <c r="BU161" i="1"/>
  <c r="BE161" i="1"/>
  <c r="BA161" i="1"/>
  <c r="AZ161" i="1"/>
  <c r="AV161" i="1"/>
  <c r="AQ161" i="1"/>
  <c r="AP161" i="1"/>
  <c r="AK161" i="1"/>
  <c r="AJ161" i="1"/>
  <c r="AF161" i="1"/>
  <c r="AE161" i="1"/>
  <c r="Z161" i="1"/>
  <c r="U161" i="1"/>
  <c r="N161" i="1"/>
  <c r="J161" i="1"/>
  <c r="I161" i="1"/>
  <c r="BX160" i="1"/>
  <c r="BU160" i="1"/>
  <c r="BE160" i="1"/>
  <c r="BA160" i="1"/>
  <c r="AZ160" i="1"/>
  <c r="AV160" i="1"/>
  <c r="AQ160" i="1"/>
  <c r="AP160" i="1"/>
  <c r="AK160" i="1"/>
  <c r="AH160" i="1" s="1"/>
  <c r="AJ160" i="1"/>
  <c r="AF160" i="1"/>
  <c r="AE160" i="1"/>
  <c r="Z160" i="1"/>
  <c r="U160" i="1"/>
  <c r="N160" i="1"/>
  <c r="J160" i="1"/>
  <c r="I160" i="1"/>
  <c r="BX159" i="1"/>
  <c r="BU159" i="1"/>
  <c r="BE159" i="1"/>
  <c r="BA159" i="1"/>
  <c r="AZ159" i="1"/>
  <c r="AV159" i="1"/>
  <c r="AQ159" i="1"/>
  <c r="AP159" i="1"/>
  <c r="AK159" i="1"/>
  <c r="BS159" i="1" s="1"/>
  <c r="AJ159" i="1"/>
  <c r="AF159" i="1"/>
  <c r="AE159" i="1"/>
  <c r="Z159" i="1"/>
  <c r="U159" i="1"/>
  <c r="N159" i="1"/>
  <c r="J159" i="1"/>
  <c r="I159" i="1"/>
  <c r="BX158" i="1"/>
  <c r="BU158" i="1"/>
  <c r="BE158" i="1"/>
  <c r="BA158" i="1"/>
  <c r="AZ158" i="1"/>
  <c r="AV158" i="1"/>
  <c r="AQ158" i="1"/>
  <c r="AP158" i="1"/>
  <c r="AK158" i="1"/>
  <c r="AJ158" i="1"/>
  <c r="BR158" i="1" s="1"/>
  <c r="AF158" i="1"/>
  <c r="AE158" i="1"/>
  <c r="Z158" i="1"/>
  <c r="U158" i="1"/>
  <c r="N158" i="1"/>
  <c r="J158" i="1"/>
  <c r="I158" i="1"/>
  <c r="BX157" i="1"/>
  <c r="BU157" i="1"/>
  <c r="BE157" i="1"/>
  <c r="BA157" i="1"/>
  <c r="AZ157" i="1"/>
  <c r="AV157" i="1"/>
  <c r="AQ157" i="1"/>
  <c r="AP157" i="1"/>
  <c r="AK157" i="1"/>
  <c r="AJ157" i="1"/>
  <c r="AF157" i="1"/>
  <c r="AE157" i="1"/>
  <c r="Z157" i="1"/>
  <c r="U157" i="1"/>
  <c r="N157" i="1"/>
  <c r="J157" i="1"/>
  <c r="I157" i="1"/>
  <c r="BX156" i="1"/>
  <c r="BU156" i="1"/>
  <c r="BE156" i="1"/>
  <c r="BA156" i="1"/>
  <c r="AZ156" i="1"/>
  <c r="AV156" i="1"/>
  <c r="AQ156" i="1"/>
  <c r="AP156" i="1"/>
  <c r="AK156" i="1"/>
  <c r="AJ156" i="1"/>
  <c r="AF156" i="1"/>
  <c r="AE156" i="1"/>
  <c r="Z156" i="1"/>
  <c r="U156" i="1"/>
  <c r="N156" i="1"/>
  <c r="K156" i="1"/>
  <c r="J156" i="1"/>
  <c r="I156" i="1"/>
  <c r="BX155" i="1"/>
  <c r="BU155" i="1"/>
  <c r="BE155" i="1"/>
  <c r="BA155" i="1"/>
  <c r="AZ155" i="1"/>
  <c r="AV155" i="1"/>
  <c r="AQ155" i="1"/>
  <c r="AP155" i="1"/>
  <c r="AK155" i="1"/>
  <c r="BS155" i="1" s="1"/>
  <c r="AJ155" i="1"/>
  <c r="AF155" i="1"/>
  <c r="AE155" i="1"/>
  <c r="Z155" i="1"/>
  <c r="U155" i="1"/>
  <c r="N155" i="1"/>
  <c r="J155" i="1"/>
  <c r="I155" i="1"/>
  <c r="BX154" i="1"/>
  <c r="BU154" i="1"/>
  <c r="BE154" i="1"/>
  <c r="BA154" i="1"/>
  <c r="AZ154" i="1"/>
  <c r="AV154" i="1"/>
  <c r="AQ154" i="1"/>
  <c r="BH154" i="1" s="1"/>
  <c r="AP154" i="1"/>
  <c r="AK154" i="1"/>
  <c r="AJ154" i="1"/>
  <c r="AF154" i="1"/>
  <c r="AE154" i="1"/>
  <c r="Z154" i="1"/>
  <c r="U154" i="1"/>
  <c r="N154" i="1"/>
  <c r="J154" i="1"/>
  <c r="I154" i="1"/>
  <c r="BX153" i="1"/>
  <c r="BU153" i="1"/>
  <c r="BE153" i="1"/>
  <c r="BA153" i="1"/>
  <c r="AZ153" i="1"/>
  <c r="AV153" i="1"/>
  <c r="AQ153" i="1"/>
  <c r="AP153" i="1"/>
  <c r="BG153" i="1" s="1"/>
  <c r="AK153" i="1"/>
  <c r="AH153" i="1" s="1"/>
  <c r="AJ153" i="1"/>
  <c r="AF153" i="1"/>
  <c r="AE153" i="1"/>
  <c r="Z153" i="1"/>
  <c r="U153" i="1"/>
  <c r="N153" i="1"/>
  <c r="J153" i="1"/>
  <c r="K153" i="1" s="1"/>
  <c r="I153" i="1"/>
  <c r="BX152" i="1"/>
  <c r="BU152" i="1"/>
  <c r="BE152" i="1"/>
  <c r="BA152" i="1"/>
  <c r="AZ152" i="1"/>
  <c r="AV152" i="1"/>
  <c r="AQ152" i="1"/>
  <c r="AP152" i="1"/>
  <c r="AK152" i="1"/>
  <c r="AJ152" i="1"/>
  <c r="AF152" i="1"/>
  <c r="AE152" i="1"/>
  <c r="Z152" i="1"/>
  <c r="U152" i="1"/>
  <c r="N152" i="1"/>
  <c r="J152" i="1"/>
  <c r="I152" i="1"/>
  <c r="BX151" i="1"/>
  <c r="BU151" i="1"/>
  <c r="BE151" i="1"/>
  <c r="BA151" i="1"/>
  <c r="AZ151" i="1"/>
  <c r="AV151" i="1"/>
  <c r="AQ151" i="1"/>
  <c r="AP151" i="1"/>
  <c r="BG151" i="1" s="1"/>
  <c r="AK151" i="1"/>
  <c r="BS151" i="1" s="1"/>
  <c r="AJ151" i="1"/>
  <c r="AF151" i="1"/>
  <c r="AE151" i="1"/>
  <c r="Z151" i="1"/>
  <c r="U151" i="1"/>
  <c r="N151" i="1"/>
  <c r="J151" i="1"/>
  <c r="I151" i="1"/>
  <c r="BX150" i="1"/>
  <c r="BU150" i="1"/>
  <c r="BE150" i="1"/>
  <c r="BA150" i="1"/>
  <c r="AZ150" i="1"/>
  <c r="BB150" i="1" s="1"/>
  <c r="AV150" i="1"/>
  <c r="AQ150" i="1"/>
  <c r="AP150" i="1"/>
  <c r="AK150" i="1"/>
  <c r="AJ150" i="1"/>
  <c r="AG150" i="1" s="1"/>
  <c r="AF150" i="1"/>
  <c r="AE150" i="1"/>
  <c r="Z150" i="1"/>
  <c r="U150" i="1"/>
  <c r="N150" i="1"/>
  <c r="J150" i="1"/>
  <c r="I150" i="1"/>
  <c r="BX149" i="1"/>
  <c r="BU149" i="1"/>
  <c r="BE149" i="1"/>
  <c r="BA149" i="1"/>
  <c r="AZ149" i="1"/>
  <c r="AV149" i="1"/>
  <c r="AQ149" i="1"/>
  <c r="AP149" i="1"/>
  <c r="BG149" i="1" s="1"/>
  <c r="AK149" i="1"/>
  <c r="AJ149" i="1"/>
  <c r="BR149" i="1" s="1"/>
  <c r="BO149" i="1" s="1"/>
  <c r="AF149" i="1"/>
  <c r="AE149" i="1"/>
  <c r="Z149" i="1"/>
  <c r="U149" i="1"/>
  <c r="N149" i="1"/>
  <c r="J149" i="1"/>
  <c r="I149" i="1"/>
  <c r="BX148" i="1"/>
  <c r="BU148" i="1"/>
  <c r="BE148" i="1"/>
  <c r="BA148" i="1"/>
  <c r="BB148" i="1" s="1"/>
  <c r="AZ148" i="1"/>
  <c r="AV148" i="1"/>
  <c r="AQ148" i="1"/>
  <c r="AP148" i="1"/>
  <c r="AK148" i="1"/>
  <c r="BS148" i="1" s="1"/>
  <c r="AJ148" i="1"/>
  <c r="AF148" i="1"/>
  <c r="AE148" i="1"/>
  <c r="Z148" i="1"/>
  <c r="U148" i="1"/>
  <c r="N148" i="1"/>
  <c r="J148" i="1"/>
  <c r="I148" i="1"/>
  <c r="BX147" i="1"/>
  <c r="BU147" i="1"/>
  <c r="BE147" i="1"/>
  <c r="BA147" i="1"/>
  <c r="AZ147" i="1"/>
  <c r="BB147" i="1" s="1"/>
  <c r="AV147" i="1"/>
  <c r="AQ147" i="1"/>
  <c r="AP147" i="1"/>
  <c r="AK147" i="1"/>
  <c r="BS147" i="1" s="1"/>
  <c r="AJ147" i="1"/>
  <c r="AF147" i="1"/>
  <c r="AE147" i="1"/>
  <c r="Z147" i="1"/>
  <c r="U147" i="1"/>
  <c r="N147" i="1"/>
  <c r="J147" i="1"/>
  <c r="I147" i="1"/>
  <c r="BX146" i="1"/>
  <c r="BU146" i="1"/>
  <c r="BE146" i="1"/>
  <c r="BA146" i="1"/>
  <c r="AZ146" i="1"/>
  <c r="AV146" i="1"/>
  <c r="AQ146" i="1"/>
  <c r="AP146" i="1"/>
  <c r="AK146" i="1"/>
  <c r="AJ146" i="1"/>
  <c r="BR146" i="1" s="1"/>
  <c r="AF146" i="1"/>
  <c r="AE146" i="1"/>
  <c r="Z146" i="1"/>
  <c r="U146" i="1"/>
  <c r="N146" i="1"/>
  <c r="J146" i="1"/>
  <c r="I146" i="1"/>
  <c r="BX145" i="1"/>
  <c r="BU145" i="1"/>
  <c r="BE145" i="1"/>
  <c r="BA145" i="1"/>
  <c r="AZ145" i="1"/>
  <c r="AV145" i="1"/>
  <c r="AQ145" i="1"/>
  <c r="AP145" i="1"/>
  <c r="AK145" i="1"/>
  <c r="AJ145" i="1"/>
  <c r="AF145" i="1"/>
  <c r="AE145" i="1"/>
  <c r="Z145" i="1"/>
  <c r="U145" i="1"/>
  <c r="N145" i="1"/>
  <c r="J145" i="1"/>
  <c r="I145" i="1"/>
  <c r="BX144" i="1"/>
  <c r="BU144" i="1"/>
  <c r="BE144" i="1"/>
  <c r="BA144" i="1"/>
  <c r="AZ144" i="1"/>
  <c r="AV144" i="1"/>
  <c r="AQ144" i="1"/>
  <c r="BH144" i="1" s="1"/>
  <c r="AP144" i="1"/>
  <c r="AK144" i="1"/>
  <c r="AH144" i="1" s="1"/>
  <c r="AJ144" i="1"/>
  <c r="AL144" i="1" s="1"/>
  <c r="AF144" i="1"/>
  <c r="AE144" i="1"/>
  <c r="Z144" i="1"/>
  <c r="U144" i="1"/>
  <c r="N144" i="1"/>
  <c r="J144" i="1"/>
  <c r="I144" i="1"/>
  <c r="BX143" i="1"/>
  <c r="BU143" i="1"/>
  <c r="BE143" i="1"/>
  <c r="BA143" i="1"/>
  <c r="AZ143" i="1"/>
  <c r="BB143" i="1" s="1"/>
  <c r="AV143" i="1"/>
  <c r="AQ143" i="1"/>
  <c r="AP143" i="1"/>
  <c r="AK143" i="1"/>
  <c r="BS143" i="1" s="1"/>
  <c r="AJ143" i="1"/>
  <c r="AF143" i="1"/>
  <c r="AE143" i="1"/>
  <c r="Z143" i="1"/>
  <c r="U143" i="1"/>
  <c r="N143" i="1"/>
  <c r="J143" i="1"/>
  <c r="I143" i="1"/>
  <c r="K143" i="1" s="1"/>
  <c r="BX142" i="1"/>
  <c r="BU142" i="1"/>
  <c r="BE142" i="1"/>
  <c r="BA142" i="1"/>
  <c r="AZ142" i="1"/>
  <c r="AV142" i="1"/>
  <c r="AQ142" i="1"/>
  <c r="AP142" i="1"/>
  <c r="AK142" i="1"/>
  <c r="AJ142" i="1"/>
  <c r="BR142" i="1" s="1"/>
  <c r="AF142" i="1"/>
  <c r="AE142" i="1"/>
  <c r="Z142" i="1"/>
  <c r="U142" i="1"/>
  <c r="N142" i="1"/>
  <c r="J142" i="1"/>
  <c r="I142" i="1"/>
  <c r="BX141" i="1"/>
  <c r="BU141" i="1"/>
  <c r="BE141" i="1"/>
  <c r="BA141" i="1"/>
  <c r="AZ141" i="1"/>
  <c r="AV141" i="1"/>
  <c r="AQ141" i="1"/>
  <c r="AP141" i="1"/>
  <c r="AK141" i="1"/>
  <c r="BS141" i="1" s="1"/>
  <c r="AJ141" i="1"/>
  <c r="AF141" i="1"/>
  <c r="AE141" i="1"/>
  <c r="Z141" i="1"/>
  <c r="U141" i="1"/>
  <c r="N141" i="1"/>
  <c r="J141" i="1"/>
  <c r="I141" i="1"/>
  <c r="BX140" i="1"/>
  <c r="BU140" i="1"/>
  <c r="BE140" i="1"/>
  <c r="BA140" i="1"/>
  <c r="AZ140" i="1"/>
  <c r="AV140" i="1"/>
  <c r="AQ140" i="1"/>
  <c r="AP140" i="1"/>
  <c r="AK140" i="1"/>
  <c r="AJ140" i="1"/>
  <c r="AF140" i="1"/>
  <c r="AE140" i="1"/>
  <c r="Z140" i="1"/>
  <c r="U140" i="1"/>
  <c r="N140" i="1"/>
  <c r="J140" i="1"/>
  <c r="I140" i="1"/>
  <c r="K140" i="1" s="1"/>
  <c r="BX139" i="1"/>
  <c r="BU139" i="1"/>
  <c r="BE139" i="1"/>
  <c r="BA139" i="1"/>
  <c r="AZ139" i="1"/>
  <c r="AV139" i="1"/>
  <c r="AQ139" i="1"/>
  <c r="AP139" i="1"/>
  <c r="AK139" i="1"/>
  <c r="BS139" i="1" s="1"/>
  <c r="AJ139" i="1"/>
  <c r="AF139" i="1"/>
  <c r="AE139" i="1"/>
  <c r="Z139" i="1"/>
  <c r="U139" i="1"/>
  <c r="N139" i="1"/>
  <c r="J139" i="1"/>
  <c r="I139" i="1"/>
  <c r="BX138" i="1"/>
  <c r="BU138" i="1"/>
  <c r="BE138" i="1"/>
  <c r="BA138" i="1"/>
  <c r="AZ138" i="1"/>
  <c r="AV138" i="1"/>
  <c r="AQ138" i="1"/>
  <c r="BH138" i="1" s="1"/>
  <c r="AP138" i="1"/>
  <c r="AR138" i="1" s="1"/>
  <c r="AK138" i="1"/>
  <c r="AJ138" i="1"/>
  <c r="AF138" i="1"/>
  <c r="AE138" i="1"/>
  <c r="Z138" i="1"/>
  <c r="U138" i="1"/>
  <c r="N138" i="1"/>
  <c r="J138" i="1"/>
  <c r="I138" i="1"/>
  <c r="BX137" i="1"/>
  <c r="BU137" i="1"/>
  <c r="BE137" i="1"/>
  <c r="BA137" i="1"/>
  <c r="AZ137" i="1"/>
  <c r="AV137" i="1"/>
  <c r="AQ137" i="1"/>
  <c r="AP137" i="1"/>
  <c r="AK137" i="1"/>
  <c r="AH137" i="1" s="1"/>
  <c r="AJ137" i="1"/>
  <c r="AF137" i="1"/>
  <c r="AE137" i="1"/>
  <c r="Z137" i="1"/>
  <c r="U137" i="1"/>
  <c r="N137" i="1"/>
  <c r="J137" i="1"/>
  <c r="I137" i="1"/>
  <c r="BX136" i="1"/>
  <c r="BU136" i="1"/>
  <c r="BE136" i="1"/>
  <c r="BA136" i="1"/>
  <c r="AZ136" i="1"/>
  <c r="AV136" i="1"/>
  <c r="AQ136" i="1"/>
  <c r="AP136" i="1"/>
  <c r="AK136" i="1"/>
  <c r="AJ136" i="1"/>
  <c r="AF136" i="1"/>
  <c r="AE136" i="1"/>
  <c r="Z136" i="1"/>
  <c r="U136" i="1"/>
  <c r="N136" i="1"/>
  <c r="J136" i="1"/>
  <c r="I136" i="1"/>
  <c r="K136" i="1" s="1"/>
  <c r="BX135" i="1"/>
  <c r="BU135" i="1"/>
  <c r="BE135" i="1"/>
  <c r="BA135" i="1"/>
  <c r="AZ135" i="1"/>
  <c r="AV135" i="1"/>
  <c r="AQ135" i="1"/>
  <c r="AP135" i="1"/>
  <c r="BG135" i="1" s="1"/>
  <c r="AK135" i="1"/>
  <c r="BS135" i="1" s="1"/>
  <c r="AJ135" i="1"/>
  <c r="AF135" i="1"/>
  <c r="AE135" i="1"/>
  <c r="Z135" i="1"/>
  <c r="U135" i="1"/>
  <c r="N135" i="1"/>
  <c r="J135" i="1"/>
  <c r="I135" i="1"/>
  <c r="BX134" i="1"/>
  <c r="BU134" i="1"/>
  <c r="BE134" i="1"/>
  <c r="BA134" i="1"/>
  <c r="AZ134" i="1"/>
  <c r="BB134" i="1" s="1"/>
  <c r="AV134" i="1"/>
  <c r="AQ134" i="1"/>
  <c r="BH134" i="1" s="1"/>
  <c r="AP134" i="1"/>
  <c r="AK134" i="1"/>
  <c r="AJ134" i="1"/>
  <c r="AG134" i="1" s="1"/>
  <c r="AF134" i="1"/>
  <c r="AE134" i="1"/>
  <c r="Z134" i="1"/>
  <c r="U134" i="1"/>
  <c r="N134" i="1"/>
  <c r="J134" i="1"/>
  <c r="I134" i="1"/>
  <c r="BX133" i="1"/>
  <c r="BU133" i="1"/>
  <c r="BE133" i="1"/>
  <c r="BA133" i="1"/>
  <c r="AZ133" i="1"/>
  <c r="AV133" i="1"/>
  <c r="AQ133" i="1"/>
  <c r="AP133" i="1"/>
  <c r="BG133" i="1" s="1"/>
  <c r="AK133" i="1"/>
  <c r="BS133" i="1" s="1"/>
  <c r="AJ133" i="1"/>
  <c r="AF133" i="1"/>
  <c r="AE133" i="1"/>
  <c r="Z133" i="1"/>
  <c r="U133" i="1"/>
  <c r="N133" i="1"/>
  <c r="J133" i="1"/>
  <c r="K133" i="1" s="1"/>
  <c r="I133" i="1"/>
  <c r="BX132" i="1"/>
  <c r="BU132" i="1"/>
  <c r="BH132" i="1"/>
  <c r="BE132" i="1"/>
  <c r="BA132" i="1"/>
  <c r="AZ132" i="1"/>
  <c r="AV132" i="1"/>
  <c r="AQ132" i="1"/>
  <c r="AP132" i="1"/>
  <c r="AK132" i="1"/>
  <c r="BS132" i="1" s="1"/>
  <c r="BP132" i="1" s="1"/>
  <c r="AJ132" i="1"/>
  <c r="AF132" i="1"/>
  <c r="AE132" i="1"/>
  <c r="Z132" i="1"/>
  <c r="U132" i="1"/>
  <c r="N132" i="1"/>
  <c r="J132" i="1"/>
  <c r="I132" i="1"/>
  <c r="BX131" i="1"/>
  <c r="BU131" i="1"/>
  <c r="BE131" i="1"/>
  <c r="BA131" i="1"/>
  <c r="AZ131" i="1"/>
  <c r="AV131" i="1"/>
  <c r="AQ131" i="1"/>
  <c r="AP131" i="1"/>
  <c r="AK131" i="1"/>
  <c r="BS131" i="1" s="1"/>
  <c r="AJ131" i="1"/>
  <c r="AF131" i="1"/>
  <c r="AE131" i="1"/>
  <c r="Z131" i="1"/>
  <c r="U131" i="1"/>
  <c r="N131" i="1"/>
  <c r="J131" i="1"/>
  <c r="I131" i="1"/>
  <c r="BX130" i="1"/>
  <c r="BU130" i="1"/>
  <c r="BE130" i="1"/>
  <c r="BA130" i="1"/>
  <c r="AZ130" i="1"/>
  <c r="AV130" i="1"/>
  <c r="AQ130" i="1"/>
  <c r="AP130" i="1"/>
  <c r="AK130" i="1"/>
  <c r="AJ130" i="1"/>
  <c r="BR130" i="1" s="1"/>
  <c r="AF130" i="1"/>
  <c r="AE130" i="1"/>
  <c r="Z130" i="1"/>
  <c r="U130" i="1"/>
  <c r="N130" i="1"/>
  <c r="J130" i="1"/>
  <c r="I130" i="1"/>
  <c r="BX129" i="1"/>
  <c r="BU129" i="1"/>
  <c r="BE129" i="1"/>
  <c r="BA129" i="1"/>
  <c r="AZ129" i="1"/>
  <c r="AV129" i="1"/>
  <c r="AQ129" i="1"/>
  <c r="AP129" i="1"/>
  <c r="AK129" i="1"/>
  <c r="AJ129" i="1"/>
  <c r="BR129" i="1" s="1"/>
  <c r="AF129" i="1"/>
  <c r="AE129" i="1"/>
  <c r="Z129" i="1"/>
  <c r="U129" i="1"/>
  <c r="N129" i="1"/>
  <c r="J129" i="1"/>
  <c r="I129" i="1"/>
  <c r="BX128" i="1"/>
  <c r="BU128" i="1"/>
  <c r="BE128" i="1"/>
  <c r="BA128" i="1"/>
  <c r="BB128" i="1" s="1"/>
  <c r="AZ128" i="1"/>
  <c r="AV128" i="1"/>
  <c r="AQ128" i="1"/>
  <c r="AP128" i="1"/>
  <c r="AK128" i="1"/>
  <c r="BS128" i="1" s="1"/>
  <c r="AJ128" i="1"/>
  <c r="AF128" i="1"/>
  <c r="AE128" i="1"/>
  <c r="Z128" i="1"/>
  <c r="U128" i="1"/>
  <c r="N128" i="1"/>
  <c r="J128" i="1"/>
  <c r="I128" i="1"/>
  <c r="BX127" i="1"/>
  <c r="BU127" i="1"/>
  <c r="BE127" i="1"/>
  <c r="BA127" i="1"/>
  <c r="AZ127" i="1"/>
  <c r="AV127" i="1"/>
  <c r="AQ127" i="1"/>
  <c r="AP127" i="1"/>
  <c r="AK127" i="1"/>
  <c r="BS127" i="1" s="1"/>
  <c r="AJ127" i="1"/>
  <c r="AF127" i="1"/>
  <c r="AE127" i="1"/>
  <c r="Z127" i="1"/>
  <c r="U127" i="1"/>
  <c r="N127" i="1"/>
  <c r="J127" i="1"/>
  <c r="I127" i="1"/>
  <c r="BX126" i="1"/>
  <c r="BU126" i="1"/>
  <c r="BE126" i="1"/>
  <c r="BA126" i="1"/>
  <c r="AZ126" i="1"/>
  <c r="AV126" i="1"/>
  <c r="AQ126" i="1"/>
  <c r="AP126" i="1"/>
  <c r="AK126" i="1"/>
  <c r="AJ126" i="1"/>
  <c r="AG126" i="1" s="1"/>
  <c r="AF126" i="1"/>
  <c r="AE126" i="1"/>
  <c r="Z126" i="1"/>
  <c r="U126" i="1"/>
  <c r="N126" i="1"/>
  <c r="J126" i="1"/>
  <c r="I126" i="1"/>
  <c r="BX125" i="1"/>
  <c r="BU125" i="1"/>
  <c r="BE125" i="1"/>
  <c r="BA125" i="1"/>
  <c r="AZ125" i="1"/>
  <c r="AV125" i="1"/>
  <c r="AQ125" i="1"/>
  <c r="AP125" i="1"/>
  <c r="AK125" i="1"/>
  <c r="AH125" i="1" s="1"/>
  <c r="AJ125" i="1"/>
  <c r="AF125" i="1"/>
  <c r="AE125" i="1"/>
  <c r="Z125" i="1"/>
  <c r="U125" i="1"/>
  <c r="N125" i="1"/>
  <c r="J125" i="1"/>
  <c r="I125" i="1"/>
  <c r="BX124" i="1"/>
  <c r="BU124" i="1"/>
  <c r="BE124" i="1"/>
  <c r="BA124" i="1"/>
  <c r="AZ124" i="1"/>
  <c r="AV124" i="1"/>
  <c r="AQ124" i="1"/>
  <c r="AP124" i="1"/>
  <c r="AK124" i="1"/>
  <c r="BS124" i="1" s="1"/>
  <c r="AJ124" i="1"/>
  <c r="AF124" i="1"/>
  <c r="AE124" i="1"/>
  <c r="Z124" i="1"/>
  <c r="U124" i="1"/>
  <c r="N124" i="1"/>
  <c r="J124" i="1"/>
  <c r="K124" i="1" s="1"/>
  <c r="I124" i="1"/>
  <c r="BX123" i="1"/>
  <c r="BU123" i="1"/>
  <c r="BE123" i="1"/>
  <c r="BA123" i="1"/>
  <c r="AZ123" i="1"/>
  <c r="AV123" i="1"/>
  <c r="AQ123" i="1"/>
  <c r="AP123" i="1"/>
  <c r="AK123" i="1"/>
  <c r="BS123" i="1" s="1"/>
  <c r="AJ123" i="1"/>
  <c r="AF123" i="1"/>
  <c r="AE123" i="1"/>
  <c r="Z123" i="1"/>
  <c r="U123" i="1"/>
  <c r="N123" i="1"/>
  <c r="J123" i="1"/>
  <c r="I123" i="1"/>
  <c r="BX122" i="1"/>
  <c r="BU122" i="1"/>
  <c r="BE122" i="1"/>
  <c r="BA122" i="1"/>
  <c r="AZ122" i="1"/>
  <c r="AV122" i="1"/>
  <c r="AQ122" i="1"/>
  <c r="AP122" i="1"/>
  <c r="AK122" i="1"/>
  <c r="AJ122" i="1"/>
  <c r="AF122" i="1"/>
  <c r="AE122" i="1"/>
  <c r="Z122" i="1"/>
  <c r="U122" i="1"/>
  <c r="N122" i="1"/>
  <c r="J122" i="1"/>
  <c r="I122" i="1"/>
  <c r="BX121" i="1"/>
  <c r="BU121" i="1"/>
  <c r="BE121" i="1"/>
  <c r="BA121" i="1"/>
  <c r="AZ121" i="1"/>
  <c r="AV121" i="1"/>
  <c r="AQ121" i="1"/>
  <c r="AP121" i="1"/>
  <c r="AK121" i="1"/>
  <c r="AH121" i="1" s="1"/>
  <c r="AJ121" i="1"/>
  <c r="AF121" i="1"/>
  <c r="AE121" i="1"/>
  <c r="Z121" i="1"/>
  <c r="U121" i="1"/>
  <c r="N121" i="1"/>
  <c r="J121" i="1"/>
  <c r="I121" i="1"/>
  <c r="BX120" i="1"/>
  <c r="BU120" i="1"/>
  <c r="BE120" i="1"/>
  <c r="BA120" i="1"/>
  <c r="BB120" i="1" s="1"/>
  <c r="AZ120" i="1"/>
  <c r="AV120" i="1"/>
  <c r="AQ120" i="1"/>
  <c r="AP120" i="1"/>
  <c r="AK120" i="1"/>
  <c r="BS120" i="1" s="1"/>
  <c r="AJ120" i="1"/>
  <c r="AL120" i="1" s="1"/>
  <c r="AF120" i="1"/>
  <c r="AE120" i="1"/>
  <c r="Z120" i="1"/>
  <c r="U120" i="1"/>
  <c r="N120" i="1"/>
  <c r="J120" i="1"/>
  <c r="I120" i="1"/>
  <c r="K120" i="1" s="1"/>
  <c r="BX119" i="1"/>
  <c r="BU119" i="1"/>
  <c r="BE119" i="1"/>
  <c r="BA119" i="1"/>
  <c r="AZ119" i="1"/>
  <c r="AV119" i="1"/>
  <c r="AQ119" i="1"/>
  <c r="AP119" i="1"/>
  <c r="BG119" i="1" s="1"/>
  <c r="AK119" i="1"/>
  <c r="BS119" i="1" s="1"/>
  <c r="AJ119" i="1"/>
  <c r="AF119" i="1"/>
  <c r="AE119" i="1"/>
  <c r="Z119" i="1"/>
  <c r="U119" i="1"/>
  <c r="N119" i="1"/>
  <c r="J119" i="1"/>
  <c r="I119" i="1"/>
  <c r="BX118" i="1"/>
  <c r="BU118" i="1"/>
  <c r="BE118" i="1"/>
  <c r="BA118" i="1"/>
  <c r="AZ118" i="1"/>
  <c r="AV118" i="1"/>
  <c r="AQ118" i="1"/>
  <c r="BH118" i="1" s="1"/>
  <c r="AP118" i="1"/>
  <c r="AK118" i="1"/>
  <c r="AJ118" i="1"/>
  <c r="AG118" i="1" s="1"/>
  <c r="AF118" i="1"/>
  <c r="AE118" i="1"/>
  <c r="Z118" i="1"/>
  <c r="U118" i="1"/>
  <c r="N118" i="1"/>
  <c r="J118" i="1"/>
  <c r="I118" i="1"/>
  <c r="BX117" i="1"/>
  <c r="BU117" i="1"/>
  <c r="BE117" i="1"/>
  <c r="BA117" i="1"/>
  <c r="AZ117" i="1"/>
  <c r="AV117" i="1"/>
  <c r="AQ117" i="1"/>
  <c r="AP117" i="1"/>
  <c r="BG117" i="1" s="1"/>
  <c r="AK117" i="1"/>
  <c r="AJ117" i="1"/>
  <c r="AF117" i="1"/>
  <c r="AE117" i="1"/>
  <c r="Z117" i="1"/>
  <c r="U117" i="1"/>
  <c r="N117" i="1"/>
  <c r="J117" i="1"/>
  <c r="I117" i="1"/>
  <c r="BX116" i="1"/>
  <c r="BU116" i="1"/>
  <c r="BE116" i="1"/>
  <c r="BA116" i="1"/>
  <c r="AZ116" i="1"/>
  <c r="AV116" i="1"/>
  <c r="AQ116" i="1"/>
  <c r="AP116" i="1"/>
  <c r="AK116" i="1"/>
  <c r="BS116" i="1" s="1"/>
  <c r="BP116" i="1" s="1"/>
  <c r="AJ116" i="1"/>
  <c r="AF116" i="1"/>
  <c r="AE116" i="1"/>
  <c r="Z116" i="1"/>
  <c r="U116" i="1"/>
  <c r="N116" i="1"/>
  <c r="J116" i="1"/>
  <c r="I116" i="1"/>
  <c r="BX115" i="1"/>
  <c r="BU115" i="1"/>
  <c r="BE115" i="1"/>
  <c r="BA115" i="1"/>
  <c r="AZ115" i="1"/>
  <c r="AV115" i="1"/>
  <c r="AQ115" i="1"/>
  <c r="AP115" i="1"/>
  <c r="AK115" i="1"/>
  <c r="BS115" i="1" s="1"/>
  <c r="AJ115" i="1"/>
  <c r="AF115" i="1"/>
  <c r="AE115" i="1"/>
  <c r="Z115" i="1"/>
  <c r="U115" i="1"/>
  <c r="N115" i="1"/>
  <c r="J115" i="1"/>
  <c r="I115" i="1"/>
  <c r="BX114" i="1"/>
  <c r="BU114" i="1"/>
  <c r="BE114" i="1"/>
  <c r="BA114" i="1"/>
  <c r="AZ114" i="1"/>
  <c r="AV114" i="1"/>
  <c r="AQ114" i="1"/>
  <c r="AP114" i="1"/>
  <c r="AK114" i="1"/>
  <c r="AJ114" i="1"/>
  <c r="AF114" i="1"/>
  <c r="AE114" i="1"/>
  <c r="Z114" i="1"/>
  <c r="U114" i="1"/>
  <c r="N114" i="1"/>
  <c r="J114" i="1"/>
  <c r="I114" i="1"/>
  <c r="K114" i="1" s="1"/>
  <c r="BX113" i="1"/>
  <c r="BU113" i="1"/>
  <c r="BE113" i="1"/>
  <c r="BA113" i="1"/>
  <c r="AZ113" i="1"/>
  <c r="AV113" i="1"/>
  <c r="AQ113" i="1"/>
  <c r="AP113" i="1"/>
  <c r="BG113" i="1" s="1"/>
  <c r="AK113" i="1"/>
  <c r="AJ113" i="1"/>
  <c r="BR113" i="1" s="1"/>
  <c r="BO113" i="1" s="1"/>
  <c r="AF113" i="1"/>
  <c r="AE113" i="1"/>
  <c r="Z113" i="1"/>
  <c r="U113" i="1"/>
  <c r="N113" i="1"/>
  <c r="J113" i="1"/>
  <c r="I113" i="1"/>
  <c r="BX112" i="1"/>
  <c r="BU112" i="1"/>
  <c r="BE112" i="1"/>
  <c r="BA112" i="1"/>
  <c r="AZ112" i="1"/>
  <c r="AV112" i="1"/>
  <c r="AQ112" i="1"/>
  <c r="AP112" i="1"/>
  <c r="AK112" i="1"/>
  <c r="AJ112" i="1"/>
  <c r="AF112" i="1"/>
  <c r="AE112" i="1"/>
  <c r="Z112" i="1"/>
  <c r="U112" i="1"/>
  <c r="N112" i="1"/>
  <c r="J112" i="1"/>
  <c r="I112" i="1"/>
  <c r="BX111" i="1"/>
  <c r="BU111" i="1"/>
  <c r="BE111" i="1"/>
  <c r="BA111" i="1"/>
  <c r="AZ111" i="1"/>
  <c r="AV111" i="1"/>
  <c r="AQ111" i="1"/>
  <c r="AP111" i="1"/>
  <c r="AK111" i="1"/>
  <c r="BS111" i="1" s="1"/>
  <c r="AJ111" i="1"/>
  <c r="AF111" i="1"/>
  <c r="AE111" i="1"/>
  <c r="Z111" i="1"/>
  <c r="U111" i="1"/>
  <c r="N111" i="1"/>
  <c r="J111" i="1"/>
  <c r="I111" i="1"/>
  <c r="BX110" i="1"/>
  <c r="BU110" i="1"/>
  <c r="BE110" i="1"/>
  <c r="BA110" i="1"/>
  <c r="AZ110" i="1"/>
  <c r="AV110" i="1"/>
  <c r="AQ110" i="1"/>
  <c r="AP110" i="1"/>
  <c r="AK110" i="1"/>
  <c r="AJ110" i="1"/>
  <c r="AF110" i="1"/>
  <c r="AE110" i="1"/>
  <c r="Z110" i="1"/>
  <c r="U110" i="1"/>
  <c r="N110" i="1"/>
  <c r="J110" i="1"/>
  <c r="I110" i="1"/>
  <c r="K110" i="1" s="1"/>
  <c r="BX109" i="1"/>
  <c r="BU109" i="1"/>
  <c r="BE109" i="1"/>
  <c r="BA109" i="1"/>
  <c r="AZ109" i="1"/>
  <c r="AV109" i="1"/>
  <c r="AQ109" i="1"/>
  <c r="AP109" i="1"/>
  <c r="AK109" i="1"/>
  <c r="AJ109" i="1"/>
  <c r="BR109" i="1" s="1"/>
  <c r="AF109" i="1"/>
  <c r="AE109" i="1"/>
  <c r="Z109" i="1"/>
  <c r="U109" i="1"/>
  <c r="N109" i="1"/>
  <c r="J109" i="1"/>
  <c r="I109" i="1"/>
  <c r="BX108" i="1"/>
  <c r="BU108" i="1"/>
  <c r="BE108" i="1"/>
  <c r="BA108" i="1"/>
  <c r="AZ108" i="1"/>
  <c r="AV108" i="1"/>
  <c r="AQ108" i="1"/>
  <c r="AP108" i="1"/>
  <c r="AK108" i="1"/>
  <c r="AJ108" i="1"/>
  <c r="AF108" i="1"/>
  <c r="AE108" i="1"/>
  <c r="Z108" i="1"/>
  <c r="U108" i="1"/>
  <c r="N108" i="1"/>
  <c r="J108" i="1"/>
  <c r="I108" i="1"/>
  <c r="BX107" i="1"/>
  <c r="BU107" i="1"/>
  <c r="BE107" i="1"/>
  <c r="BA107" i="1"/>
  <c r="AZ107" i="1"/>
  <c r="AV107" i="1"/>
  <c r="AQ107" i="1"/>
  <c r="AP107" i="1"/>
  <c r="AK107" i="1"/>
  <c r="BS107" i="1" s="1"/>
  <c r="AJ107" i="1"/>
  <c r="AF107" i="1"/>
  <c r="AE107" i="1"/>
  <c r="Z107" i="1"/>
  <c r="U107" i="1"/>
  <c r="N107" i="1"/>
  <c r="J107" i="1"/>
  <c r="I107" i="1"/>
  <c r="BX106" i="1"/>
  <c r="BU106" i="1"/>
  <c r="BE106" i="1"/>
  <c r="BA106" i="1"/>
  <c r="AZ106" i="1"/>
  <c r="AV106" i="1"/>
  <c r="AQ106" i="1"/>
  <c r="BH106" i="1" s="1"/>
  <c r="AP106" i="1"/>
  <c r="AK106" i="1"/>
  <c r="AJ106" i="1"/>
  <c r="AF106" i="1"/>
  <c r="AE106" i="1"/>
  <c r="Z106" i="1"/>
  <c r="U106" i="1"/>
  <c r="N106" i="1"/>
  <c r="J106" i="1"/>
  <c r="I106" i="1"/>
  <c r="BX105" i="1"/>
  <c r="BU105" i="1"/>
  <c r="BE105" i="1"/>
  <c r="BA105" i="1"/>
  <c r="AZ105" i="1"/>
  <c r="AV105" i="1"/>
  <c r="AQ105" i="1"/>
  <c r="AP105" i="1"/>
  <c r="AK105" i="1"/>
  <c r="BS105" i="1" s="1"/>
  <c r="AJ105" i="1"/>
  <c r="AF105" i="1"/>
  <c r="AE105" i="1"/>
  <c r="Z105" i="1"/>
  <c r="U105" i="1"/>
  <c r="N105" i="1"/>
  <c r="J105" i="1"/>
  <c r="I105" i="1"/>
  <c r="BV104" i="1"/>
  <c r="BX104" i="1" s="1"/>
  <c r="BU104" i="1"/>
  <c r="BE104" i="1"/>
  <c r="BA104" i="1"/>
  <c r="AZ104" i="1"/>
  <c r="AV104" i="1"/>
  <c r="AQ104" i="1"/>
  <c r="AP104" i="1"/>
  <c r="AK104" i="1"/>
  <c r="BS104" i="1" s="1"/>
  <c r="AJ104" i="1"/>
  <c r="AF104" i="1"/>
  <c r="AE104" i="1"/>
  <c r="Z104" i="1"/>
  <c r="U104" i="1"/>
  <c r="N104" i="1"/>
  <c r="J104" i="1"/>
  <c r="I104" i="1"/>
  <c r="BX103" i="1"/>
  <c r="BU103" i="1"/>
  <c r="BE103" i="1"/>
  <c r="BA103" i="1"/>
  <c r="AZ103" i="1"/>
  <c r="AV103" i="1"/>
  <c r="AQ103" i="1"/>
  <c r="AP103" i="1"/>
  <c r="AK103" i="1"/>
  <c r="AJ103" i="1"/>
  <c r="AG103" i="1" s="1"/>
  <c r="AF103" i="1"/>
  <c r="AE103" i="1"/>
  <c r="Z103" i="1"/>
  <c r="U103" i="1"/>
  <c r="N103" i="1"/>
  <c r="J103" i="1"/>
  <c r="I103" i="1"/>
  <c r="BX102" i="1"/>
  <c r="BU102" i="1"/>
  <c r="BE102" i="1"/>
  <c r="BA102" i="1"/>
  <c r="AZ102" i="1"/>
  <c r="AV102" i="1"/>
  <c r="AQ102" i="1"/>
  <c r="AP102" i="1"/>
  <c r="AK102" i="1"/>
  <c r="AH102" i="1" s="1"/>
  <c r="AJ102" i="1"/>
  <c r="AF102" i="1"/>
  <c r="AE102" i="1"/>
  <c r="Z102" i="1"/>
  <c r="U102" i="1"/>
  <c r="N102" i="1"/>
  <c r="J102" i="1"/>
  <c r="I102" i="1"/>
  <c r="BX101" i="1"/>
  <c r="BU101" i="1"/>
  <c r="BE101" i="1"/>
  <c r="BA101" i="1"/>
  <c r="AZ101" i="1"/>
  <c r="AV101" i="1"/>
  <c r="AQ101" i="1"/>
  <c r="BH101" i="1" s="1"/>
  <c r="AP101" i="1"/>
  <c r="AK101" i="1"/>
  <c r="BS101" i="1" s="1"/>
  <c r="BP101" i="1" s="1"/>
  <c r="AJ101" i="1"/>
  <c r="AF101" i="1"/>
  <c r="AE101" i="1"/>
  <c r="Z101" i="1"/>
  <c r="U101" i="1"/>
  <c r="N101" i="1"/>
  <c r="J101" i="1"/>
  <c r="I101" i="1"/>
  <c r="BX100" i="1"/>
  <c r="BU100" i="1"/>
  <c r="BE100" i="1"/>
  <c r="BA100" i="1"/>
  <c r="AZ100" i="1"/>
  <c r="AV100" i="1"/>
  <c r="AQ100" i="1"/>
  <c r="AP100" i="1"/>
  <c r="BG100" i="1" s="1"/>
  <c r="AK100" i="1"/>
  <c r="BS100" i="1" s="1"/>
  <c r="AJ100" i="1"/>
  <c r="AF100" i="1"/>
  <c r="AE100" i="1"/>
  <c r="Z100" i="1"/>
  <c r="U100" i="1"/>
  <c r="N100" i="1"/>
  <c r="J100" i="1"/>
  <c r="I100" i="1"/>
  <c r="BX99" i="1"/>
  <c r="BU99" i="1"/>
  <c r="BE99" i="1"/>
  <c r="BA99" i="1"/>
  <c r="AZ99" i="1"/>
  <c r="BB99" i="1" s="1"/>
  <c r="AV99" i="1"/>
  <c r="AQ99" i="1"/>
  <c r="BH99" i="1" s="1"/>
  <c r="AP99" i="1"/>
  <c r="AK99" i="1"/>
  <c r="AJ99" i="1"/>
  <c r="BR99" i="1" s="1"/>
  <c r="AF99" i="1"/>
  <c r="AE99" i="1"/>
  <c r="Z99" i="1"/>
  <c r="U99" i="1"/>
  <c r="N99" i="1"/>
  <c r="J99" i="1"/>
  <c r="I99" i="1"/>
  <c r="BX98" i="1"/>
  <c r="BU98" i="1"/>
  <c r="BE98" i="1"/>
  <c r="BA98" i="1"/>
  <c r="AZ98" i="1"/>
  <c r="AV98" i="1"/>
  <c r="AQ98" i="1"/>
  <c r="AP98" i="1"/>
  <c r="BG98" i="1" s="1"/>
  <c r="AK98" i="1"/>
  <c r="BS98" i="1" s="1"/>
  <c r="AJ98" i="1"/>
  <c r="AF98" i="1"/>
  <c r="AE98" i="1"/>
  <c r="Z98" i="1"/>
  <c r="U98" i="1"/>
  <c r="N98" i="1"/>
  <c r="J98" i="1"/>
  <c r="I98" i="1"/>
  <c r="BX97" i="1"/>
  <c r="BU97" i="1"/>
  <c r="BE97" i="1"/>
  <c r="BA97" i="1"/>
  <c r="AZ97" i="1"/>
  <c r="AV97" i="1"/>
  <c r="AQ97" i="1"/>
  <c r="AP97" i="1"/>
  <c r="AK97" i="1"/>
  <c r="AH97" i="1" s="1"/>
  <c r="AJ97" i="1"/>
  <c r="AF97" i="1"/>
  <c r="AE97" i="1"/>
  <c r="Z97" i="1"/>
  <c r="U97" i="1"/>
  <c r="N97" i="1"/>
  <c r="J97" i="1"/>
  <c r="I97" i="1"/>
  <c r="K97" i="1" s="1"/>
  <c r="BX96" i="1"/>
  <c r="BU96" i="1"/>
  <c r="BE96" i="1"/>
  <c r="BA96" i="1"/>
  <c r="AZ96" i="1"/>
  <c r="AV96" i="1"/>
  <c r="AQ96" i="1"/>
  <c r="AP96" i="1"/>
  <c r="AK96" i="1"/>
  <c r="BS96" i="1" s="1"/>
  <c r="AJ96" i="1"/>
  <c r="AF96" i="1"/>
  <c r="AE96" i="1"/>
  <c r="Z96" i="1"/>
  <c r="U96" i="1"/>
  <c r="N96" i="1"/>
  <c r="J96" i="1"/>
  <c r="I96" i="1"/>
  <c r="BX95" i="1"/>
  <c r="BU95" i="1"/>
  <c r="BE95" i="1"/>
  <c r="BA95" i="1"/>
  <c r="AZ95" i="1"/>
  <c r="AV95" i="1"/>
  <c r="AR95" i="1"/>
  <c r="AQ95" i="1"/>
  <c r="BH95" i="1" s="1"/>
  <c r="AP95" i="1"/>
  <c r="AK95" i="1"/>
  <c r="AJ95" i="1"/>
  <c r="AF95" i="1"/>
  <c r="AE95" i="1"/>
  <c r="Z95" i="1"/>
  <c r="U95" i="1"/>
  <c r="N95" i="1"/>
  <c r="J95" i="1"/>
  <c r="I95" i="1"/>
  <c r="BX94" i="1"/>
  <c r="BU94" i="1"/>
  <c r="BE94" i="1"/>
  <c r="BA94" i="1"/>
  <c r="AZ94" i="1"/>
  <c r="AV94" i="1"/>
  <c r="AQ94" i="1"/>
  <c r="AP94" i="1"/>
  <c r="AK94" i="1"/>
  <c r="AJ94" i="1"/>
  <c r="AF94" i="1"/>
  <c r="AE94" i="1"/>
  <c r="Z94" i="1"/>
  <c r="U94" i="1"/>
  <c r="N94" i="1"/>
  <c r="J94" i="1"/>
  <c r="I94" i="1"/>
  <c r="BX93" i="1"/>
  <c r="BU93" i="1"/>
  <c r="BE93" i="1"/>
  <c r="BA93" i="1"/>
  <c r="AZ93" i="1"/>
  <c r="AV93" i="1"/>
  <c r="AQ93" i="1"/>
  <c r="AP93" i="1"/>
  <c r="AK93" i="1"/>
  <c r="AJ93" i="1"/>
  <c r="AF93" i="1"/>
  <c r="AE93" i="1"/>
  <c r="Z93" i="1"/>
  <c r="U93" i="1"/>
  <c r="N93" i="1"/>
  <c r="J93" i="1"/>
  <c r="I93" i="1"/>
  <c r="BX92" i="1"/>
  <c r="BU92" i="1"/>
  <c r="BD92" i="1"/>
  <c r="BD67" i="1" s="1"/>
  <c r="BD66" i="1" s="1"/>
  <c r="AZ92" i="1"/>
  <c r="AV92" i="1"/>
  <c r="AQ92" i="1"/>
  <c r="AP92" i="1"/>
  <c r="BG92" i="1" s="1"/>
  <c r="AK92" i="1"/>
  <c r="AJ92" i="1"/>
  <c r="AF92" i="1"/>
  <c r="AE92" i="1"/>
  <c r="Z92" i="1"/>
  <c r="U92" i="1"/>
  <c r="N92" i="1"/>
  <c r="J92" i="1"/>
  <c r="I92" i="1"/>
  <c r="BX91" i="1"/>
  <c r="BU91" i="1"/>
  <c r="BE91" i="1"/>
  <c r="BA91" i="1"/>
  <c r="AZ91" i="1"/>
  <c r="AV91" i="1"/>
  <c r="AQ91" i="1"/>
  <c r="AR91" i="1" s="1"/>
  <c r="AP91" i="1"/>
  <c r="AK91" i="1"/>
  <c r="AH91" i="1" s="1"/>
  <c r="AJ91" i="1"/>
  <c r="AF91" i="1"/>
  <c r="AE91" i="1"/>
  <c r="Z91" i="1"/>
  <c r="U91" i="1"/>
  <c r="N91" i="1"/>
  <c r="J91" i="1"/>
  <c r="I91" i="1"/>
  <c r="BX90" i="1"/>
  <c r="BU90" i="1"/>
  <c r="BE90" i="1"/>
  <c r="BA90" i="1"/>
  <c r="AZ90" i="1"/>
  <c r="AV90" i="1"/>
  <c r="AQ90" i="1"/>
  <c r="AP90" i="1"/>
  <c r="AK90" i="1"/>
  <c r="AH90" i="1" s="1"/>
  <c r="AJ90" i="1"/>
  <c r="AF90" i="1"/>
  <c r="AE90" i="1"/>
  <c r="Z90" i="1"/>
  <c r="U90" i="1"/>
  <c r="N90" i="1"/>
  <c r="J90" i="1"/>
  <c r="I90" i="1"/>
  <c r="BX89" i="1"/>
  <c r="BU89" i="1"/>
  <c r="BE89" i="1"/>
  <c r="BA89" i="1"/>
  <c r="AZ89" i="1"/>
  <c r="AV89" i="1"/>
  <c r="AQ89" i="1"/>
  <c r="AP89" i="1"/>
  <c r="AK89" i="1"/>
  <c r="BS89" i="1" s="1"/>
  <c r="AJ89" i="1"/>
  <c r="AF89" i="1"/>
  <c r="AE89" i="1"/>
  <c r="Z89" i="1"/>
  <c r="U89" i="1"/>
  <c r="N89" i="1"/>
  <c r="J89" i="1"/>
  <c r="I89" i="1"/>
  <c r="BX88" i="1"/>
  <c r="BU88" i="1"/>
  <c r="BE88" i="1"/>
  <c r="BA88" i="1"/>
  <c r="AZ88" i="1"/>
  <c r="AV88" i="1"/>
  <c r="AQ88" i="1"/>
  <c r="BH88" i="1" s="1"/>
  <c r="AP88" i="1"/>
  <c r="AK88" i="1"/>
  <c r="AJ88" i="1"/>
  <c r="AF88" i="1"/>
  <c r="AE88" i="1"/>
  <c r="Z88" i="1"/>
  <c r="U88" i="1"/>
  <c r="N88" i="1"/>
  <c r="J88" i="1"/>
  <c r="I88" i="1"/>
  <c r="BX87" i="1"/>
  <c r="BU87" i="1"/>
  <c r="BE87" i="1"/>
  <c r="BA87" i="1"/>
  <c r="AZ87" i="1"/>
  <c r="AV87" i="1"/>
  <c r="AQ87" i="1"/>
  <c r="AP87" i="1"/>
  <c r="AK87" i="1"/>
  <c r="AJ87" i="1"/>
  <c r="AF87" i="1"/>
  <c r="AE87" i="1"/>
  <c r="Z87" i="1"/>
  <c r="U87" i="1"/>
  <c r="N87" i="1"/>
  <c r="J87" i="1"/>
  <c r="I87" i="1"/>
  <c r="BX86" i="1"/>
  <c r="BU86" i="1"/>
  <c r="BE86" i="1"/>
  <c r="BA86" i="1"/>
  <c r="AZ86" i="1"/>
  <c r="AV86" i="1"/>
  <c r="AQ86" i="1"/>
  <c r="AP86" i="1"/>
  <c r="AK86" i="1"/>
  <c r="AJ86" i="1"/>
  <c r="AF86" i="1"/>
  <c r="AE86" i="1"/>
  <c r="Z86" i="1"/>
  <c r="U86" i="1"/>
  <c r="N86" i="1"/>
  <c r="J86" i="1"/>
  <c r="I86" i="1"/>
  <c r="BX85" i="1"/>
  <c r="BU85" i="1"/>
  <c r="BE85" i="1"/>
  <c r="BA85" i="1"/>
  <c r="AZ85" i="1"/>
  <c r="AV85" i="1"/>
  <c r="AQ85" i="1"/>
  <c r="AP85" i="1"/>
  <c r="BG85" i="1" s="1"/>
  <c r="AK85" i="1"/>
  <c r="AJ85" i="1"/>
  <c r="AG85" i="1" s="1"/>
  <c r="AF85" i="1"/>
  <c r="AE85" i="1"/>
  <c r="Z85" i="1"/>
  <c r="U85" i="1"/>
  <c r="N85" i="1"/>
  <c r="J85" i="1"/>
  <c r="I85" i="1"/>
  <c r="BX84" i="1"/>
  <c r="BU84" i="1"/>
  <c r="BE84" i="1"/>
  <c r="BA84" i="1"/>
  <c r="AZ84" i="1"/>
  <c r="BB84" i="1" s="1"/>
  <c r="AV84" i="1"/>
  <c r="AQ84" i="1"/>
  <c r="AP84" i="1"/>
  <c r="AK84" i="1"/>
  <c r="BS84" i="1" s="1"/>
  <c r="AJ84" i="1"/>
  <c r="AF84" i="1"/>
  <c r="AE84" i="1"/>
  <c r="Z84" i="1"/>
  <c r="U84" i="1"/>
  <c r="N84" i="1"/>
  <c r="J84" i="1"/>
  <c r="I84" i="1"/>
  <c r="BX83" i="1"/>
  <c r="BU83" i="1"/>
  <c r="BE83" i="1"/>
  <c r="BA83" i="1"/>
  <c r="AZ83" i="1"/>
  <c r="AV83" i="1"/>
  <c r="AQ83" i="1"/>
  <c r="AP83" i="1"/>
  <c r="AK83" i="1"/>
  <c r="AJ83" i="1"/>
  <c r="BR83" i="1" s="1"/>
  <c r="AF83" i="1"/>
  <c r="AE83" i="1"/>
  <c r="Z83" i="1"/>
  <c r="U83" i="1"/>
  <c r="N83" i="1"/>
  <c r="J83" i="1"/>
  <c r="I83" i="1"/>
  <c r="BX82" i="1"/>
  <c r="BU82" i="1"/>
  <c r="BE82" i="1"/>
  <c r="BA82" i="1"/>
  <c r="AZ82" i="1"/>
  <c r="AV82" i="1"/>
  <c r="AQ82" i="1"/>
  <c r="AP82" i="1"/>
  <c r="AK82" i="1"/>
  <c r="BS82" i="1" s="1"/>
  <c r="BP82" i="1" s="1"/>
  <c r="AJ82" i="1"/>
  <c r="AF82" i="1"/>
  <c r="AE82" i="1"/>
  <c r="Z82" i="1"/>
  <c r="U82" i="1"/>
  <c r="N82" i="1"/>
  <c r="J82" i="1"/>
  <c r="I82" i="1"/>
  <c r="BX81" i="1"/>
  <c r="BU81" i="1"/>
  <c r="BE81" i="1"/>
  <c r="BA81" i="1"/>
  <c r="AZ81" i="1"/>
  <c r="AV81" i="1"/>
  <c r="AQ81" i="1"/>
  <c r="AP81" i="1"/>
  <c r="AK81" i="1"/>
  <c r="BS81" i="1" s="1"/>
  <c r="AJ81" i="1"/>
  <c r="AF81" i="1"/>
  <c r="AE81" i="1"/>
  <c r="Z81" i="1"/>
  <c r="U81" i="1"/>
  <c r="N81" i="1"/>
  <c r="J81" i="1"/>
  <c r="I81" i="1"/>
  <c r="BX80" i="1"/>
  <c r="BU80" i="1"/>
  <c r="BE80" i="1"/>
  <c r="BA80" i="1"/>
  <c r="AZ80" i="1"/>
  <c r="AV80" i="1"/>
  <c r="AQ80" i="1"/>
  <c r="AP80" i="1"/>
  <c r="AK80" i="1"/>
  <c r="BS80" i="1" s="1"/>
  <c r="AJ80" i="1"/>
  <c r="BR80" i="1" s="1"/>
  <c r="AF80" i="1"/>
  <c r="AE80" i="1"/>
  <c r="Z80" i="1"/>
  <c r="U80" i="1"/>
  <c r="N80" i="1"/>
  <c r="J80" i="1"/>
  <c r="I80" i="1"/>
  <c r="BX79" i="1"/>
  <c r="BU79" i="1"/>
  <c r="BE79" i="1"/>
  <c r="BA79" i="1"/>
  <c r="AZ79" i="1"/>
  <c r="AV79" i="1"/>
  <c r="AQ79" i="1"/>
  <c r="AP79" i="1"/>
  <c r="AK79" i="1"/>
  <c r="AJ79" i="1"/>
  <c r="BR79" i="1" s="1"/>
  <c r="AF79" i="1"/>
  <c r="AE79" i="1"/>
  <c r="Z79" i="1"/>
  <c r="U79" i="1"/>
  <c r="N79" i="1"/>
  <c r="J79" i="1"/>
  <c r="I79" i="1"/>
  <c r="BX78" i="1"/>
  <c r="BU78" i="1"/>
  <c r="BE78" i="1"/>
  <c r="BA78" i="1"/>
  <c r="AZ78" i="1"/>
  <c r="AV78" i="1"/>
  <c r="AQ78" i="1"/>
  <c r="AP78" i="1"/>
  <c r="AK78" i="1"/>
  <c r="BS78" i="1" s="1"/>
  <c r="BP78" i="1" s="1"/>
  <c r="AJ78" i="1"/>
  <c r="AF78" i="1"/>
  <c r="AE78" i="1"/>
  <c r="Z78" i="1"/>
  <c r="U78" i="1"/>
  <c r="N78" i="1"/>
  <c r="J78" i="1"/>
  <c r="I78" i="1"/>
  <c r="BX77" i="1"/>
  <c r="BU77" i="1"/>
  <c r="BE77" i="1"/>
  <c r="BA77" i="1"/>
  <c r="AZ77" i="1"/>
  <c r="AV77" i="1"/>
  <c r="AQ77" i="1"/>
  <c r="AP77" i="1"/>
  <c r="AK77" i="1"/>
  <c r="BS77" i="1" s="1"/>
  <c r="AJ77" i="1"/>
  <c r="AF77" i="1"/>
  <c r="AE77" i="1"/>
  <c r="Z77" i="1"/>
  <c r="U77" i="1"/>
  <c r="N77" i="1"/>
  <c r="J77" i="1"/>
  <c r="I77" i="1"/>
  <c r="BX76" i="1"/>
  <c r="BU76" i="1"/>
  <c r="BE76" i="1"/>
  <c r="BD76" i="1"/>
  <c r="BA76" i="1" s="1"/>
  <c r="AZ76" i="1"/>
  <c r="AV76" i="1"/>
  <c r="AQ76" i="1"/>
  <c r="AP76" i="1"/>
  <c r="AK76" i="1"/>
  <c r="AJ76" i="1"/>
  <c r="AG76" i="1" s="1"/>
  <c r="AF76" i="1"/>
  <c r="AE76" i="1"/>
  <c r="Z76" i="1"/>
  <c r="U76" i="1"/>
  <c r="N76" i="1"/>
  <c r="J76" i="1"/>
  <c r="I76" i="1"/>
  <c r="BX75" i="1"/>
  <c r="BU75" i="1"/>
  <c r="BE75" i="1"/>
  <c r="BA75" i="1"/>
  <c r="AZ75" i="1"/>
  <c r="AV75" i="1"/>
  <c r="AQ75" i="1"/>
  <c r="AP75" i="1"/>
  <c r="AK75" i="1"/>
  <c r="BS75" i="1" s="1"/>
  <c r="AJ75" i="1"/>
  <c r="AF75" i="1"/>
  <c r="AE75" i="1"/>
  <c r="Z75" i="1"/>
  <c r="U75" i="1"/>
  <c r="N75" i="1"/>
  <c r="J75" i="1"/>
  <c r="I75" i="1"/>
  <c r="BX74" i="1"/>
  <c r="BU74" i="1"/>
  <c r="BE74" i="1"/>
  <c r="BA74" i="1"/>
  <c r="AZ74" i="1"/>
  <c r="AV74" i="1"/>
  <c r="AQ74" i="1"/>
  <c r="AP74" i="1"/>
  <c r="AK74" i="1"/>
  <c r="BS74" i="1" s="1"/>
  <c r="BP74" i="1" s="1"/>
  <c r="AJ74" i="1"/>
  <c r="AF74" i="1"/>
  <c r="AE74" i="1"/>
  <c r="Z74" i="1"/>
  <c r="U74" i="1"/>
  <c r="N74" i="1"/>
  <c r="J74" i="1"/>
  <c r="I74" i="1"/>
  <c r="BX73" i="1"/>
  <c r="BU73" i="1"/>
  <c r="BE73" i="1"/>
  <c r="BA73" i="1"/>
  <c r="AZ73" i="1"/>
  <c r="AV73" i="1"/>
  <c r="AQ73" i="1"/>
  <c r="AP73" i="1"/>
  <c r="AK73" i="1"/>
  <c r="BS73" i="1" s="1"/>
  <c r="AJ73" i="1"/>
  <c r="AG73" i="1" s="1"/>
  <c r="AF73" i="1"/>
  <c r="AE73" i="1"/>
  <c r="Z73" i="1"/>
  <c r="U73" i="1"/>
  <c r="N73" i="1"/>
  <c r="J73" i="1"/>
  <c r="I73" i="1"/>
  <c r="BX72" i="1"/>
  <c r="BU72" i="1"/>
  <c r="BE72" i="1"/>
  <c r="BA72" i="1"/>
  <c r="AZ72" i="1"/>
  <c r="AV72" i="1"/>
  <c r="AQ72" i="1"/>
  <c r="AP72" i="1"/>
  <c r="AK72" i="1"/>
  <c r="BS72" i="1" s="1"/>
  <c r="AJ72" i="1"/>
  <c r="BR72" i="1" s="1"/>
  <c r="AF72" i="1"/>
  <c r="AE72" i="1"/>
  <c r="Z72" i="1"/>
  <c r="U72" i="1"/>
  <c r="N72" i="1"/>
  <c r="J72" i="1"/>
  <c r="I72" i="1"/>
  <c r="BX71" i="1"/>
  <c r="BU71" i="1"/>
  <c r="BE71" i="1"/>
  <c r="BA71" i="1"/>
  <c r="AZ71" i="1"/>
  <c r="AV71" i="1"/>
  <c r="AQ71" i="1"/>
  <c r="AP71" i="1"/>
  <c r="AK71" i="1"/>
  <c r="BS71" i="1" s="1"/>
  <c r="AJ71" i="1"/>
  <c r="AF71" i="1"/>
  <c r="AE71" i="1"/>
  <c r="Z71" i="1"/>
  <c r="U71" i="1"/>
  <c r="N71" i="1"/>
  <c r="J71" i="1"/>
  <c r="I71" i="1"/>
  <c r="BX70" i="1"/>
  <c r="BU70" i="1"/>
  <c r="BE70" i="1"/>
  <c r="BA70" i="1"/>
  <c r="AZ70" i="1"/>
  <c r="AV70" i="1"/>
  <c r="AQ70" i="1"/>
  <c r="AP70" i="1"/>
  <c r="AK70" i="1"/>
  <c r="BS70" i="1" s="1"/>
  <c r="AJ70" i="1"/>
  <c r="AF70" i="1"/>
  <c r="AE70" i="1"/>
  <c r="Z70" i="1"/>
  <c r="U70" i="1"/>
  <c r="N70" i="1"/>
  <c r="J70" i="1"/>
  <c r="I70" i="1"/>
  <c r="BX69" i="1"/>
  <c r="BU69" i="1"/>
  <c r="BE69" i="1"/>
  <c r="BA69" i="1"/>
  <c r="AZ69" i="1"/>
  <c r="AV69" i="1"/>
  <c r="AQ69" i="1"/>
  <c r="AP69" i="1"/>
  <c r="AK69" i="1"/>
  <c r="AJ69" i="1"/>
  <c r="AG69" i="1" s="1"/>
  <c r="AF69" i="1"/>
  <c r="AE69" i="1"/>
  <c r="Z69" i="1"/>
  <c r="U69" i="1"/>
  <c r="N69" i="1"/>
  <c r="J69" i="1"/>
  <c r="I69" i="1"/>
  <c r="BX68" i="1"/>
  <c r="BU68" i="1"/>
  <c r="BE68" i="1"/>
  <c r="BA68" i="1"/>
  <c r="AZ68" i="1"/>
  <c r="BB68" i="1" s="1"/>
  <c r="AV68" i="1"/>
  <c r="AQ68" i="1"/>
  <c r="AP68" i="1"/>
  <c r="AK68" i="1"/>
  <c r="BS68" i="1" s="1"/>
  <c r="AJ68" i="1"/>
  <c r="BR68" i="1" s="1"/>
  <c r="AF68" i="1"/>
  <c r="AE68" i="1"/>
  <c r="Z68" i="1"/>
  <c r="U68" i="1"/>
  <c r="N68" i="1"/>
  <c r="J68" i="1"/>
  <c r="I68" i="1"/>
  <c r="BX67" i="1"/>
  <c r="BF67" i="1"/>
  <c r="BC67" i="1"/>
  <c r="AY67" i="1"/>
  <c r="AY66" i="1" s="1"/>
  <c r="AT67" i="1"/>
  <c r="AO67" i="1"/>
  <c r="AN67" i="1"/>
  <c r="AN66" i="1" s="1"/>
  <c r="AM67" i="1"/>
  <c r="AM66" i="1" s="1"/>
  <c r="AF67" i="1"/>
  <c r="AC67" i="1"/>
  <c r="AC66" i="1" s="1"/>
  <c r="AB67" i="1"/>
  <c r="AB66" i="1" s="1"/>
  <c r="AA67" i="1"/>
  <c r="Y67" i="1"/>
  <c r="X67" i="1"/>
  <c r="X66" i="1" s="1"/>
  <c r="W67" i="1"/>
  <c r="W66" i="1" s="1"/>
  <c r="V67" i="1"/>
  <c r="V66" i="1" s="1"/>
  <c r="T67" i="1"/>
  <c r="S67" i="1"/>
  <c r="S66" i="1" s="1"/>
  <c r="R67" i="1"/>
  <c r="R66" i="1" s="1"/>
  <c r="Q67" i="1"/>
  <c r="P67" i="1"/>
  <c r="O67" i="1"/>
  <c r="O66" i="1" s="1"/>
  <c r="H67" i="1"/>
  <c r="H66" i="1" s="1"/>
  <c r="D67" i="1"/>
  <c r="D66" i="1" s="1"/>
  <c r="C67" i="1"/>
  <c r="C66" i="1" s="1"/>
  <c r="BX66" i="1"/>
  <c r="BF66" i="1"/>
  <c r="BC66" i="1"/>
  <c r="AT66" i="1"/>
  <c r="AO66" i="1"/>
  <c r="AF66" i="1"/>
  <c r="AA66" i="1"/>
  <c r="Y66" i="1"/>
  <c r="T66" i="1"/>
  <c r="Q66" i="1"/>
  <c r="P66" i="1"/>
  <c r="BV65" i="1"/>
  <c r="BX65" i="1" s="1"/>
  <c r="BU65" i="1"/>
  <c r="BE65" i="1"/>
  <c r="BA65" i="1"/>
  <c r="AZ65" i="1"/>
  <c r="AV65" i="1"/>
  <c r="AQ65" i="1"/>
  <c r="AP65" i="1"/>
  <c r="AJ65" i="1"/>
  <c r="AF65" i="1"/>
  <c r="AD65" i="1"/>
  <c r="AE65" i="1" s="1"/>
  <c r="Z65" i="1"/>
  <c r="U65" i="1"/>
  <c r="M65" i="1"/>
  <c r="J65" i="1" s="1"/>
  <c r="L65" i="1"/>
  <c r="BV64" i="1"/>
  <c r="BX64" i="1" s="1"/>
  <c r="BU64" i="1"/>
  <c r="BE64" i="1"/>
  <c r="BA64" i="1"/>
  <c r="AZ64" i="1"/>
  <c r="AV64" i="1"/>
  <c r="AQ64" i="1"/>
  <c r="AP64" i="1"/>
  <c r="AK64" i="1"/>
  <c r="BS64" i="1" s="1"/>
  <c r="AJ64" i="1"/>
  <c r="BR64" i="1" s="1"/>
  <c r="AF64" i="1"/>
  <c r="AE64" i="1"/>
  <c r="Z64" i="1"/>
  <c r="U64" i="1"/>
  <c r="N64" i="1"/>
  <c r="J64" i="1"/>
  <c r="I64" i="1"/>
  <c r="K64" i="1" s="1"/>
  <c r="BV63" i="1"/>
  <c r="BX63" i="1" s="1"/>
  <c r="BU63" i="1"/>
  <c r="BE63" i="1"/>
  <c r="BA63" i="1"/>
  <c r="BH63" i="1" s="1"/>
  <c r="AZ63" i="1"/>
  <c r="AV63" i="1"/>
  <c r="AQ63" i="1"/>
  <c r="AP63" i="1"/>
  <c r="AJ63" i="1"/>
  <c r="AF63" i="1"/>
  <c r="AD63" i="1"/>
  <c r="AK63" i="1" s="1"/>
  <c r="BS63" i="1" s="1"/>
  <c r="Z63" i="1"/>
  <c r="U63" i="1"/>
  <c r="N63" i="1"/>
  <c r="J63" i="1"/>
  <c r="I63" i="1"/>
  <c r="BV62" i="1"/>
  <c r="BX62" i="1" s="1"/>
  <c r="BU62" i="1"/>
  <c r="BE62" i="1"/>
  <c r="BA62" i="1"/>
  <c r="AZ62" i="1"/>
  <c r="AV62" i="1"/>
  <c r="AQ62" i="1"/>
  <c r="AP62" i="1"/>
  <c r="AJ62" i="1"/>
  <c r="BR62" i="1" s="1"/>
  <c r="AF62" i="1"/>
  <c r="AD62" i="1"/>
  <c r="AK62" i="1" s="1"/>
  <c r="Z62" i="1"/>
  <c r="U62" i="1"/>
  <c r="N62" i="1"/>
  <c r="J62" i="1"/>
  <c r="I62" i="1"/>
  <c r="BV61" i="1"/>
  <c r="BX61" i="1" s="1"/>
  <c r="BU61" i="1"/>
  <c r="BE61" i="1"/>
  <c r="BA61" i="1"/>
  <c r="AZ61" i="1"/>
  <c r="AV61" i="1"/>
  <c r="AQ61" i="1"/>
  <c r="AP61" i="1"/>
  <c r="AK61" i="1"/>
  <c r="BS61" i="1" s="1"/>
  <c r="AJ61" i="1"/>
  <c r="AF61" i="1"/>
  <c r="AE61" i="1"/>
  <c r="Z61" i="1"/>
  <c r="U61" i="1"/>
  <c r="N61" i="1"/>
  <c r="J61" i="1"/>
  <c r="I61" i="1"/>
  <c r="BX60" i="1"/>
  <c r="BU60" i="1"/>
  <c r="BE60" i="1"/>
  <c r="BA60" i="1"/>
  <c r="AZ60" i="1"/>
  <c r="AV60" i="1"/>
  <c r="AQ60" i="1"/>
  <c r="AP60" i="1"/>
  <c r="AK60" i="1"/>
  <c r="BS60" i="1" s="1"/>
  <c r="BP60" i="1" s="1"/>
  <c r="AJ60" i="1"/>
  <c r="BR60" i="1" s="1"/>
  <c r="AF60" i="1"/>
  <c r="AE60" i="1"/>
  <c r="Z60" i="1"/>
  <c r="U60" i="1"/>
  <c r="M60" i="1"/>
  <c r="J60" i="1" s="1"/>
  <c r="L60" i="1"/>
  <c r="BV59" i="1"/>
  <c r="BX59" i="1" s="1"/>
  <c r="BU59" i="1"/>
  <c r="BE59" i="1"/>
  <c r="BA59" i="1"/>
  <c r="AZ59" i="1"/>
  <c r="AV59" i="1"/>
  <c r="AQ59" i="1"/>
  <c r="AP59" i="1"/>
  <c r="AK59" i="1"/>
  <c r="AJ59" i="1"/>
  <c r="BR59" i="1" s="1"/>
  <c r="AF59" i="1"/>
  <c r="AE59" i="1"/>
  <c r="Z59" i="1"/>
  <c r="U59" i="1"/>
  <c r="N59" i="1"/>
  <c r="J59" i="1"/>
  <c r="I59" i="1"/>
  <c r="BV58" i="1"/>
  <c r="BX58" i="1" s="1"/>
  <c r="BU58" i="1"/>
  <c r="BE58" i="1"/>
  <c r="BA58" i="1"/>
  <c r="AZ58" i="1"/>
  <c r="AU58" i="1"/>
  <c r="AV58" i="1" s="1"/>
  <c r="AP58" i="1"/>
  <c r="AJ58" i="1"/>
  <c r="BR58" i="1" s="1"/>
  <c r="AF58" i="1"/>
  <c r="AD58" i="1"/>
  <c r="AE58" i="1" s="1"/>
  <c r="Z58" i="1"/>
  <c r="U58" i="1"/>
  <c r="N58" i="1"/>
  <c r="J58" i="1"/>
  <c r="I58" i="1"/>
  <c r="BV57" i="1"/>
  <c r="BX57" i="1" s="1"/>
  <c r="BU57" i="1"/>
  <c r="BE57" i="1"/>
  <c r="BA57" i="1"/>
  <c r="AZ57" i="1"/>
  <c r="AV57" i="1"/>
  <c r="AQ57" i="1"/>
  <c r="AP57" i="1"/>
  <c r="AK57" i="1"/>
  <c r="BS57" i="1" s="1"/>
  <c r="AJ57" i="1"/>
  <c r="AF57" i="1"/>
  <c r="AE57" i="1"/>
  <c r="Z57" i="1"/>
  <c r="U57" i="1"/>
  <c r="N57" i="1"/>
  <c r="J57" i="1"/>
  <c r="I57" i="1"/>
  <c r="BX56" i="1"/>
  <c r="BV56" i="1"/>
  <c r="BU56" i="1"/>
  <c r="BE56" i="1"/>
  <c r="BA56" i="1"/>
  <c r="AZ56" i="1"/>
  <c r="AV56" i="1"/>
  <c r="AQ56" i="1"/>
  <c r="AP56" i="1"/>
  <c r="AK56" i="1"/>
  <c r="BS56" i="1" s="1"/>
  <c r="AJ56" i="1"/>
  <c r="BR56" i="1" s="1"/>
  <c r="AF56" i="1"/>
  <c r="AE56" i="1"/>
  <c r="Z56" i="1"/>
  <c r="U56" i="1"/>
  <c r="N56" i="1"/>
  <c r="J56" i="1"/>
  <c r="K56" i="1" s="1"/>
  <c r="I56" i="1"/>
  <c r="BV55" i="1"/>
  <c r="BX55" i="1" s="1"/>
  <c r="BU55" i="1"/>
  <c r="BD55" i="1"/>
  <c r="BA55" i="1" s="1"/>
  <c r="AZ55" i="1"/>
  <c r="AV55" i="1"/>
  <c r="AQ55" i="1"/>
  <c r="AP55" i="1"/>
  <c r="BG55" i="1" s="1"/>
  <c r="AK55" i="1"/>
  <c r="BS55" i="1" s="1"/>
  <c r="AJ55" i="1"/>
  <c r="AG55" i="1" s="1"/>
  <c r="AF55" i="1"/>
  <c r="AE55" i="1"/>
  <c r="Z55" i="1"/>
  <c r="U55" i="1"/>
  <c r="N55" i="1"/>
  <c r="J55" i="1"/>
  <c r="I55" i="1"/>
  <c r="BV54" i="1"/>
  <c r="BX54" i="1" s="1"/>
  <c r="BU54" i="1"/>
  <c r="BE54" i="1"/>
  <c r="BA54" i="1"/>
  <c r="AZ54" i="1"/>
  <c r="AV54" i="1"/>
  <c r="AQ54" i="1"/>
  <c r="AP54" i="1"/>
  <c r="AK54" i="1"/>
  <c r="BS54" i="1" s="1"/>
  <c r="AJ54" i="1"/>
  <c r="AF54" i="1"/>
  <c r="AE54" i="1"/>
  <c r="Z54" i="1"/>
  <c r="U54" i="1"/>
  <c r="N54" i="1"/>
  <c r="J54" i="1"/>
  <c r="I54" i="1"/>
  <c r="BX53" i="1"/>
  <c r="BU53" i="1"/>
  <c r="BE53" i="1"/>
  <c r="BA53" i="1"/>
  <c r="AZ53" i="1"/>
  <c r="AV53" i="1"/>
  <c r="AQ53" i="1"/>
  <c r="AP53" i="1"/>
  <c r="AK53" i="1"/>
  <c r="BS53" i="1" s="1"/>
  <c r="AJ53" i="1"/>
  <c r="AF53" i="1"/>
  <c r="AE53" i="1"/>
  <c r="Z53" i="1"/>
  <c r="U53" i="1"/>
  <c r="N53" i="1"/>
  <c r="J53" i="1"/>
  <c r="I53" i="1"/>
  <c r="BX52" i="1"/>
  <c r="BU52" i="1"/>
  <c r="BE52" i="1"/>
  <c r="BA52" i="1"/>
  <c r="AZ52" i="1"/>
  <c r="AV52" i="1"/>
  <c r="AQ52" i="1"/>
  <c r="AP52" i="1"/>
  <c r="AK52" i="1"/>
  <c r="BS52" i="1" s="1"/>
  <c r="BP52" i="1" s="1"/>
  <c r="AJ52" i="1"/>
  <c r="AF52" i="1"/>
  <c r="AE52" i="1"/>
  <c r="Z52" i="1"/>
  <c r="U52" i="1"/>
  <c r="N52" i="1"/>
  <c r="J52" i="1"/>
  <c r="I52" i="1"/>
  <c r="BV51" i="1"/>
  <c r="BX51" i="1" s="1"/>
  <c r="BU51" i="1"/>
  <c r="BE51" i="1"/>
  <c r="BA51" i="1"/>
  <c r="AZ51" i="1"/>
  <c r="AV51" i="1"/>
  <c r="AQ51" i="1"/>
  <c r="AP51" i="1"/>
  <c r="AK51" i="1"/>
  <c r="BS51" i="1" s="1"/>
  <c r="AJ51" i="1"/>
  <c r="AL51" i="1" s="1"/>
  <c r="AF51" i="1"/>
  <c r="AE51" i="1"/>
  <c r="Z51" i="1"/>
  <c r="U51" i="1"/>
  <c r="N51" i="1"/>
  <c r="J51" i="1"/>
  <c r="I51" i="1"/>
  <c r="BV50" i="1"/>
  <c r="BX50" i="1" s="1"/>
  <c r="BU50" i="1"/>
  <c r="BE50" i="1"/>
  <c r="BA50" i="1"/>
  <c r="AZ50" i="1"/>
  <c r="BB50" i="1" s="1"/>
  <c r="AV50" i="1"/>
  <c r="AQ50" i="1"/>
  <c r="AP50" i="1"/>
  <c r="AJ50" i="1"/>
  <c r="BR50" i="1" s="1"/>
  <c r="AF50" i="1"/>
  <c r="AD50" i="1"/>
  <c r="AE50" i="1" s="1"/>
  <c r="Z50" i="1"/>
  <c r="U50" i="1"/>
  <c r="N50" i="1"/>
  <c r="J50" i="1"/>
  <c r="I50" i="1"/>
  <c r="BX49" i="1"/>
  <c r="BU49" i="1"/>
  <c r="BE49" i="1"/>
  <c r="BA49" i="1"/>
  <c r="AZ49" i="1"/>
  <c r="AV49" i="1"/>
  <c r="AQ49" i="1"/>
  <c r="AP49" i="1"/>
  <c r="AK49" i="1"/>
  <c r="BS49" i="1" s="1"/>
  <c r="AJ49" i="1"/>
  <c r="AF49" i="1"/>
  <c r="AE49" i="1"/>
  <c r="Z49" i="1"/>
  <c r="U49" i="1"/>
  <c r="N49" i="1"/>
  <c r="J49" i="1"/>
  <c r="I49" i="1"/>
  <c r="BV48" i="1"/>
  <c r="BX48" i="1" s="1"/>
  <c r="BU48" i="1"/>
  <c r="BE48" i="1"/>
  <c r="BA48" i="1"/>
  <c r="AZ48" i="1"/>
  <c r="AV48" i="1"/>
  <c r="AQ48" i="1"/>
  <c r="AP48" i="1"/>
  <c r="AR48" i="1" s="1"/>
  <c r="AJ48" i="1"/>
  <c r="AF48" i="1"/>
  <c r="AD48" i="1"/>
  <c r="AE48" i="1" s="1"/>
  <c r="Z48" i="1"/>
  <c r="U48" i="1"/>
  <c r="N48" i="1"/>
  <c r="J48" i="1"/>
  <c r="I48" i="1"/>
  <c r="BV47" i="1"/>
  <c r="BX47" i="1" s="1"/>
  <c r="BU47" i="1"/>
  <c r="BE47" i="1"/>
  <c r="BA47" i="1"/>
  <c r="AZ47" i="1"/>
  <c r="AV47" i="1"/>
  <c r="AQ47" i="1"/>
  <c r="AP47" i="1"/>
  <c r="AJ47" i="1"/>
  <c r="AF47" i="1"/>
  <c r="AD47" i="1"/>
  <c r="AE47" i="1" s="1"/>
  <c r="Z47" i="1"/>
  <c r="U47" i="1"/>
  <c r="N47" i="1"/>
  <c r="J47" i="1"/>
  <c r="I47" i="1"/>
  <c r="BV46" i="1"/>
  <c r="BX46" i="1" s="1"/>
  <c r="BU46" i="1"/>
  <c r="BE46" i="1"/>
  <c r="BA46" i="1"/>
  <c r="AZ46" i="1"/>
  <c r="AV46" i="1"/>
  <c r="AQ46" i="1"/>
  <c r="AP46" i="1"/>
  <c r="AJ46" i="1"/>
  <c r="AF46" i="1"/>
  <c r="AD46" i="1"/>
  <c r="AE46" i="1" s="1"/>
  <c r="Z46" i="1"/>
  <c r="U46" i="1"/>
  <c r="N46" i="1"/>
  <c r="J46" i="1"/>
  <c r="I46" i="1"/>
  <c r="BV45" i="1"/>
  <c r="BX45" i="1" s="1"/>
  <c r="BU45" i="1"/>
  <c r="BE45" i="1"/>
  <c r="BA45" i="1"/>
  <c r="AZ45" i="1"/>
  <c r="AV45" i="1"/>
  <c r="AQ45" i="1"/>
  <c r="AP45" i="1"/>
  <c r="AJ45" i="1"/>
  <c r="BR45" i="1" s="1"/>
  <c r="AF45" i="1"/>
  <c r="AD45" i="1"/>
  <c r="AK45" i="1" s="1"/>
  <c r="Z45" i="1"/>
  <c r="U45" i="1"/>
  <c r="N45" i="1"/>
  <c r="K45" i="1"/>
  <c r="J45" i="1"/>
  <c r="I45" i="1"/>
  <c r="BV44" i="1"/>
  <c r="BU44" i="1"/>
  <c r="BE44" i="1"/>
  <c r="BA44" i="1"/>
  <c r="AZ44" i="1"/>
  <c r="BB44" i="1" s="1"/>
  <c r="AV44" i="1"/>
  <c r="AQ44" i="1"/>
  <c r="AP44" i="1"/>
  <c r="AJ44" i="1"/>
  <c r="BR44" i="1" s="1"/>
  <c r="AF44" i="1"/>
  <c r="AD44" i="1"/>
  <c r="AE44" i="1" s="1"/>
  <c r="Z44" i="1"/>
  <c r="U44" i="1"/>
  <c r="M44" i="1"/>
  <c r="J44" i="1" s="1"/>
  <c r="L44" i="1"/>
  <c r="BV43" i="1"/>
  <c r="BX43" i="1" s="1"/>
  <c r="BU43" i="1"/>
  <c r="BE43" i="1"/>
  <c r="BA43" i="1"/>
  <c r="AZ43" i="1"/>
  <c r="AV43" i="1"/>
  <c r="AQ43" i="1"/>
  <c r="AP43" i="1"/>
  <c r="AJ43" i="1"/>
  <c r="BR43" i="1" s="1"/>
  <c r="AF43" i="1"/>
  <c r="AD43" i="1"/>
  <c r="AK43" i="1" s="1"/>
  <c r="Z43" i="1"/>
  <c r="U43" i="1"/>
  <c r="N43" i="1"/>
  <c r="J43" i="1"/>
  <c r="I43" i="1"/>
  <c r="BX42" i="1"/>
  <c r="BU42" i="1"/>
  <c r="BE42" i="1"/>
  <c r="BA42" i="1"/>
  <c r="AZ42" i="1"/>
  <c r="AV42" i="1"/>
  <c r="AQ42" i="1"/>
  <c r="AP42" i="1"/>
  <c r="AK42" i="1"/>
  <c r="BS42" i="1" s="1"/>
  <c r="AJ42" i="1"/>
  <c r="AF42" i="1"/>
  <c r="AE42" i="1"/>
  <c r="Z42" i="1"/>
  <c r="U42" i="1"/>
  <c r="N42" i="1"/>
  <c r="J42" i="1"/>
  <c r="I42" i="1"/>
  <c r="BV41" i="1"/>
  <c r="BX41" i="1" s="1"/>
  <c r="BU41" i="1"/>
  <c r="BE41" i="1"/>
  <c r="BA41" i="1"/>
  <c r="AZ41" i="1"/>
  <c r="BB41" i="1" s="1"/>
  <c r="AV41" i="1"/>
  <c r="AQ41" i="1"/>
  <c r="AP41" i="1"/>
  <c r="AK41" i="1"/>
  <c r="BS41" i="1" s="1"/>
  <c r="AJ41" i="1"/>
  <c r="BR41" i="1" s="1"/>
  <c r="AF41" i="1"/>
  <c r="AE41" i="1"/>
  <c r="Z41" i="1"/>
  <c r="U41" i="1"/>
  <c r="N41" i="1"/>
  <c r="J41" i="1"/>
  <c r="I41" i="1"/>
  <c r="BV40" i="1"/>
  <c r="BX40" i="1" s="1"/>
  <c r="BU40" i="1"/>
  <c r="BE40" i="1"/>
  <c r="BA40" i="1"/>
  <c r="AZ40" i="1"/>
  <c r="AV40" i="1"/>
  <c r="AQ40" i="1"/>
  <c r="AP40" i="1"/>
  <c r="AK40" i="1"/>
  <c r="BS40" i="1" s="1"/>
  <c r="AJ40" i="1"/>
  <c r="AF40" i="1"/>
  <c r="AE40" i="1"/>
  <c r="Z40" i="1"/>
  <c r="U40" i="1"/>
  <c r="N40" i="1"/>
  <c r="J40" i="1"/>
  <c r="I40" i="1"/>
  <c r="BX39" i="1"/>
  <c r="BU39" i="1"/>
  <c r="BE39" i="1"/>
  <c r="BA39" i="1"/>
  <c r="AZ39" i="1"/>
  <c r="AV39" i="1"/>
  <c r="AQ39" i="1"/>
  <c r="AP39" i="1"/>
  <c r="AK39" i="1"/>
  <c r="BS39" i="1" s="1"/>
  <c r="AJ39" i="1"/>
  <c r="AF39" i="1"/>
  <c r="AE39" i="1"/>
  <c r="Z39" i="1"/>
  <c r="U39" i="1"/>
  <c r="N39" i="1"/>
  <c r="J39" i="1"/>
  <c r="I39" i="1"/>
  <c r="BX38" i="1"/>
  <c r="BU38" i="1"/>
  <c r="BE38" i="1"/>
  <c r="BA38" i="1"/>
  <c r="AZ38" i="1"/>
  <c r="AV38" i="1"/>
  <c r="AQ38" i="1"/>
  <c r="AP38" i="1"/>
  <c r="AK38" i="1"/>
  <c r="AH38" i="1" s="1"/>
  <c r="AJ38" i="1"/>
  <c r="AF38" i="1"/>
  <c r="AE38" i="1"/>
  <c r="Z38" i="1"/>
  <c r="U38" i="1"/>
  <c r="N38" i="1"/>
  <c r="J38" i="1"/>
  <c r="I38" i="1"/>
  <c r="BV37" i="1"/>
  <c r="BX37" i="1" s="1"/>
  <c r="BU37" i="1"/>
  <c r="BE37" i="1"/>
  <c r="BA37" i="1"/>
  <c r="AZ37" i="1"/>
  <c r="BB37" i="1" s="1"/>
  <c r="AV37" i="1"/>
  <c r="AQ37" i="1"/>
  <c r="AP37" i="1"/>
  <c r="AK37" i="1"/>
  <c r="BS37" i="1" s="1"/>
  <c r="AJ37" i="1"/>
  <c r="AF37" i="1"/>
  <c r="AD37" i="1"/>
  <c r="AE37" i="1" s="1"/>
  <c r="Z37" i="1"/>
  <c r="U37" i="1"/>
  <c r="M37" i="1"/>
  <c r="J37" i="1" s="1"/>
  <c r="L37" i="1"/>
  <c r="BX36" i="1"/>
  <c r="BU36" i="1"/>
  <c r="BE36" i="1"/>
  <c r="BA36" i="1"/>
  <c r="AZ36" i="1"/>
  <c r="BG36" i="1" s="1"/>
  <c r="AV36" i="1"/>
  <c r="AQ36" i="1"/>
  <c r="AP36" i="1"/>
  <c r="AK36" i="1"/>
  <c r="BS36" i="1" s="1"/>
  <c r="AJ36" i="1"/>
  <c r="AF36" i="1"/>
  <c r="AE36" i="1"/>
  <c r="Z36" i="1"/>
  <c r="U36" i="1"/>
  <c r="N36" i="1"/>
  <c r="J36" i="1"/>
  <c r="I36" i="1"/>
  <c r="K36" i="1" s="1"/>
  <c r="BV35" i="1"/>
  <c r="BX35" i="1" s="1"/>
  <c r="BU35" i="1"/>
  <c r="BE35" i="1"/>
  <c r="BA35" i="1"/>
  <c r="AZ35" i="1"/>
  <c r="AV35" i="1"/>
  <c r="AQ35" i="1"/>
  <c r="AP35" i="1"/>
  <c r="AK35" i="1"/>
  <c r="AH35" i="1" s="1"/>
  <c r="AJ35" i="1"/>
  <c r="AF35" i="1"/>
  <c r="AE35" i="1"/>
  <c r="Z35" i="1"/>
  <c r="U35" i="1"/>
  <c r="N35" i="1"/>
  <c r="J35" i="1"/>
  <c r="I35" i="1"/>
  <c r="BX34" i="1"/>
  <c r="BU34" i="1"/>
  <c r="BE34" i="1"/>
  <c r="BA34" i="1"/>
  <c r="AZ34" i="1"/>
  <c r="AV34" i="1"/>
  <c r="AQ34" i="1"/>
  <c r="AP34" i="1"/>
  <c r="AK34" i="1"/>
  <c r="BS34" i="1" s="1"/>
  <c r="AJ34" i="1"/>
  <c r="AF34" i="1"/>
  <c r="AE34" i="1"/>
  <c r="Z34" i="1"/>
  <c r="U34" i="1"/>
  <c r="N34" i="1"/>
  <c r="J34" i="1"/>
  <c r="I34" i="1"/>
  <c r="BX33" i="1"/>
  <c r="BU33" i="1"/>
  <c r="BE33" i="1"/>
  <c r="BA33" i="1"/>
  <c r="AZ33" i="1"/>
  <c r="AV33" i="1"/>
  <c r="AQ33" i="1"/>
  <c r="AP33" i="1"/>
  <c r="AK33" i="1"/>
  <c r="BS33" i="1" s="1"/>
  <c r="AJ33" i="1"/>
  <c r="AF33" i="1"/>
  <c r="AE33" i="1"/>
  <c r="Z33" i="1"/>
  <c r="U33" i="1"/>
  <c r="N33" i="1"/>
  <c r="J33" i="1"/>
  <c r="I33" i="1"/>
  <c r="K33" i="1" s="1"/>
  <c r="BX32" i="1"/>
  <c r="BF32" i="1"/>
  <c r="BF31" i="1" s="1"/>
  <c r="BC32" i="1"/>
  <c r="BC31" i="1" s="1"/>
  <c r="AY32" i="1"/>
  <c r="AY31" i="1" s="1"/>
  <c r="AT32" i="1"/>
  <c r="AT31" i="1" s="1"/>
  <c r="AO32" i="1"/>
  <c r="AO31" i="1" s="1"/>
  <c r="AN32" i="1"/>
  <c r="AN31" i="1" s="1"/>
  <c r="AM32" i="1"/>
  <c r="AM31" i="1" s="1"/>
  <c r="AF32" i="1"/>
  <c r="AC32" i="1"/>
  <c r="AC31" i="1" s="1"/>
  <c r="AB32" i="1"/>
  <c r="AB31" i="1" s="1"/>
  <c r="AA32" i="1"/>
  <c r="Y32" i="1"/>
  <c r="Y31" i="1" s="1"/>
  <c r="X32" i="1"/>
  <c r="X31" i="1" s="1"/>
  <c r="W32" i="1"/>
  <c r="W31" i="1" s="1"/>
  <c r="V32" i="1"/>
  <c r="T32" i="1"/>
  <c r="S32" i="1"/>
  <c r="S31" i="1" s="1"/>
  <c r="R32" i="1"/>
  <c r="R31" i="1" s="1"/>
  <c r="Q32" i="1"/>
  <c r="P32" i="1"/>
  <c r="P31" i="1" s="1"/>
  <c r="O32" i="1"/>
  <c r="O31" i="1" s="1"/>
  <c r="H32" i="1"/>
  <c r="D32" i="1"/>
  <c r="C32" i="1"/>
  <c r="C31" i="1" s="1"/>
  <c r="BX31" i="1"/>
  <c r="AF31" i="1"/>
  <c r="AA31" i="1"/>
  <c r="V31" i="1"/>
  <c r="T31" i="1"/>
  <c r="Q31" i="1"/>
  <c r="H31" i="1"/>
  <c r="D31" i="1"/>
  <c r="BX30" i="1"/>
  <c r="BX29" i="1"/>
  <c r="BU29" i="1"/>
  <c r="BE29" i="1"/>
  <c r="BA29" i="1"/>
  <c r="AZ29" i="1"/>
  <c r="AV29" i="1"/>
  <c r="AQ29" i="1"/>
  <c r="AP29" i="1"/>
  <c r="AK29" i="1"/>
  <c r="BS29" i="1" s="1"/>
  <c r="AJ29" i="1"/>
  <c r="BR29" i="1" s="1"/>
  <c r="AF29" i="1"/>
  <c r="AE29" i="1"/>
  <c r="Z29" i="1"/>
  <c r="U29" i="1"/>
  <c r="N29" i="1"/>
  <c r="J29" i="1"/>
  <c r="I29" i="1"/>
  <c r="BX28" i="1"/>
  <c r="BU28" i="1"/>
  <c r="BE28" i="1"/>
  <c r="BA28" i="1"/>
  <c r="AZ28" i="1"/>
  <c r="AV28" i="1"/>
  <c r="AQ28" i="1"/>
  <c r="AP28" i="1"/>
  <c r="AK28" i="1"/>
  <c r="BS28" i="1" s="1"/>
  <c r="AJ28" i="1"/>
  <c r="BR28" i="1" s="1"/>
  <c r="AF28" i="1"/>
  <c r="AE28" i="1"/>
  <c r="Z28" i="1"/>
  <c r="U28" i="1"/>
  <c r="N28" i="1"/>
  <c r="J28" i="1"/>
  <c r="I28" i="1"/>
  <c r="BX27" i="1"/>
  <c r="BU27" i="1"/>
  <c r="BE27" i="1"/>
  <c r="BA27" i="1"/>
  <c r="AZ27" i="1"/>
  <c r="AV27" i="1"/>
  <c r="AQ27" i="1"/>
  <c r="AP27" i="1"/>
  <c r="AK27" i="1"/>
  <c r="BS27" i="1" s="1"/>
  <c r="AJ27" i="1"/>
  <c r="AF27" i="1"/>
  <c r="AE27" i="1"/>
  <c r="Z27" i="1"/>
  <c r="U27" i="1"/>
  <c r="N27" i="1"/>
  <c r="J27" i="1"/>
  <c r="I27" i="1"/>
  <c r="BX26" i="1"/>
  <c r="BU26" i="1"/>
  <c r="BE26" i="1"/>
  <c r="BA26" i="1"/>
  <c r="AZ26" i="1"/>
  <c r="AV26" i="1"/>
  <c r="AQ26" i="1"/>
  <c r="AP26" i="1"/>
  <c r="AK26" i="1"/>
  <c r="BS26" i="1" s="1"/>
  <c r="AJ26" i="1"/>
  <c r="AF26" i="1"/>
  <c r="AE26" i="1"/>
  <c r="Z26" i="1"/>
  <c r="U26" i="1"/>
  <c r="N26" i="1"/>
  <c r="J26" i="1"/>
  <c r="I26" i="1"/>
  <c r="BX25" i="1"/>
  <c r="BU25" i="1"/>
  <c r="BE25" i="1"/>
  <c r="BA25" i="1"/>
  <c r="AZ25" i="1"/>
  <c r="AV25" i="1"/>
  <c r="AQ25" i="1"/>
  <c r="AP25" i="1"/>
  <c r="AK25" i="1"/>
  <c r="BS25" i="1" s="1"/>
  <c r="AJ25" i="1"/>
  <c r="BR25" i="1" s="1"/>
  <c r="AF25" i="1"/>
  <c r="AE25" i="1"/>
  <c r="Z25" i="1"/>
  <c r="U25" i="1"/>
  <c r="N25" i="1"/>
  <c r="J25" i="1"/>
  <c r="I25" i="1"/>
  <c r="K25" i="1" s="1"/>
  <c r="BX24" i="1"/>
  <c r="BU24" i="1"/>
  <c r="BE24" i="1"/>
  <c r="BA24" i="1"/>
  <c r="BH24" i="1" s="1"/>
  <c r="AZ24" i="1"/>
  <c r="AV24" i="1"/>
  <c r="AQ24" i="1"/>
  <c r="AP24" i="1"/>
  <c r="AR24" i="1" s="1"/>
  <c r="AK24" i="1"/>
  <c r="BS24" i="1" s="1"/>
  <c r="AJ24" i="1"/>
  <c r="BR24" i="1" s="1"/>
  <c r="AF24" i="1"/>
  <c r="AE24" i="1"/>
  <c r="Z24" i="1"/>
  <c r="U24" i="1"/>
  <c r="N24" i="1"/>
  <c r="J24" i="1"/>
  <c r="I24" i="1"/>
  <c r="BX23" i="1"/>
  <c r="BU23" i="1"/>
  <c r="BE23" i="1"/>
  <c r="BA23" i="1"/>
  <c r="AZ23" i="1"/>
  <c r="AV23" i="1"/>
  <c r="AQ23" i="1"/>
  <c r="AP23" i="1"/>
  <c r="AK23" i="1"/>
  <c r="BS23" i="1" s="1"/>
  <c r="AJ23" i="1"/>
  <c r="AF23" i="1"/>
  <c r="AE23" i="1"/>
  <c r="Z23" i="1"/>
  <c r="U23" i="1"/>
  <c r="N23" i="1"/>
  <c r="J23" i="1"/>
  <c r="I23" i="1"/>
  <c r="BX22" i="1"/>
  <c r="BU22" i="1"/>
  <c r="BE22" i="1"/>
  <c r="BA22" i="1"/>
  <c r="AZ22" i="1"/>
  <c r="AV22" i="1"/>
  <c r="AQ22" i="1"/>
  <c r="AP22" i="1"/>
  <c r="AK22" i="1"/>
  <c r="BS22" i="1" s="1"/>
  <c r="AJ22" i="1"/>
  <c r="AL22" i="1" s="1"/>
  <c r="AF22" i="1"/>
  <c r="AE22" i="1"/>
  <c r="Z22" i="1"/>
  <c r="U22" i="1"/>
  <c r="N22" i="1"/>
  <c r="J22" i="1"/>
  <c r="I22" i="1"/>
  <c r="BX21" i="1"/>
  <c r="BU21" i="1"/>
  <c r="BE21" i="1"/>
  <c r="BA21" i="1"/>
  <c r="AZ21" i="1"/>
  <c r="AV21" i="1"/>
  <c r="AQ21" i="1"/>
  <c r="AP21" i="1"/>
  <c r="AK21" i="1"/>
  <c r="BS21" i="1" s="1"/>
  <c r="AJ21" i="1"/>
  <c r="BR21" i="1" s="1"/>
  <c r="AF21" i="1"/>
  <c r="AE21" i="1"/>
  <c r="Z21" i="1"/>
  <c r="U21" i="1"/>
  <c r="N21" i="1"/>
  <c r="J21" i="1"/>
  <c r="I21" i="1"/>
  <c r="BX20" i="1"/>
  <c r="BU20" i="1"/>
  <c r="BE20" i="1"/>
  <c r="BA20" i="1"/>
  <c r="AZ20" i="1"/>
  <c r="AV20" i="1"/>
  <c r="AQ20" i="1"/>
  <c r="AP20" i="1"/>
  <c r="AK20" i="1"/>
  <c r="BS20" i="1" s="1"/>
  <c r="AJ20" i="1"/>
  <c r="BR20" i="1" s="1"/>
  <c r="AF20" i="1"/>
  <c r="AE20" i="1"/>
  <c r="Z20" i="1"/>
  <c r="U20" i="1"/>
  <c r="N20" i="1"/>
  <c r="J20" i="1"/>
  <c r="I20" i="1"/>
  <c r="BX19" i="1"/>
  <c r="BU19" i="1"/>
  <c r="BE19" i="1"/>
  <c r="BA19" i="1"/>
  <c r="AZ19" i="1"/>
  <c r="AV19" i="1"/>
  <c r="AQ19" i="1"/>
  <c r="AP19" i="1"/>
  <c r="AK19" i="1"/>
  <c r="BS19" i="1" s="1"/>
  <c r="AJ19" i="1"/>
  <c r="AF19" i="1"/>
  <c r="AE19" i="1"/>
  <c r="Z19" i="1"/>
  <c r="U19" i="1"/>
  <c r="N19" i="1"/>
  <c r="J19" i="1"/>
  <c r="I19" i="1"/>
  <c r="BX18" i="1"/>
  <c r="BU18" i="1"/>
  <c r="BE18" i="1"/>
  <c r="BA18" i="1"/>
  <c r="AZ18" i="1"/>
  <c r="AV18" i="1"/>
  <c r="AQ18" i="1"/>
  <c r="AP18" i="1"/>
  <c r="AK18" i="1"/>
  <c r="BS18" i="1" s="1"/>
  <c r="AJ18" i="1"/>
  <c r="AF18" i="1"/>
  <c r="AE18" i="1"/>
  <c r="Z18" i="1"/>
  <c r="U18" i="1"/>
  <c r="N18" i="1"/>
  <c r="J18" i="1"/>
  <c r="I18" i="1"/>
  <c r="BX17" i="1"/>
  <c r="BU17" i="1"/>
  <c r="BE17" i="1"/>
  <c r="BA17" i="1"/>
  <c r="AZ17" i="1"/>
  <c r="AV17" i="1"/>
  <c r="AQ17" i="1"/>
  <c r="AP17" i="1"/>
  <c r="AK17" i="1"/>
  <c r="BS17" i="1" s="1"/>
  <c r="AJ17" i="1"/>
  <c r="BR17" i="1" s="1"/>
  <c r="AF17" i="1"/>
  <c r="AE17" i="1"/>
  <c r="Z17" i="1"/>
  <c r="U17" i="1"/>
  <c r="N17" i="1"/>
  <c r="J17" i="1"/>
  <c r="I17" i="1"/>
  <c r="K17" i="1" s="1"/>
  <c r="BX16" i="1"/>
  <c r="BU16" i="1"/>
  <c r="BE16" i="1"/>
  <c r="BA16" i="1"/>
  <c r="BH16" i="1" s="1"/>
  <c r="AZ16" i="1"/>
  <c r="AV16" i="1"/>
  <c r="AQ16" i="1"/>
  <c r="AP16" i="1"/>
  <c r="AR16" i="1" s="1"/>
  <c r="AK16" i="1"/>
  <c r="BS16" i="1" s="1"/>
  <c r="AJ16" i="1"/>
  <c r="BR16" i="1" s="1"/>
  <c r="AF16" i="1"/>
  <c r="AE16" i="1"/>
  <c r="Z16" i="1"/>
  <c r="U16" i="1"/>
  <c r="N16" i="1"/>
  <c r="J16" i="1"/>
  <c r="I16" i="1"/>
  <c r="BX15" i="1"/>
  <c r="BU15" i="1"/>
  <c r="BE15" i="1"/>
  <c r="BA15" i="1"/>
  <c r="AZ15" i="1"/>
  <c r="AV15" i="1"/>
  <c r="AQ15" i="1"/>
  <c r="AP15" i="1"/>
  <c r="AK15" i="1"/>
  <c r="BS15" i="1" s="1"/>
  <c r="AJ15" i="1"/>
  <c r="AF15" i="1"/>
  <c r="AE15" i="1"/>
  <c r="Z15" i="1"/>
  <c r="U15" i="1"/>
  <c r="N15" i="1"/>
  <c r="J15" i="1"/>
  <c r="I15" i="1"/>
  <c r="K15" i="1" s="1"/>
  <c r="BX14" i="1"/>
  <c r="BU14" i="1"/>
  <c r="BE14" i="1"/>
  <c r="BA14" i="1"/>
  <c r="AZ14" i="1"/>
  <c r="AV14" i="1"/>
  <c r="AQ14" i="1"/>
  <c r="AP14" i="1"/>
  <c r="AK14" i="1"/>
  <c r="BS14" i="1" s="1"/>
  <c r="AJ14" i="1"/>
  <c r="AF14" i="1"/>
  <c r="AE14" i="1"/>
  <c r="Z14" i="1"/>
  <c r="U14" i="1"/>
  <c r="N14" i="1"/>
  <c r="J14" i="1"/>
  <c r="I14" i="1"/>
  <c r="K14" i="1" s="1"/>
  <c r="BX13" i="1"/>
  <c r="BU13" i="1"/>
  <c r="BE13" i="1"/>
  <c r="BA13" i="1"/>
  <c r="AZ13" i="1"/>
  <c r="AV13" i="1"/>
  <c r="AQ13" i="1"/>
  <c r="AP13" i="1"/>
  <c r="AK13" i="1"/>
  <c r="AJ13" i="1"/>
  <c r="BR13" i="1" s="1"/>
  <c r="AF13" i="1"/>
  <c r="AE13" i="1"/>
  <c r="Z13" i="1"/>
  <c r="U13" i="1"/>
  <c r="N13" i="1"/>
  <c r="J13" i="1"/>
  <c r="I13" i="1"/>
  <c r="BX12" i="1"/>
  <c r="BU12" i="1"/>
  <c r="BE12" i="1"/>
  <c r="BA12" i="1"/>
  <c r="AZ12" i="1"/>
  <c r="AV12" i="1"/>
  <c r="AQ12" i="1"/>
  <c r="AP12" i="1"/>
  <c r="AK12" i="1"/>
  <c r="BS12" i="1" s="1"/>
  <c r="AJ12" i="1"/>
  <c r="AF12" i="1"/>
  <c r="AE12" i="1"/>
  <c r="Z12" i="1"/>
  <c r="U12" i="1"/>
  <c r="N12" i="1"/>
  <c r="J12" i="1"/>
  <c r="I12" i="1"/>
  <c r="BX11" i="1"/>
  <c r="BF11" i="1"/>
  <c r="BD11" i="1"/>
  <c r="BD10" i="1" s="1"/>
  <c r="BD9" i="1" s="1"/>
  <c r="BC11" i="1"/>
  <c r="BC10" i="1" s="1"/>
  <c r="BC9" i="1" s="1"/>
  <c r="AY11" i="1"/>
  <c r="AU11" i="1"/>
  <c r="AU10" i="1" s="1"/>
  <c r="AU9" i="1" s="1"/>
  <c r="AT11" i="1"/>
  <c r="AT10" i="1" s="1"/>
  <c r="AT9" i="1" s="1"/>
  <c r="AO11" i="1"/>
  <c r="AN11" i="1"/>
  <c r="AM11" i="1"/>
  <c r="AM10" i="1" s="1"/>
  <c r="AM9" i="1" s="1"/>
  <c r="AF11" i="1"/>
  <c r="AD11" i="1"/>
  <c r="AD10" i="1" s="1"/>
  <c r="AD9" i="1" s="1"/>
  <c r="AC11" i="1"/>
  <c r="AC10" i="1" s="1"/>
  <c r="AC9" i="1" s="1"/>
  <c r="AB11" i="1"/>
  <c r="AA11" i="1"/>
  <c r="AA10" i="1" s="1"/>
  <c r="AA9" i="1" s="1"/>
  <c r="Y11" i="1"/>
  <c r="X11" i="1"/>
  <c r="X10" i="1" s="1"/>
  <c r="X9" i="1" s="1"/>
  <c r="W11" i="1"/>
  <c r="W10" i="1" s="1"/>
  <c r="W9" i="1" s="1"/>
  <c r="V11" i="1"/>
  <c r="V10" i="1" s="1"/>
  <c r="V9" i="1" s="1"/>
  <c r="T11" i="1"/>
  <c r="T10" i="1" s="1"/>
  <c r="T9" i="1" s="1"/>
  <c r="S11" i="1"/>
  <c r="S10" i="1" s="1"/>
  <c r="S9" i="1" s="1"/>
  <c r="P11" i="1"/>
  <c r="P10" i="1" s="1"/>
  <c r="P9" i="1" s="1"/>
  <c r="O11" i="1"/>
  <c r="O10" i="1" s="1"/>
  <c r="O9" i="1" s="1"/>
  <c r="M11" i="1"/>
  <c r="M10" i="1" s="1"/>
  <c r="M9" i="1" s="1"/>
  <c r="L11" i="1"/>
  <c r="L10" i="1" s="1"/>
  <c r="L9" i="1" s="1"/>
  <c r="H11" i="1"/>
  <c r="H10" i="1" s="1"/>
  <c r="H9" i="1" s="1"/>
  <c r="D11" i="1"/>
  <c r="D10" i="1" s="1"/>
  <c r="D9" i="1" s="1"/>
  <c r="C11" i="1"/>
  <c r="C10" i="1" s="1"/>
  <c r="C9" i="1" s="1"/>
  <c r="BX10" i="1"/>
  <c r="BF10" i="1"/>
  <c r="BF9" i="1" s="1"/>
  <c r="AY10" i="1"/>
  <c r="AY9" i="1" s="1"/>
  <c r="AO10" i="1"/>
  <c r="AO9" i="1" s="1"/>
  <c r="AN10" i="1"/>
  <c r="AF10" i="1"/>
  <c r="AB10" i="1"/>
  <c r="AB9" i="1" s="1"/>
  <c r="Y10" i="1"/>
  <c r="Y9" i="1" s="1"/>
  <c r="BX9" i="1"/>
  <c r="AN9" i="1"/>
  <c r="AF9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J8" i="1"/>
  <c r="CI8" i="1"/>
  <c r="CH8" i="1"/>
  <c r="CG8" i="1"/>
  <c r="CF8" i="1"/>
  <c r="CE8" i="1"/>
  <c r="CD8" i="1"/>
  <c r="CC8" i="1"/>
  <c r="CB8" i="1"/>
  <c r="CA8" i="1"/>
  <c r="BZ8" i="1"/>
  <c r="BY8" i="1"/>
  <c r="BW8" i="1"/>
  <c r="BN8" i="1"/>
  <c r="BM8" i="1"/>
  <c r="DM6" i="1"/>
  <c r="DM5" i="1"/>
  <c r="DN5" i="1" s="1"/>
  <c r="DM4" i="1"/>
  <c r="BG62" i="1" l="1"/>
  <c r="AG64" i="1"/>
  <c r="BH85" i="1"/>
  <c r="K86" i="1"/>
  <c r="AR88" i="1"/>
  <c r="BH103" i="1"/>
  <c r="BG104" i="1"/>
  <c r="BB104" i="1"/>
  <c r="BP105" i="1"/>
  <c r="BG109" i="1"/>
  <c r="AL136" i="1"/>
  <c r="AG146" i="1"/>
  <c r="AG149" i="1"/>
  <c r="AR150" i="1"/>
  <c r="AR154" i="1"/>
  <c r="K155" i="1"/>
  <c r="BH160" i="1"/>
  <c r="AE175" i="1"/>
  <c r="BH185" i="1"/>
  <c r="BG328" i="1"/>
  <c r="AH359" i="1"/>
  <c r="BS359" i="1"/>
  <c r="BH420" i="1"/>
  <c r="BS439" i="1"/>
  <c r="AH439" i="1"/>
  <c r="BG442" i="1"/>
  <c r="AR442" i="1"/>
  <c r="BS447" i="1"/>
  <c r="AH447" i="1"/>
  <c r="BP475" i="1"/>
  <c r="AH540" i="1"/>
  <c r="BS540" i="1"/>
  <c r="BP540" i="1" s="1"/>
  <c r="BR145" i="1"/>
  <c r="BO145" i="1" s="1"/>
  <c r="AG145" i="1"/>
  <c r="BS157" i="1"/>
  <c r="AH157" i="1"/>
  <c r="BR317" i="1"/>
  <c r="AG317" i="1"/>
  <c r="BS512" i="1"/>
  <c r="BP512" i="1" s="1"/>
  <c r="AL512" i="1"/>
  <c r="BP26" i="1"/>
  <c r="BP29" i="1"/>
  <c r="K50" i="1"/>
  <c r="BG51" i="1"/>
  <c r="BS136" i="1"/>
  <c r="AH136" i="1"/>
  <c r="BG344" i="1"/>
  <c r="AR344" i="1"/>
  <c r="BS375" i="1"/>
  <c r="AH375" i="1"/>
  <c r="BS383" i="1"/>
  <c r="BP383" i="1" s="1"/>
  <c r="AH383" i="1"/>
  <c r="BR456" i="1"/>
  <c r="BO456" i="1" s="1"/>
  <c r="AG456" i="1"/>
  <c r="AH459" i="1"/>
  <c r="BS459" i="1"/>
  <c r="N504" i="1"/>
  <c r="J504" i="1"/>
  <c r="M201" i="1"/>
  <c r="AQ504" i="1"/>
  <c r="AV504" i="1"/>
  <c r="BH349" i="1"/>
  <c r="AR349" i="1"/>
  <c r="BP37" i="1"/>
  <c r="BP41" i="1"/>
  <c r="AG25" i="1"/>
  <c r="AH28" i="1"/>
  <c r="BH29" i="1"/>
  <c r="M32" i="1"/>
  <c r="M31" i="1" s="1"/>
  <c r="K34" i="1"/>
  <c r="K39" i="1"/>
  <c r="K43" i="1"/>
  <c r="K46" i="1"/>
  <c r="BB47" i="1"/>
  <c r="AK48" i="1"/>
  <c r="BS48" i="1" s="1"/>
  <c r="BB48" i="1"/>
  <c r="AL49" i="1"/>
  <c r="AR52" i="1"/>
  <c r="K53" i="1"/>
  <c r="K57" i="1"/>
  <c r="AG58" i="1"/>
  <c r="BB58" i="1"/>
  <c r="BB70" i="1"/>
  <c r="BB74" i="1"/>
  <c r="BH81" i="1"/>
  <c r="K82" i="1"/>
  <c r="AH84" i="1"/>
  <c r="BH84" i="1"/>
  <c r="BG91" i="1"/>
  <c r="BB100" i="1"/>
  <c r="BG102" i="1"/>
  <c r="BB103" i="1"/>
  <c r="AR110" i="1"/>
  <c r="BP119" i="1"/>
  <c r="AH120" i="1"/>
  <c r="BH124" i="1"/>
  <c r="BB130" i="1"/>
  <c r="BB136" i="1"/>
  <c r="AH141" i="1"/>
  <c r="AL157" i="1"/>
  <c r="BH162" i="1"/>
  <c r="BR233" i="1"/>
  <c r="AG233" i="1"/>
  <c r="BS372" i="1"/>
  <c r="AH372" i="1"/>
  <c r="BS380" i="1"/>
  <c r="AH380" i="1"/>
  <c r="BR453" i="1"/>
  <c r="AG453" i="1"/>
  <c r="AV194" i="1"/>
  <c r="K255" i="1"/>
  <c r="BB255" i="1"/>
  <c r="BB266" i="1"/>
  <c r="BP267" i="1"/>
  <c r="BP287" i="1"/>
  <c r="BH297" i="1"/>
  <c r="K320" i="1"/>
  <c r="BH337" i="1"/>
  <c r="BG341" i="1"/>
  <c r="BH365" i="1"/>
  <c r="AL367" i="1"/>
  <c r="BH377" i="1"/>
  <c r="BG380" i="1"/>
  <c r="BB383" i="1"/>
  <c r="BH385" i="1"/>
  <c r="BH432" i="1"/>
  <c r="BP437" i="1"/>
  <c r="BG439" i="1"/>
  <c r="BB439" i="1"/>
  <c r="BP440" i="1"/>
  <c r="BG447" i="1"/>
  <c r="BG450" i="1"/>
  <c r="BH452" i="1"/>
  <c r="BH458" i="1"/>
  <c r="BH486" i="1"/>
  <c r="BP503" i="1"/>
  <c r="BH523" i="1"/>
  <c r="S530" i="1"/>
  <c r="BG545" i="1"/>
  <c r="BP167" i="1"/>
  <c r="BG173" i="1"/>
  <c r="BH176" i="1"/>
  <c r="K181" i="1"/>
  <c r="BH186" i="1"/>
  <c r="BP188" i="1"/>
  <c r="BH251" i="1"/>
  <c r="AU201" i="1"/>
  <c r="AU193" i="1" s="1"/>
  <c r="BB287" i="1"/>
  <c r="BB311" i="1"/>
  <c r="BH313" i="1"/>
  <c r="K318" i="1"/>
  <c r="BB318" i="1"/>
  <c r="BH331" i="1"/>
  <c r="K345" i="1"/>
  <c r="BH350" i="1"/>
  <c r="BP354" i="1"/>
  <c r="BG356" i="1"/>
  <c r="BH359" i="1"/>
  <c r="BH362" i="1"/>
  <c r="BG363" i="1"/>
  <c r="BH370" i="1"/>
  <c r="BP374" i="1"/>
  <c r="BH378" i="1"/>
  <c r="AL389" i="1"/>
  <c r="BG402" i="1"/>
  <c r="BH404" i="1"/>
  <c r="K414" i="1"/>
  <c r="BG414" i="1"/>
  <c r="BH416" i="1"/>
  <c r="BG418" i="1"/>
  <c r="BH425" i="1"/>
  <c r="BG426" i="1"/>
  <c r="BH429" i="1"/>
  <c r="K431" i="1"/>
  <c r="BH439" i="1"/>
  <c r="BH447" i="1"/>
  <c r="BP448" i="1"/>
  <c r="BH450" i="1"/>
  <c r="K451" i="1"/>
  <c r="BG457" i="1"/>
  <c r="BH471" i="1"/>
  <c r="BH480" i="1"/>
  <c r="BH491" i="1"/>
  <c r="AR493" i="1"/>
  <c r="K499" i="1"/>
  <c r="BS504" i="1"/>
  <c r="BH506" i="1"/>
  <c r="BP508" i="1"/>
  <c r="N512" i="1"/>
  <c r="K518" i="1"/>
  <c r="C530" i="1"/>
  <c r="BG533" i="1"/>
  <c r="BH535" i="1"/>
  <c r="AG540" i="1"/>
  <c r="BP128" i="1"/>
  <c r="BG131" i="1"/>
  <c r="BB131" i="1"/>
  <c r="K132" i="1"/>
  <c r="K138" i="1"/>
  <c r="AL141" i="1"/>
  <c r="K159" i="1"/>
  <c r="BP159" i="1"/>
  <c r="BB159" i="1"/>
  <c r="AL160" i="1"/>
  <c r="BH181" i="1"/>
  <c r="BB189" i="1"/>
  <c r="X193" i="1"/>
  <c r="AT193" i="1"/>
  <c r="AR207" i="1"/>
  <c r="BB208" i="1"/>
  <c r="BP219" i="1"/>
  <c r="AH236" i="1"/>
  <c r="AL239" i="1"/>
  <c r="BH241" i="1"/>
  <c r="K242" i="1"/>
  <c r="AL263" i="1"/>
  <c r="BH267" i="1"/>
  <c r="AR268" i="1"/>
  <c r="BH268" i="1"/>
  <c r="BB269" i="1"/>
  <c r="BB282" i="1"/>
  <c r="K297" i="1"/>
  <c r="K319" i="1"/>
  <c r="K327" i="1"/>
  <c r="BB330" i="1"/>
  <c r="AR345" i="1"/>
  <c r="BH353" i="1"/>
  <c r="AH356" i="1"/>
  <c r="K358" i="1"/>
  <c r="BB365" i="1"/>
  <c r="BH367" i="1"/>
  <c r="BH371" i="1"/>
  <c r="K374" i="1"/>
  <c r="AL401" i="1"/>
  <c r="K410" i="1"/>
  <c r="AR418" i="1"/>
  <c r="K435" i="1"/>
  <c r="AH437" i="1"/>
  <c r="K439" i="1"/>
  <c r="K442" i="1"/>
  <c r="AR446" i="1"/>
  <c r="BB446" i="1"/>
  <c r="BB458" i="1"/>
  <c r="K460" i="1"/>
  <c r="BB466" i="1"/>
  <c r="AR469" i="1"/>
  <c r="K470" i="1"/>
  <c r="K474" i="1"/>
  <c r="BI479" i="1"/>
  <c r="AH503" i="1"/>
  <c r="BG504" i="1"/>
  <c r="BG520" i="1"/>
  <c r="T530" i="1"/>
  <c r="AF530" i="1"/>
  <c r="AR541" i="1"/>
  <c r="BV548" i="1"/>
  <c r="BV547" i="1" s="1"/>
  <c r="BS79" i="1"/>
  <c r="BP79" i="1" s="1"/>
  <c r="AH79" i="1"/>
  <c r="AQ163" i="1"/>
  <c r="AU67" i="1"/>
  <c r="AU66" i="1" s="1"/>
  <c r="AV163" i="1"/>
  <c r="BR257" i="1"/>
  <c r="AG257" i="1"/>
  <c r="BH22" i="1"/>
  <c r="K23" i="1"/>
  <c r="BP24" i="1"/>
  <c r="AR25" i="1"/>
  <c r="BP27" i="1"/>
  <c r="K41" i="1"/>
  <c r="BP42" i="1"/>
  <c r="BH47" i="1"/>
  <c r="BP48" i="1"/>
  <c r="BH55" i="1"/>
  <c r="AR64" i="1"/>
  <c r="BG71" i="1"/>
  <c r="BP72" i="1"/>
  <c r="BS94" i="1"/>
  <c r="BP94" i="1" s="1"/>
  <c r="AH94" i="1"/>
  <c r="BH110" i="1"/>
  <c r="BR117" i="1"/>
  <c r="BO117" i="1" s="1"/>
  <c r="AG117" i="1"/>
  <c r="BS161" i="1"/>
  <c r="AH161" i="1"/>
  <c r="BS174" i="1"/>
  <c r="AH174" i="1"/>
  <c r="AE176" i="1"/>
  <c r="AK176" i="1"/>
  <c r="AH176" i="1" s="1"/>
  <c r="BG302" i="1"/>
  <c r="BR316" i="1"/>
  <c r="BO316" i="1" s="1"/>
  <c r="AG316" i="1"/>
  <c r="BS343" i="1"/>
  <c r="AH343" i="1"/>
  <c r="BR400" i="1"/>
  <c r="BO400" i="1" s="1"/>
  <c r="AG400" i="1"/>
  <c r="AK417" i="1"/>
  <c r="AE417" i="1"/>
  <c r="BS460" i="1"/>
  <c r="AH460" i="1"/>
  <c r="BR466" i="1"/>
  <c r="BO466" i="1" s="1"/>
  <c r="AG466" i="1"/>
  <c r="AL466" i="1"/>
  <c r="AX466" i="1" s="1"/>
  <c r="BR476" i="1"/>
  <c r="AG476" i="1"/>
  <c r="BR505" i="1"/>
  <c r="AG505" i="1"/>
  <c r="AI505" i="1" s="1"/>
  <c r="AL505" i="1"/>
  <c r="BT520" i="1"/>
  <c r="BS145" i="1"/>
  <c r="AH145" i="1"/>
  <c r="AI145" i="1" s="1"/>
  <c r="AL145" i="1"/>
  <c r="BR241" i="1"/>
  <c r="AG241" i="1"/>
  <c r="AH291" i="1"/>
  <c r="BS291" i="1"/>
  <c r="BP291" i="1" s="1"/>
  <c r="AQ11" i="1"/>
  <c r="AQ10" i="1" s="1"/>
  <c r="AQ9" i="1" s="1"/>
  <c r="BP18" i="1"/>
  <c r="BP21" i="1"/>
  <c r="BG34" i="1"/>
  <c r="BH36" i="1"/>
  <c r="BI36" i="1" s="1"/>
  <c r="BH37" i="1"/>
  <c r="BP39" i="1"/>
  <c r="BB42" i="1"/>
  <c r="AH60" i="1"/>
  <c r="BS87" i="1"/>
  <c r="BP87" i="1" s="1"/>
  <c r="AH87" i="1"/>
  <c r="BR114" i="1"/>
  <c r="AG114" i="1"/>
  <c r="BB250" i="1"/>
  <c r="BR294" i="1"/>
  <c r="BO294" i="1" s="1"/>
  <c r="AL294" i="1"/>
  <c r="BR352" i="1"/>
  <c r="AG352" i="1"/>
  <c r="I11" i="1"/>
  <c r="I10" i="1" s="1"/>
  <c r="I9" i="1" s="1"/>
  <c r="Z11" i="1"/>
  <c r="Z10" i="1" s="1"/>
  <c r="Z9" i="1" s="1"/>
  <c r="BP16" i="1"/>
  <c r="AG17" i="1"/>
  <c r="AR17" i="1"/>
  <c r="BP19" i="1"/>
  <c r="AH20" i="1"/>
  <c r="BH21" i="1"/>
  <c r="K22" i="1"/>
  <c r="BG22" i="1"/>
  <c r="AU32" i="1"/>
  <c r="AU31" i="1" s="1"/>
  <c r="U32" i="1"/>
  <c r="U31" i="1" s="1"/>
  <c r="AL36" i="1"/>
  <c r="AX36" i="1" s="1"/>
  <c r="AL37" i="1"/>
  <c r="AR39" i="1"/>
  <c r="L32" i="1"/>
  <c r="L31" i="1" s="1"/>
  <c r="AR50" i="1"/>
  <c r="K51" i="1"/>
  <c r="BP56" i="1"/>
  <c r="K58" i="1"/>
  <c r="BG58" i="1"/>
  <c r="AR61" i="1"/>
  <c r="BP63" i="1"/>
  <c r="BP64" i="1"/>
  <c r="BS129" i="1"/>
  <c r="BP129" i="1" s="1"/>
  <c r="AH129" i="1"/>
  <c r="BS172" i="1"/>
  <c r="AH172" i="1"/>
  <c r="AR183" i="1"/>
  <c r="BG183" i="1"/>
  <c r="BR275" i="1"/>
  <c r="AG275" i="1"/>
  <c r="AH305" i="1"/>
  <c r="BS305" i="1"/>
  <c r="K72" i="1"/>
  <c r="BP73" i="1"/>
  <c r="K76" i="1"/>
  <c r="BP77" i="1"/>
  <c r="AL81" i="1"/>
  <c r="AR83" i="1"/>
  <c r="K84" i="1"/>
  <c r="AL84" i="1"/>
  <c r="K88" i="1"/>
  <c r="K95" i="1"/>
  <c r="BP98" i="1"/>
  <c r="BH100" i="1"/>
  <c r="K101" i="1"/>
  <c r="BP104" i="1"/>
  <c r="AH105" i="1"/>
  <c r="AG113" i="1"/>
  <c r="BP124" i="1"/>
  <c r="BS125" i="1"/>
  <c r="BP125" i="1" s="1"/>
  <c r="AR126" i="1"/>
  <c r="K137" i="1"/>
  <c r="BG137" i="1"/>
  <c r="BH146" i="1"/>
  <c r="BP148" i="1"/>
  <c r="BB155" i="1"/>
  <c r="BB157" i="1"/>
  <c r="AG158" i="1"/>
  <c r="BG161" i="1"/>
  <c r="BB162" i="1"/>
  <c r="BB166" i="1"/>
  <c r="BP171" i="1"/>
  <c r="AG172" i="1"/>
  <c r="AI172" i="1" s="1"/>
  <c r="AL172" i="1"/>
  <c r="K175" i="1"/>
  <c r="K180" i="1"/>
  <c r="BG180" i="1"/>
  <c r="K182" i="1"/>
  <c r="BB182" i="1"/>
  <c r="BH188" i="1"/>
  <c r="AH191" i="1"/>
  <c r="K196" i="1"/>
  <c r="BG196" i="1"/>
  <c r="BP205" i="1"/>
  <c r="BS206" i="1"/>
  <c r="BT206" i="1" s="1"/>
  <c r="BS216" i="1"/>
  <c r="BP216" i="1" s="1"/>
  <c r="K220" i="1"/>
  <c r="BH223" i="1"/>
  <c r="K228" i="1"/>
  <c r="BB231" i="1"/>
  <c r="AR233" i="1"/>
  <c r="BP235" i="1"/>
  <c r="K244" i="1"/>
  <c r="BH244" i="1"/>
  <c r="BB247" i="1"/>
  <c r="BP248" i="1"/>
  <c r="BP251" i="1"/>
  <c r="AR253" i="1"/>
  <c r="AL255" i="1"/>
  <c r="BH259" i="1"/>
  <c r="BH260" i="1"/>
  <c r="K261" i="1"/>
  <c r="BH263" i="1"/>
  <c r="BB270" i="1"/>
  <c r="AG271" i="1"/>
  <c r="BP280" i="1"/>
  <c r="BP288" i="1"/>
  <c r="BG291" i="1"/>
  <c r="BS294" i="1"/>
  <c r="BH310" i="1"/>
  <c r="BP311" i="1"/>
  <c r="BH323" i="1"/>
  <c r="K332" i="1"/>
  <c r="BG332" i="1"/>
  <c r="BP346" i="1"/>
  <c r="AR376" i="1"/>
  <c r="BG376" i="1"/>
  <c r="BR425" i="1"/>
  <c r="BO425" i="1" s="1"/>
  <c r="AG425" i="1"/>
  <c r="BG427" i="1"/>
  <c r="AR427" i="1"/>
  <c r="BS436" i="1"/>
  <c r="BP436" i="1" s="1"/>
  <c r="AH436" i="1"/>
  <c r="BS509" i="1"/>
  <c r="BP509" i="1" s="1"/>
  <c r="AH509" i="1"/>
  <c r="BP544" i="1"/>
  <c r="AT530" i="1"/>
  <c r="AR69" i="1"/>
  <c r="K81" i="1"/>
  <c r="K93" i="1"/>
  <c r="BB93" i="1"/>
  <c r="BB118" i="1"/>
  <c r="K144" i="1"/>
  <c r="BB151" i="1"/>
  <c r="BB163" i="1"/>
  <c r="BH168" i="1"/>
  <c r="BB177" i="1"/>
  <c r="AR181" i="1"/>
  <c r="BH184" i="1"/>
  <c r="K186" i="1"/>
  <c r="K190" i="1"/>
  <c r="AG195" i="1"/>
  <c r="BE194" i="1"/>
  <c r="C193" i="1"/>
  <c r="C30" i="1" s="1"/>
  <c r="C8" i="1" s="1"/>
  <c r="M193" i="1"/>
  <c r="AC193" i="1"/>
  <c r="BB198" i="1"/>
  <c r="AK199" i="1"/>
  <c r="BS199" i="1" s="1"/>
  <c r="BP199" i="1" s="1"/>
  <c r="BG199" i="1"/>
  <c r="BB200" i="1"/>
  <c r="AR212" i="1"/>
  <c r="BG242" i="1"/>
  <c r="BB245" i="1"/>
  <c r="K249" i="1"/>
  <c r="BB249" i="1"/>
  <c r="AR257" i="1"/>
  <c r="BH257" i="1"/>
  <c r="K258" i="1"/>
  <c r="K262" i="1"/>
  <c r="BS268" i="1"/>
  <c r="BP268" i="1" s="1"/>
  <c r="BQ268" i="1" s="1"/>
  <c r="AR275" i="1"/>
  <c r="BB276" i="1"/>
  <c r="AL277" i="1"/>
  <c r="K286" i="1"/>
  <c r="BH308" i="1"/>
  <c r="BR310" i="1"/>
  <c r="BG311" i="1"/>
  <c r="BG316" i="1"/>
  <c r="K317" i="1"/>
  <c r="BB320" i="1"/>
  <c r="BH321" i="1"/>
  <c r="BH324" i="1"/>
  <c r="BB325" i="1"/>
  <c r="K328" i="1"/>
  <c r="K334" i="1"/>
  <c r="AL335" i="1"/>
  <c r="BH336" i="1"/>
  <c r="BB337" i="1"/>
  <c r="BH341" i="1"/>
  <c r="K342" i="1"/>
  <c r="BH345" i="1"/>
  <c r="BB347" i="1"/>
  <c r="AG348" i="1"/>
  <c r="K351" i="1"/>
  <c r="BR408" i="1"/>
  <c r="BO408" i="1" s="1"/>
  <c r="AG408" i="1"/>
  <c r="BR468" i="1"/>
  <c r="BO468" i="1" s="1"/>
  <c r="AG468" i="1"/>
  <c r="BS471" i="1"/>
  <c r="AH471" i="1"/>
  <c r="BS480" i="1"/>
  <c r="AH480" i="1"/>
  <c r="O530" i="1"/>
  <c r="AK545" i="1"/>
  <c r="BS545" i="1" s="1"/>
  <c r="AE545" i="1"/>
  <c r="K75" i="1"/>
  <c r="BH86" i="1"/>
  <c r="AL87" i="1"/>
  <c r="BH93" i="1"/>
  <c r="AL94" i="1"/>
  <c r="AX94" i="1" s="1"/>
  <c r="AR98" i="1"/>
  <c r="AR99" i="1"/>
  <c r="AR106" i="1"/>
  <c r="K108" i="1"/>
  <c r="K121" i="1"/>
  <c r="K122" i="1"/>
  <c r="AR130" i="1"/>
  <c r="BP133" i="1"/>
  <c r="K169" i="1"/>
  <c r="BB169" i="1"/>
  <c r="BB173" i="1"/>
  <c r="BB183" i="1"/>
  <c r="AL202" i="1"/>
  <c r="BS202" i="1"/>
  <c r="AR203" i="1"/>
  <c r="K204" i="1"/>
  <c r="BG209" i="1"/>
  <c r="BB211" i="1"/>
  <c r="K223" i="1"/>
  <c r="AR229" i="1"/>
  <c r="AL231" i="1"/>
  <c r="BP236" i="1"/>
  <c r="AR245" i="1"/>
  <c r="AL247" i="1"/>
  <c r="AR249" i="1"/>
  <c r="K250" i="1"/>
  <c r="BG250" i="1"/>
  <c r="AR252" i="1"/>
  <c r="BH252" i="1"/>
  <c r="K263" i="1"/>
  <c r="AL267" i="1"/>
  <c r="AX267" i="1" s="1"/>
  <c r="K268" i="1"/>
  <c r="AL268" i="1"/>
  <c r="BB274" i="1"/>
  <c r="K284" i="1"/>
  <c r="AR286" i="1"/>
  <c r="BH286" i="1"/>
  <c r="K287" i="1"/>
  <c r="AR294" i="1"/>
  <c r="BH294" i="1"/>
  <c r="BP301" i="1"/>
  <c r="K309" i="1"/>
  <c r="K310" i="1"/>
  <c r="K315" i="1"/>
  <c r="BR321" i="1"/>
  <c r="AH324" i="1"/>
  <c r="BB335" i="1"/>
  <c r="K340" i="1"/>
  <c r="AL343" i="1"/>
  <c r="K352" i="1"/>
  <c r="AH352" i="1"/>
  <c r="AH355" i="1"/>
  <c r="BG417" i="1"/>
  <c r="AR417" i="1"/>
  <c r="BB451" i="1"/>
  <c r="AH463" i="1"/>
  <c r="BS463" i="1"/>
  <c r="BR487" i="1"/>
  <c r="AG487" i="1"/>
  <c r="BG506" i="1"/>
  <c r="AR506" i="1"/>
  <c r="J545" i="1"/>
  <c r="M532" i="1"/>
  <c r="M531" i="1" s="1"/>
  <c r="N545" i="1"/>
  <c r="K354" i="1"/>
  <c r="BB358" i="1"/>
  <c r="BB361" i="1"/>
  <c r="BP362" i="1"/>
  <c r="AR364" i="1"/>
  <c r="BH366" i="1"/>
  <c r="BB377" i="1"/>
  <c r="BG379" i="1"/>
  <c r="BH381" i="1"/>
  <c r="BG384" i="1"/>
  <c r="BH391" i="1"/>
  <c r="BH399" i="1"/>
  <c r="BP403" i="1"/>
  <c r="BH407" i="1"/>
  <c r="BH412" i="1"/>
  <c r="AL413" i="1"/>
  <c r="AR414" i="1"/>
  <c r="BS419" i="1"/>
  <c r="BP419" i="1" s="1"/>
  <c r="BR424" i="1"/>
  <c r="BP428" i="1"/>
  <c r="K430" i="1"/>
  <c r="K434" i="1"/>
  <c r="BH438" i="1"/>
  <c r="BH443" i="1"/>
  <c r="K450" i="1"/>
  <c r="AH451" i="1"/>
  <c r="BH451" i="1"/>
  <c r="K452" i="1"/>
  <c r="AG454" i="1"/>
  <c r="K455" i="1"/>
  <c r="AH456" i="1"/>
  <c r="AI456" i="1" s="1"/>
  <c r="AR458" i="1"/>
  <c r="K459" i="1"/>
  <c r="AG462" i="1"/>
  <c r="AH464" i="1"/>
  <c r="BH464" i="1"/>
  <c r="K466" i="1"/>
  <c r="BB468" i="1"/>
  <c r="AG469" i="1"/>
  <c r="BH473" i="1"/>
  <c r="BG474" i="1"/>
  <c r="BB474" i="1"/>
  <c r="K475" i="1"/>
  <c r="AL476" i="1"/>
  <c r="BP479" i="1"/>
  <c r="AH481" i="1"/>
  <c r="BB483" i="1"/>
  <c r="BP499" i="1"/>
  <c r="AP502" i="1"/>
  <c r="BH504" i="1"/>
  <c r="BP507" i="1"/>
  <c r="AH512" i="1"/>
  <c r="AR512" i="1"/>
  <c r="AG514" i="1"/>
  <c r="AR524" i="1"/>
  <c r="BH529" i="1"/>
  <c r="V530" i="1"/>
  <c r="BF530" i="1"/>
  <c r="AQ536" i="1"/>
  <c r="BH536" i="1" s="1"/>
  <c r="BG539" i="1"/>
  <c r="BG544" i="1"/>
  <c r="BH356" i="1"/>
  <c r="BB363" i="1"/>
  <c r="AR377" i="1"/>
  <c r="AG384" i="1"/>
  <c r="BH387" i="1"/>
  <c r="K395" i="1"/>
  <c r="BB409" i="1"/>
  <c r="K411" i="1"/>
  <c r="K419" i="1"/>
  <c r="BB432" i="1"/>
  <c r="K481" i="1"/>
  <c r="BT512" i="1"/>
  <c r="AK515" i="1"/>
  <c r="BS515" i="1" s="1"/>
  <c r="BP515" i="1" s="1"/>
  <c r="K523" i="1"/>
  <c r="BH539" i="1"/>
  <c r="BI539" i="1" s="1"/>
  <c r="AI540" i="1"/>
  <c r="BH544" i="1"/>
  <c r="BB551" i="1"/>
  <c r="K552" i="1"/>
  <c r="BB552" i="1"/>
  <c r="BB360" i="1"/>
  <c r="BR364" i="1"/>
  <c r="AR365" i="1"/>
  <c r="AL371" i="1"/>
  <c r="BB376" i="1"/>
  <c r="K381" i="1"/>
  <c r="K384" i="1"/>
  <c r="K386" i="1"/>
  <c r="AL387" i="1"/>
  <c r="AX387" i="1" s="1"/>
  <c r="BB399" i="1"/>
  <c r="BH400" i="1"/>
  <c r="K427" i="1"/>
  <c r="BB443" i="1"/>
  <c r="K448" i="1"/>
  <c r="BH461" i="1"/>
  <c r="BB462" i="1"/>
  <c r="AL469" i="1"/>
  <c r="K479" i="1"/>
  <c r="BH483" i="1"/>
  <c r="AI514" i="1"/>
  <c r="K527" i="1"/>
  <c r="K533" i="1"/>
  <c r="AK537" i="1"/>
  <c r="AH537" i="1" s="1"/>
  <c r="X530" i="1"/>
  <c r="K555" i="1"/>
  <c r="BB555" i="1"/>
  <c r="BR105" i="1"/>
  <c r="BO105" i="1" s="1"/>
  <c r="BQ105" i="1" s="1"/>
  <c r="AL105" i="1"/>
  <c r="AG105" i="1"/>
  <c r="AI105" i="1" s="1"/>
  <c r="BR162" i="1"/>
  <c r="J163" i="1"/>
  <c r="M67" i="1"/>
  <c r="M66" i="1" s="1"/>
  <c r="M30" i="1" s="1"/>
  <c r="BR189" i="1"/>
  <c r="BO189" i="1" s="1"/>
  <c r="BR191" i="1"/>
  <c r="BO191" i="1" s="1"/>
  <c r="BQ191" i="1" s="1"/>
  <c r="AL191" i="1"/>
  <c r="AX191" i="1" s="1"/>
  <c r="N197" i="1"/>
  <c r="I210" i="1"/>
  <c r="K210" i="1" s="1"/>
  <c r="N210" i="1"/>
  <c r="L201" i="1"/>
  <c r="L193" i="1" s="1"/>
  <c r="BR286" i="1"/>
  <c r="AG286" i="1"/>
  <c r="AL523" i="1"/>
  <c r="AG523" i="1"/>
  <c r="BR523" i="1"/>
  <c r="BG525" i="1"/>
  <c r="AR525" i="1"/>
  <c r="J549" i="1"/>
  <c r="K549" i="1" s="1"/>
  <c r="M548" i="1"/>
  <c r="M547" i="1" s="1"/>
  <c r="N549" i="1"/>
  <c r="AR13" i="1"/>
  <c r="BH18" i="1"/>
  <c r="K19" i="1"/>
  <c r="BP22" i="1"/>
  <c r="BH26" i="1"/>
  <c r="K27" i="1"/>
  <c r="BP36" i="1"/>
  <c r="AL41" i="1"/>
  <c r="AX41" i="1" s="1"/>
  <c r="AK44" i="1"/>
  <c r="BS44" i="1" s="1"/>
  <c r="BP44" i="1" s="1"/>
  <c r="AK46" i="1"/>
  <c r="BS46" i="1" s="1"/>
  <c r="BR61" i="1"/>
  <c r="AG61" i="1"/>
  <c r="AE63" i="1"/>
  <c r="BC30" i="1"/>
  <c r="BS83" i="1"/>
  <c r="BP83" i="1" s="1"/>
  <c r="AH83" i="1"/>
  <c r="BR122" i="1"/>
  <c r="AG122" i="1"/>
  <c r="BB135" i="1"/>
  <c r="AR172" i="1"/>
  <c r="BG172" i="1"/>
  <c r="V193" i="1"/>
  <c r="BG258" i="1"/>
  <c r="BB258" i="1"/>
  <c r="AH281" i="1"/>
  <c r="BS281" i="1"/>
  <c r="BP281" i="1" s="1"/>
  <c r="AL281" i="1"/>
  <c r="BG372" i="1"/>
  <c r="AR372" i="1"/>
  <c r="BH384" i="1"/>
  <c r="AR384" i="1"/>
  <c r="AK50" i="1"/>
  <c r="BS50" i="1" s="1"/>
  <c r="AR12" i="1"/>
  <c r="BH12" i="1"/>
  <c r="K13" i="1"/>
  <c r="BH14" i="1"/>
  <c r="BP15" i="1"/>
  <c r="AH16" i="1"/>
  <c r="BP17" i="1"/>
  <c r="AL18" i="1"/>
  <c r="BP20" i="1"/>
  <c r="AG21" i="1"/>
  <c r="AR21" i="1"/>
  <c r="BP23" i="1"/>
  <c r="AH24" i="1"/>
  <c r="BP25" i="1"/>
  <c r="AL26" i="1"/>
  <c r="AW26" i="1" s="1"/>
  <c r="BP28" i="1"/>
  <c r="AG29" i="1"/>
  <c r="AR29" i="1"/>
  <c r="BP34" i="1"/>
  <c r="N37" i="1"/>
  <c r="K40" i="1"/>
  <c r="BP40" i="1"/>
  <c r="AH41" i="1"/>
  <c r="AR41" i="1"/>
  <c r="BH41" i="1"/>
  <c r="AR44" i="1"/>
  <c r="K47" i="1"/>
  <c r="AK47" i="1"/>
  <c r="BS47" i="1" s="1"/>
  <c r="BP47" i="1" s="1"/>
  <c r="K49" i="1"/>
  <c r="AG50" i="1"/>
  <c r="BP51" i="1"/>
  <c r="K54" i="1"/>
  <c r="BP54" i="1"/>
  <c r="AR55" i="1"/>
  <c r="AR60" i="1"/>
  <c r="BH60" i="1"/>
  <c r="K61" i="1"/>
  <c r="BP61" i="1"/>
  <c r="K90" i="1"/>
  <c r="AH109" i="1"/>
  <c r="BS109" i="1"/>
  <c r="BB119" i="1"/>
  <c r="BR134" i="1"/>
  <c r="AR145" i="1"/>
  <c r="BG145" i="1"/>
  <c r="BS152" i="1"/>
  <c r="BP152" i="1" s="1"/>
  <c r="AH152" i="1"/>
  <c r="N164" i="1"/>
  <c r="I164" i="1"/>
  <c r="K164" i="1" s="1"/>
  <c r="L67" i="1"/>
  <c r="L66" i="1" s="1"/>
  <c r="BS166" i="1"/>
  <c r="AH166" i="1"/>
  <c r="BS168" i="1"/>
  <c r="BR174" i="1"/>
  <c r="BO174" i="1" s="1"/>
  <c r="AL174" i="1"/>
  <c r="AG174" i="1"/>
  <c r="AH179" i="1"/>
  <c r="BS179" i="1"/>
  <c r="BP179" i="1" s="1"/>
  <c r="BS183" i="1"/>
  <c r="BP183" i="1" s="1"/>
  <c r="AH183" i="1"/>
  <c r="AE184" i="1"/>
  <c r="AD67" i="1"/>
  <c r="AD66" i="1" s="1"/>
  <c r="BR312" i="1"/>
  <c r="AL312" i="1"/>
  <c r="AG312" i="1"/>
  <c r="AI312" i="1" s="1"/>
  <c r="AH320" i="1"/>
  <c r="BS320" i="1"/>
  <c r="BP320" i="1" s="1"/>
  <c r="BQ320" i="1" s="1"/>
  <c r="AL320" i="1"/>
  <c r="BR340" i="1"/>
  <c r="AG340" i="1"/>
  <c r="BS59" i="1"/>
  <c r="BP59" i="1" s="1"/>
  <c r="AH59" i="1"/>
  <c r="BR87" i="1"/>
  <c r="BT87" i="1" s="1"/>
  <c r="AH12" i="1"/>
  <c r="AL14" i="1"/>
  <c r="BU11" i="1"/>
  <c r="BU10" i="1" s="1"/>
  <c r="BU9" i="1" s="1"/>
  <c r="AE11" i="1"/>
  <c r="AE10" i="1" s="1"/>
  <c r="AE9" i="1" s="1"/>
  <c r="BH15" i="1"/>
  <c r="BH17" i="1"/>
  <c r="K18" i="1"/>
  <c r="BG18" i="1"/>
  <c r="BI18" i="1" s="1"/>
  <c r="AR20" i="1"/>
  <c r="BH20" i="1"/>
  <c r="K21" i="1"/>
  <c r="BH23" i="1"/>
  <c r="BH25" i="1"/>
  <c r="K26" i="1"/>
  <c r="BG26" i="1"/>
  <c r="AR28" i="1"/>
  <c r="BH28" i="1"/>
  <c r="K29" i="1"/>
  <c r="BB43" i="1"/>
  <c r="AG44" i="1"/>
  <c r="BH51" i="1"/>
  <c r="BI51" i="1" s="1"/>
  <c r="K52" i="1"/>
  <c r="V30" i="1"/>
  <c r="AC30" i="1"/>
  <c r="BR73" i="1"/>
  <c r="BR76" i="1"/>
  <c r="K112" i="1"/>
  <c r="BR118" i="1"/>
  <c r="BO118" i="1" s="1"/>
  <c r="BR161" i="1"/>
  <c r="BO161" i="1" s="1"/>
  <c r="AL161" i="1"/>
  <c r="AX161" i="1" s="1"/>
  <c r="AG161" i="1"/>
  <c r="BG211" i="1"/>
  <c r="AH228" i="1"/>
  <c r="BS228" i="1"/>
  <c r="BP228" i="1" s="1"/>
  <c r="BQ228" i="1" s="1"/>
  <c r="AL228" i="1"/>
  <c r="AH244" i="1"/>
  <c r="BS244" i="1"/>
  <c r="BP244" i="1" s="1"/>
  <c r="AL244" i="1"/>
  <c r="AX244" i="1" s="1"/>
  <c r="BS264" i="1"/>
  <c r="BP264" i="1" s="1"/>
  <c r="AH264" i="1"/>
  <c r="BG272" i="1"/>
  <c r="BB272" i="1"/>
  <c r="BG279" i="1"/>
  <c r="BB279" i="1"/>
  <c r="BR302" i="1"/>
  <c r="BO302" i="1" s="1"/>
  <c r="AG302" i="1"/>
  <c r="BP70" i="1"/>
  <c r="AL71" i="1"/>
  <c r="AX71" i="1" s="1"/>
  <c r="BB73" i="1"/>
  <c r="BG75" i="1"/>
  <c r="BB75" i="1"/>
  <c r="BH77" i="1"/>
  <c r="K78" i="1"/>
  <c r="BH78" i="1"/>
  <c r="BP81" i="1"/>
  <c r="BG81" i="1"/>
  <c r="BI81" i="1" s="1"/>
  <c r="BB87" i="1"/>
  <c r="BH90" i="1"/>
  <c r="AR92" i="1"/>
  <c r="BR94" i="1"/>
  <c r="BT94" i="1" s="1"/>
  <c r="BS102" i="1"/>
  <c r="BP102" i="1" s="1"/>
  <c r="AR103" i="1"/>
  <c r="K106" i="1"/>
  <c r="AG109" i="1"/>
  <c r="AI109" i="1" s="1"/>
  <c r="AS109" i="1" s="1"/>
  <c r="AL109" i="1"/>
  <c r="BB109" i="1"/>
  <c r="K116" i="1"/>
  <c r="BH126" i="1"/>
  <c r="BP127" i="1"/>
  <c r="AH128" i="1"/>
  <c r="BG147" i="1"/>
  <c r="AH148" i="1"/>
  <c r="BH148" i="1"/>
  <c r="BB152" i="1"/>
  <c r="AG166" i="1"/>
  <c r="AL166" i="1"/>
  <c r="AX166" i="1" s="1"/>
  <c r="AH177" i="1"/>
  <c r="BH177" i="1"/>
  <c r="BR178" i="1"/>
  <c r="K179" i="1"/>
  <c r="BG184" i="1"/>
  <c r="K191" i="1"/>
  <c r="AR195" i="1"/>
  <c r="R193" i="1"/>
  <c r="R30" i="1" s="1"/>
  <c r="AO193" i="1"/>
  <c r="AO30" i="1" s="1"/>
  <c r="AO8" i="1" s="1"/>
  <c r="U197" i="1"/>
  <c r="Q193" i="1"/>
  <c r="BB219" i="1"/>
  <c r="BR221" i="1"/>
  <c r="BB222" i="1"/>
  <c r="BP223" i="1"/>
  <c r="BH231" i="1"/>
  <c r="K235" i="1"/>
  <c r="BR237" i="1"/>
  <c r="BB238" i="1"/>
  <c r="BP239" i="1"/>
  <c r="BH247" i="1"/>
  <c r="K260" i="1"/>
  <c r="K274" i="1"/>
  <c r="K278" i="1"/>
  <c r="K281" i="1"/>
  <c r="BR325" i="1"/>
  <c r="BP327" i="1"/>
  <c r="BG347" i="1"/>
  <c r="BH355" i="1"/>
  <c r="BG360" i="1"/>
  <c r="AR360" i="1"/>
  <c r="BH388" i="1"/>
  <c r="BS443" i="1"/>
  <c r="AH443" i="1"/>
  <c r="BR457" i="1"/>
  <c r="AG457" i="1"/>
  <c r="AL457" i="1"/>
  <c r="AW457" i="1" s="1"/>
  <c r="BR460" i="1"/>
  <c r="BO460" i="1" s="1"/>
  <c r="BG461" i="1"/>
  <c r="BI461" i="1" s="1"/>
  <c r="AR461" i="1"/>
  <c r="BR464" i="1"/>
  <c r="BO464" i="1" s="1"/>
  <c r="AL464" i="1"/>
  <c r="AG464" i="1"/>
  <c r="BG54" i="1"/>
  <c r="BH54" i="1"/>
  <c r="K55" i="1"/>
  <c r="BP55" i="1"/>
  <c r="AR59" i="1"/>
  <c r="BH59" i="1"/>
  <c r="BH61" i="1"/>
  <c r="K62" i="1"/>
  <c r="AR62" i="1"/>
  <c r="BH62" i="1"/>
  <c r="BI62" i="1" s="1"/>
  <c r="AK65" i="1"/>
  <c r="BS65" i="1" s="1"/>
  <c r="BP65" i="1" s="1"/>
  <c r="Q30" i="1"/>
  <c r="BR69" i="1"/>
  <c r="BO69" i="1" s="1"/>
  <c r="K71" i="1"/>
  <c r="AR73" i="1"/>
  <c r="AL77" i="1"/>
  <c r="AG80" i="1"/>
  <c r="AR80" i="1"/>
  <c r="BB85" i="1"/>
  <c r="AR87" i="1"/>
  <c r="K89" i="1"/>
  <c r="BB89" i="1"/>
  <c r="K92" i="1"/>
  <c r="BB94" i="1"/>
  <c r="BH97" i="1"/>
  <c r="AG99" i="1"/>
  <c r="BB105" i="1"/>
  <c r="AR109" i="1"/>
  <c r="K111" i="1"/>
  <c r="BB111" i="1"/>
  <c r="K113" i="1"/>
  <c r="BB113" i="1"/>
  <c r="K117" i="1"/>
  <c r="AR118" i="1"/>
  <c r="K123" i="1"/>
  <c r="BB123" i="1"/>
  <c r="AL124" i="1"/>
  <c r="K125" i="1"/>
  <c r="BG125" i="1"/>
  <c r="BR126" i="1"/>
  <c r="BG127" i="1"/>
  <c r="BB127" i="1"/>
  <c r="K128" i="1"/>
  <c r="AR129" i="1"/>
  <c r="BH129" i="1"/>
  <c r="AG130" i="1"/>
  <c r="BH130" i="1"/>
  <c r="AR134" i="1"/>
  <c r="K139" i="1"/>
  <c r="BB139" i="1"/>
  <c r="BH140" i="1"/>
  <c r="BB141" i="1"/>
  <c r="AG142" i="1"/>
  <c r="BB146" i="1"/>
  <c r="K148" i="1"/>
  <c r="AL148" i="1"/>
  <c r="K149" i="1"/>
  <c r="BH150" i="1"/>
  <c r="BH152" i="1"/>
  <c r="K158" i="1"/>
  <c r="K160" i="1"/>
  <c r="BB161" i="1"/>
  <c r="AR162" i="1"/>
  <c r="AE164" i="1"/>
  <c r="BG165" i="1"/>
  <c r="BB165" i="1"/>
  <c r="AR166" i="1"/>
  <c r="BG167" i="1"/>
  <c r="K170" i="1"/>
  <c r="BB174" i="1"/>
  <c r="K177" i="1"/>
  <c r="AL177" i="1"/>
  <c r="BB178" i="1"/>
  <c r="BB180" i="1"/>
  <c r="BE181" i="1"/>
  <c r="K185" i="1"/>
  <c r="AV186" i="1"/>
  <c r="AL188" i="1"/>
  <c r="AX188" i="1" s="1"/>
  <c r="AR189" i="1"/>
  <c r="BB191" i="1"/>
  <c r="Z194" i="1"/>
  <c r="BU194" i="1"/>
  <c r="AR198" i="1"/>
  <c r="AK200" i="1"/>
  <c r="BS200" i="1" s="1"/>
  <c r="BP200" i="1" s="1"/>
  <c r="AR200" i="1"/>
  <c r="BH200" i="1"/>
  <c r="AR206" i="1"/>
  <c r="BH206" i="1"/>
  <c r="AG207" i="1"/>
  <c r="K212" i="1"/>
  <c r="BH214" i="1"/>
  <c r="N215" i="1"/>
  <c r="BH216" i="1"/>
  <c r="N217" i="1"/>
  <c r="BH218" i="1"/>
  <c r="N219" i="1"/>
  <c r="BB221" i="1"/>
  <c r="BB223" i="1"/>
  <c r="AG225" i="1"/>
  <c r="AR225" i="1"/>
  <c r="K236" i="1"/>
  <c r="BB239" i="1"/>
  <c r="AR241" i="1"/>
  <c r="BR253" i="1"/>
  <c r="BP263" i="1"/>
  <c r="BP284" i="1"/>
  <c r="BH288" i="1"/>
  <c r="K305" i="1"/>
  <c r="BP308" i="1"/>
  <c r="BB327" i="1"/>
  <c r="BH327" i="1"/>
  <c r="BP350" i="1"/>
  <c r="BR368" i="1"/>
  <c r="BG382" i="1"/>
  <c r="BB382" i="1"/>
  <c r="AK424" i="1"/>
  <c r="AE424" i="1"/>
  <c r="BB56" i="1"/>
  <c r="AK58" i="1"/>
  <c r="BS58" i="1" s="1"/>
  <c r="BP58" i="1" s="1"/>
  <c r="N60" i="1"/>
  <c r="N65" i="1"/>
  <c r="BB69" i="1"/>
  <c r="BG72" i="1"/>
  <c r="AL75" i="1"/>
  <c r="K77" i="1"/>
  <c r="BG77" i="1"/>
  <c r="AR79" i="1"/>
  <c r="BH79" i="1"/>
  <c r="K80" i="1"/>
  <c r="BI85" i="1"/>
  <c r="BB86" i="1"/>
  <c r="AR94" i="1"/>
  <c r="K96" i="1"/>
  <c r="BB96" i="1"/>
  <c r="AL101" i="1"/>
  <c r="BR103" i="1"/>
  <c r="BO103" i="1" s="1"/>
  <c r="AR105" i="1"/>
  <c r="BH105" i="1"/>
  <c r="K107" i="1"/>
  <c r="BB107" i="1"/>
  <c r="K115" i="1"/>
  <c r="BB115" i="1"/>
  <c r="BB126" i="1"/>
  <c r="AL132" i="1"/>
  <c r="K142" i="1"/>
  <c r="BB145" i="1"/>
  <c r="AR146" i="1"/>
  <c r="BR150" i="1"/>
  <c r="K152" i="1"/>
  <c r="K154" i="1"/>
  <c r="AR161" i="1"/>
  <c r="AK163" i="1"/>
  <c r="BB164" i="1"/>
  <c r="AL168" i="1"/>
  <c r="BR168" i="1"/>
  <c r="BB172" i="1"/>
  <c r="AR174" i="1"/>
  <c r="AR178" i="1"/>
  <c r="K183" i="1"/>
  <c r="AL183" i="1"/>
  <c r="K184" i="1"/>
  <c r="BS184" i="1"/>
  <c r="BP184" i="1" s="1"/>
  <c r="AR185" i="1"/>
  <c r="BB186" i="1"/>
  <c r="K188" i="1"/>
  <c r="AR191" i="1"/>
  <c r="BH191" i="1"/>
  <c r="AY193" i="1"/>
  <c r="AY30" i="1" s="1"/>
  <c r="AY8" i="1" s="1"/>
  <c r="BF193" i="1"/>
  <c r="BF30" i="1" s="1"/>
  <c r="J194" i="1"/>
  <c r="AE194" i="1"/>
  <c r="BX194" i="1"/>
  <c r="BX193" i="1" s="1"/>
  <c r="BD193" i="1"/>
  <c r="AE197" i="1"/>
  <c r="BB209" i="1"/>
  <c r="AR221" i="1"/>
  <c r="K225" i="1"/>
  <c r="K227" i="1"/>
  <c r="BR229" i="1"/>
  <c r="BB230" i="1"/>
  <c r="K231" i="1"/>
  <c r="BP231" i="1"/>
  <c r="K234" i="1"/>
  <c r="BG234" i="1"/>
  <c r="AL236" i="1"/>
  <c r="AR237" i="1"/>
  <c r="BH239" i="1"/>
  <c r="K241" i="1"/>
  <c r="K243" i="1"/>
  <c r="BR245" i="1"/>
  <c r="BB246" i="1"/>
  <c r="K247" i="1"/>
  <c r="BP247" i="1"/>
  <c r="AL251" i="1"/>
  <c r="K252" i="1"/>
  <c r="AL252" i="1"/>
  <c r="AX252" i="1" s="1"/>
  <c r="BS252" i="1"/>
  <c r="BP252" i="1" s="1"/>
  <c r="BB253" i="1"/>
  <c r="BP255" i="1"/>
  <c r="AH256" i="1"/>
  <c r="BB257" i="1"/>
  <c r="BB261" i="1"/>
  <c r="BB263" i="1"/>
  <c r="K266" i="1"/>
  <c r="BG266" i="1"/>
  <c r="BR269" i="1"/>
  <c r="BB275" i="1"/>
  <c r="K277" i="1"/>
  <c r="BB278" i="1"/>
  <c r="K290" i="1"/>
  <c r="BP293" i="1"/>
  <c r="BR299" i="1"/>
  <c r="BO299" i="1" s="1"/>
  <c r="AG299" i="1"/>
  <c r="AQ304" i="1"/>
  <c r="AR304" i="1" s="1"/>
  <c r="AV304" i="1"/>
  <c r="K323" i="1"/>
  <c r="BP323" i="1"/>
  <c r="BR329" i="1"/>
  <c r="AL331" i="1"/>
  <c r="AX331" i="1" s="1"/>
  <c r="BG336" i="1"/>
  <c r="AR336" i="1"/>
  <c r="BR342" i="1"/>
  <c r="BO342" i="1" s="1"/>
  <c r="AG342" i="1"/>
  <c r="BP352" i="1"/>
  <c r="BP372" i="1"/>
  <c r="BG334" i="1"/>
  <c r="BB334" i="1"/>
  <c r="BI337" i="1"/>
  <c r="BI341" i="1"/>
  <c r="BH343" i="1"/>
  <c r="BH346" i="1"/>
  <c r="BI351" i="1"/>
  <c r="BB354" i="1"/>
  <c r="AR356" i="1"/>
  <c r="K367" i="1"/>
  <c r="BS368" i="1"/>
  <c r="BP368" i="1" s="1"/>
  <c r="BP370" i="1"/>
  <c r="BB374" i="1"/>
  <c r="BH383" i="1"/>
  <c r="BH392" i="1"/>
  <c r="BR396" i="1"/>
  <c r="BO396" i="1" s="1"/>
  <c r="AG396" i="1"/>
  <c r="BS423" i="1"/>
  <c r="BP423" i="1" s="1"/>
  <c r="AH423" i="1"/>
  <c r="BG487" i="1"/>
  <c r="BI487" i="1" s="1"/>
  <c r="AR487" i="1"/>
  <c r="BS500" i="1"/>
  <c r="BP500" i="1" s="1"/>
  <c r="AH500" i="1"/>
  <c r="BB284" i="1"/>
  <c r="BG287" i="1"/>
  <c r="K293" i="1"/>
  <c r="BR295" i="1"/>
  <c r="BB296" i="1"/>
  <c r="BP297" i="1"/>
  <c r="K302" i="1"/>
  <c r="BH305" i="1"/>
  <c r="AG306" i="1"/>
  <c r="BH306" i="1"/>
  <c r="BH320" i="1"/>
  <c r="BB323" i="1"/>
  <c r="AR325" i="1"/>
  <c r="K335" i="1"/>
  <c r="BG338" i="1"/>
  <c r="BB338" i="1"/>
  <c r="BG340" i="1"/>
  <c r="BG342" i="1"/>
  <c r="BB342" i="1"/>
  <c r="BB344" i="1"/>
  <c r="BH347" i="1"/>
  <c r="K348" i="1"/>
  <c r="BB351" i="1"/>
  <c r="K353" i="1"/>
  <c r="K356" i="1"/>
  <c r="K361" i="1"/>
  <c r="K363" i="1"/>
  <c r="K366" i="1"/>
  <c r="AR367" i="1"/>
  <c r="BH368" i="1"/>
  <c r="BH369" i="1"/>
  <c r="K370" i="1"/>
  <c r="BH374" i="1"/>
  <c r="K378" i="1"/>
  <c r="BI379" i="1"/>
  <c r="BB379" i="1"/>
  <c r="K380" i="1"/>
  <c r="BB381" i="1"/>
  <c r="BH382" i="1"/>
  <c r="AL383" i="1"/>
  <c r="AX383" i="1" s="1"/>
  <c r="BB385" i="1"/>
  <c r="K387" i="1"/>
  <c r="BB387" i="1"/>
  <c r="BR394" i="1"/>
  <c r="BS409" i="1"/>
  <c r="AH409" i="1"/>
  <c r="BB421" i="1"/>
  <c r="K432" i="1"/>
  <c r="BR437" i="1"/>
  <c r="AL437" i="1"/>
  <c r="AG437" i="1"/>
  <c r="AI437" i="1" s="1"/>
  <c r="BB450" i="1"/>
  <c r="AR457" i="1"/>
  <c r="BG473" i="1"/>
  <c r="BI473" i="1" s="1"/>
  <c r="AR473" i="1"/>
  <c r="AG475" i="1"/>
  <c r="BR475" i="1"/>
  <c r="BR477" i="1"/>
  <c r="AG491" i="1"/>
  <c r="BR491" i="1"/>
  <c r="BO491" i="1" s="1"/>
  <c r="AL491" i="1"/>
  <c r="BS521" i="1"/>
  <c r="BP521" i="1" s="1"/>
  <c r="AH521" i="1"/>
  <c r="BH522" i="1"/>
  <c r="BS535" i="1"/>
  <c r="AH535" i="1"/>
  <c r="AR281" i="1"/>
  <c r="BH281" i="1"/>
  <c r="K283" i="1"/>
  <c r="AL288" i="1"/>
  <c r="AW288" i="1" s="1"/>
  <c r="K294" i="1"/>
  <c r="BB295" i="1"/>
  <c r="BH299" i="1"/>
  <c r="K304" i="1"/>
  <c r="BS304" i="1"/>
  <c r="BP304" i="1" s="1"/>
  <c r="AL308" i="1"/>
  <c r="BB312" i="1"/>
  <c r="K314" i="1"/>
  <c r="BB314" i="1"/>
  <c r="K316" i="1"/>
  <c r="BB316" i="1"/>
  <c r="AL327" i="1"/>
  <c r="AW327" i="1" s="1"/>
  <c r="BB332" i="1"/>
  <c r="BH335" i="1"/>
  <c r="K336" i="1"/>
  <c r="K339" i="1"/>
  <c r="K346" i="1"/>
  <c r="BB348" i="1"/>
  <c r="AR353" i="1"/>
  <c r="AL355" i="1"/>
  <c r="K362" i="1"/>
  <c r="K364" i="1"/>
  <c r="BG364" i="1"/>
  <c r="K365" i="1"/>
  <c r="K368" i="1"/>
  <c r="AR373" i="1"/>
  <c r="AR379" i="1"/>
  <c r="BP380" i="1"/>
  <c r="BB388" i="1"/>
  <c r="BG398" i="1"/>
  <c r="AR398" i="1"/>
  <c r="BS407" i="1"/>
  <c r="BP407" i="1" s="1"/>
  <c r="AH407" i="1"/>
  <c r="BR436" i="1"/>
  <c r="AG438" i="1"/>
  <c r="BR438" i="1"/>
  <c r="K440" i="1"/>
  <c r="BG497" i="1"/>
  <c r="AR497" i="1"/>
  <c r="AH397" i="1"/>
  <c r="BH403" i="1"/>
  <c r="BB404" i="1"/>
  <c r="K406" i="1"/>
  <c r="AL406" i="1"/>
  <c r="AW406" i="1" s="1"/>
  <c r="K408" i="1"/>
  <c r="K415" i="1"/>
  <c r="BH421" i="1"/>
  <c r="K422" i="1"/>
  <c r="AL422" i="1"/>
  <c r="AX422" i="1" s="1"/>
  <c r="BB425" i="1"/>
  <c r="AR426" i="1"/>
  <c r="AH428" i="1"/>
  <c r="BH428" i="1"/>
  <c r="BB429" i="1"/>
  <c r="BS433" i="1"/>
  <c r="BP433" i="1" s="1"/>
  <c r="AH441" i="1"/>
  <c r="BH441" i="1"/>
  <c r="BI442" i="1"/>
  <c r="BG443" i="1"/>
  <c r="K447" i="1"/>
  <c r="BH448" i="1"/>
  <c r="AR450" i="1"/>
  <c r="BG454" i="1"/>
  <c r="BB454" i="1"/>
  <c r="BS455" i="1"/>
  <c r="BP455" i="1" s="1"/>
  <c r="K456" i="1"/>
  <c r="K458" i="1"/>
  <c r="BB459" i="1"/>
  <c r="BB463" i="1"/>
  <c r="AG465" i="1"/>
  <c r="AH466" i="1"/>
  <c r="AI466" i="1" s="1"/>
  <c r="BH466" i="1"/>
  <c r="BG470" i="1"/>
  <c r="BB470" i="1"/>
  <c r="K471" i="1"/>
  <c r="AG473" i="1"/>
  <c r="AG474" i="1"/>
  <c r="BB477" i="1"/>
  <c r="BR479" i="1"/>
  <c r="AL479" i="1"/>
  <c r="BS490" i="1"/>
  <c r="BP490" i="1" s="1"/>
  <c r="BS491" i="1"/>
  <c r="BP491" i="1" s="1"/>
  <c r="AH491" i="1"/>
  <c r="K492" i="1"/>
  <c r="BG493" i="1"/>
  <c r="BH493" i="1"/>
  <c r="BB495" i="1"/>
  <c r="BR501" i="1"/>
  <c r="BG502" i="1"/>
  <c r="BB502" i="1"/>
  <c r="BR503" i="1"/>
  <c r="AL503" i="1"/>
  <c r="BS505" i="1"/>
  <c r="BP505" i="1" s="1"/>
  <c r="AK511" i="1"/>
  <c r="J515" i="1"/>
  <c r="AL520" i="1"/>
  <c r="BG521" i="1"/>
  <c r="BI521" i="1" s="1"/>
  <c r="AR522" i="1"/>
  <c r="BH525" i="1"/>
  <c r="BG529" i="1"/>
  <c r="AR529" i="1"/>
  <c r="BR541" i="1"/>
  <c r="U548" i="1"/>
  <c r="U547" i="1" s="1"/>
  <c r="BB408" i="1"/>
  <c r="AG410" i="1"/>
  <c r="BB411" i="1"/>
  <c r="BS413" i="1"/>
  <c r="BB435" i="1"/>
  <c r="BH436" i="1"/>
  <c r="BB437" i="1"/>
  <c r="K444" i="1"/>
  <c r="AG445" i="1"/>
  <c r="AI445" i="1" s="1"/>
  <c r="AS445" i="1" s="1"/>
  <c r="K446" i="1"/>
  <c r="BI457" i="1"/>
  <c r="BS476" i="1"/>
  <c r="BS484" i="1"/>
  <c r="BP484" i="1" s="1"/>
  <c r="AH484" i="1"/>
  <c r="BR485" i="1"/>
  <c r="BR488" i="1"/>
  <c r="K503" i="1"/>
  <c r="BB505" i="1"/>
  <c r="K507" i="1"/>
  <c r="BB507" i="1"/>
  <c r="AL509" i="1"/>
  <c r="BB510" i="1"/>
  <c r="BS514" i="1"/>
  <c r="BP514" i="1" s="1"/>
  <c r="N516" i="1"/>
  <c r="AI524" i="1"/>
  <c r="AS524" i="1" s="1"/>
  <c r="BG526" i="1"/>
  <c r="BB539" i="1"/>
  <c r="BS551" i="1"/>
  <c r="BP551" i="1" s="1"/>
  <c r="AH551" i="1"/>
  <c r="BR555" i="1"/>
  <c r="BO555" i="1" s="1"/>
  <c r="AL555" i="1"/>
  <c r="K390" i="1"/>
  <c r="K392" i="1"/>
  <c r="K399" i="1"/>
  <c r="AR402" i="1"/>
  <c r="BB403" i="1"/>
  <c r="BG405" i="1"/>
  <c r="AL409" i="1"/>
  <c r="AW409" i="1" s="1"/>
  <c r="K412" i="1"/>
  <c r="BB419" i="1"/>
  <c r="BG421" i="1"/>
  <c r="BH422" i="1"/>
  <c r="K423" i="1"/>
  <c r="K426" i="1"/>
  <c r="BB426" i="1"/>
  <c r="BB428" i="1"/>
  <c r="K436" i="1"/>
  <c r="AR437" i="1"/>
  <c r="K443" i="1"/>
  <c r="BQ448" i="1"/>
  <c r="AR449" i="1"/>
  <c r="BG451" i="1"/>
  <c r="AR453" i="1"/>
  <c r="K454" i="1"/>
  <c r="BG455" i="1"/>
  <c r="BH456" i="1"/>
  <c r="AI460" i="1"/>
  <c r="BH463" i="1"/>
  <c r="K464" i="1"/>
  <c r="AE465" i="1"/>
  <c r="BB465" i="1"/>
  <c r="BG467" i="1"/>
  <c r="BG471" i="1"/>
  <c r="AI476" i="1"/>
  <c r="BB476" i="1"/>
  <c r="K478" i="1"/>
  <c r="AR479" i="1"/>
  <c r="BG480" i="1"/>
  <c r="BH481" i="1"/>
  <c r="BR483" i="1"/>
  <c r="BG484" i="1"/>
  <c r="BB485" i="1"/>
  <c r="BG486" i="1"/>
  <c r="AL487" i="1"/>
  <c r="AX487" i="1" s="1"/>
  <c r="BB488" i="1"/>
  <c r="BG489" i="1"/>
  <c r="BP489" i="1"/>
  <c r="K497" i="1"/>
  <c r="BB499" i="1"/>
  <c r="AR503" i="1"/>
  <c r="BR517" i="1"/>
  <c r="K519" i="1"/>
  <c r="K524" i="1"/>
  <c r="BB525" i="1"/>
  <c r="AK538" i="1"/>
  <c r="AE538" i="1"/>
  <c r="AE532" i="1" s="1"/>
  <c r="AE531" i="1" s="1"/>
  <c r="AK549" i="1"/>
  <c r="AE549" i="1"/>
  <c r="AE548" i="1" s="1"/>
  <c r="AE547" i="1" s="1"/>
  <c r="AD548" i="1"/>
  <c r="AD547" i="1" s="1"/>
  <c r="BB479" i="1"/>
  <c r="K480" i="1"/>
  <c r="BP481" i="1"/>
  <c r="BH484" i="1"/>
  <c r="BI484" i="1" s="1"/>
  <c r="BH485" i="1"/>
  <c r="K486" i="1"/>
  <c r="BH488" i="1"/>
  <c r="K489" i="1"/>
  <c r="AR491" i="1"/>
  <c r="BG492" i="1"/>
  <c r="BB492" i="1"/>
  <c r="K493" i="1"/>
  <c r="K496" i="1"/>
  <c r="BP502" i="1"/>
  <c r="BB503" i="1"/>
  <c r="BH505" i="1"/>
  <c r="K508" i="1"/>
  <c r="BH510" i="1"/>
  <c r="BG513" i="1"/>
  <c r="BB515" i="1"/>
  <c r="BP520" i="1"/>
  <c r="BQ520" i="1" s="1"/>
  <c r="K526" i="1"/>
  <c r="BB527" i="1"/>
  <c r="AG528" i="1"/>
  <c r="AL528" i="1"/>
  <c r="AX528" i="1" s="1"/>
  <c r="BB528" i="1"/>
  <c r="K534" i="1"/>
  <c r="BG534" i="1"/>
  <c r="BH538" i="1"/>
  <c r="AR539" i="1"/>
  <c r="BB541" i="1"/>
  <c r="BH542" i="1"/>
  <c r="K543" i="1"/>
  <c r="BG543" i="1"/>
  <c r="K544" i="1"/>
  <c r="BP546" i="1"/>
  <c r="Q530" i="1"/>
  <c r="Y530" i="1"/>
  <c r="BG551" i="1"/>
  <c r="BH553" i="1"/>
  <c r="BI553" i="1" s="1"/>
  <c r="AC530" i="1"/>
  <c r="BU532" i="1"/>
  <c r="BU531" i="1" s="1"/>
  <c r="BE532" i="1"/>
  <c r="BE531" i="1" s="1"/>
  <c r="AK539" i="1"/>
  <c r="BC530" i="1"/>
  <c r="BC8" i="1" s="1"/>
  <c r="BH551" i="1"/>
  <c r="BP554" i="1"/>
  <c r="BH528" i="1"/>
  <c r="BR529" i="1"/>
  <c r="BO529" i="1" s="1"/>
  <c r="H530" i="1"/>
  <c r="Z532" i="1"/>
  <c r="Z531" i="1" s="1"/>
  <c r="BB536" i="1"/>
  <c r="AR537" i="1"/>
  <c r="BA532" i="1"/>
  <c r="BA531" i="1" s="1"/>
  <c r="K538" i="1"/>
  <c r="BB538" i="1"/>
  <c r="BB540" i="1"/>
  <c r="BH541" i="1"/>
  <c r="K542" i="1"/>
  <c r="BB553" i="1"/>
  <c r="AH555" i="1"/>
  <c r="AR555" i="1"/>
  <c r="BG33" i="1"/>
  <c r="BB33" i="1"/>
  <c r="BR133" i="1"/>
  <c r="AL133" i="1"/>
  <c r="AG133" i="1"/>
  <c r="AH140" i="1"/>
  <c r="BS140" i="1"/>
  <c r="BP140" i="1" s="1"/>
  <c r="AR141" i="1"/>
  <c r="BG141" i="1"/>
  <c r="BH142" i="1"/>
  <c r="AR142" i="1"/>
  <c r="AH149" i="1"/>
  <c r="AI149" i="1" s="1"/>
  <c r="AL149" i="1"/>
  <c r="AH156" i="1"/>
  <c r="BS156" i="1"/>
  <c r="BP156" i="1" s="1"/>
  <c r="AR157" i="1"/>
  <c r="BG157" i="1"/>
  <c r="BH158" i="1"/>
  <c r="AR158" i="1"/>
  <c r="BH163" i="1"/>
  <c r="AR163" i="1"/>
  <c r="AR168" i="1"/>
  <c r="BG168" i="1"/>
  <c r="AG187" i="1"/>
  <c r="BR187" i="1"/>
  <c r="U11" i="1"/>
  <c r="U10" i="1" s="1"/>
  <c r="U9" i="1" s="1"/>
  <c r="AG13" i="1"/>
  <c r="BH13" i="1"/>
  <c r="BP14" i="1"/>
  <c r="BG14" i="1"/>
  <c r="BI14" i="1" s="1"/>
  <c r="BB14" i="1"/>
  <c r="BP53" i="1"/>
  <c r="BG53" i="1"/>
  <c r="BB53" i="1"/>
  <c r="BP57" i="1"/>
  <c r="BG57" i="1"/>
  <c r="BB57" i="1"/>
  <c r="AH68" i="1"/>
  <c r="AL68" i="1"/>
  <c r="AX68" i="1" s="1"/>
  <c r="BS76" i="1"/>
  <c r="BP76" i="1" s="1"/>
  <c r="AH76" i="1"/>
  <c r="AL76" i="1"/>
  <c r="AX76" i="1" s="1"/>
  <c r="BH80" i="1"/>
  <c r="AL88" i="1"/>
  <c r="AW88" i="1" s="1"/>
  <c r="AG88" i="1"/>
  <c r="BR88" i="1"/>
  <c r="BO88" i="1" s="1"/>
  <c r="BS90" i="1"/>
  <c r="BP90" i="1" s="1"/>
  <c r="BH91" i="1"/>
  <c r="BI91" i="1" s="1"/>
  <c r="BR92" i="1"/>
  <c r="AG92" i="1"/>
  <c r="AL95" i="1"/>
  <c r="AW95" i="1" s="1"/>
  <c r="AG95" i="1"/>
  <c r="BR95" i="1"/>
  <c r="BS97" i="1"/>
  <c r="BP97" i="1" s="1"/>
  <c r="BH98" i="1"/>
  <c r="BI98" i="1" s="1"/>
  <c r="BH102" i="1"/>
  <c r="BI102" i="1" s="1"/>
  <c r="AG110" i="1"/>
  <c r="BR110" i="1"/>
  <c r="BR121" i="1"/>
  <c r="AL121" i="1"/>
  <c r="AG121" i="1"/>
  <c r="AI121" i="1" s="1"/>
  <c r="BH125" i="1"/>
  <c r="BI125" i="1" s="1"/>
  <c r="AL137" i="1"/>
  <c r="AG137" i="1"/>
  <c r="AI137" i="1" s="1"/>
  <c r="BR137" i="1"/>
  <c r="BS149" i="1"/>
  <c r="AL153" i="1"/>
  <c r="AG153" i="1"/>
  <c r="AI153" i="1" s="1"/>
  <c r="BR153" i="1"/>
  <c r="BO153" i="1" s="1"/>
  <c r="BP177" i="1"/>
  <c r="BH195" i="1"/>
  <c r="BA194" i="1"/>
  <c r="BH291" i="1"/>
  <c r="AR291" i="1"/>
  <c r="BH303" i="1"/>
  <c r="AR303" i="1"/>
  <c r="AR312" i="1"/>
  <c r="BG312" i="1"/>
  <c r="AR324" i="1"/>
  <c r="BG324" i="1"/>
  <c r="BR338" i="1"/>
  <c r="BO338" i="1" s="1"/>
  <c r="BH340" i="1"/>
  <c r="BI340" i="1" s="1"/>
  <c r="AR340" i="1"/>
  <c r="AG440" i="1"/>
  <c r="BR440" i="1"/>
  <c r="AH86" i="1"/>
  <c r="BS86" i="1"/>
  <c r="BP86" i="1" s="1"/>
  <c r="BS113" i="1"/>
  <c r="BP113" i="1" s="1"/>
  <c r="BQ113" i="1" s="1"/>
  <c r="AH113" i="1"/>
  <c r="AI113" i="1" s="1"/>
  <c r="AL113" i="1"/>
  <c r="DM7" i="1"/>
  <c r="BF8" i="1"/>
  <c r="BE11" i="1"/>
  <c r="BE10" i="1" s="1"/>
  <c r="BE9" i="1" s="1"/>
  <c r="X30" i="1"/>
  <c r="X8" i="1" s="1"/>
  <c r="BR35" i="1"/>
  <c r="AL35" i="1"/>
  <c r="AX35" i="1" s="1"/>
  <c r="BR38" i="1"/>
  <c r="BO38" i="1" s="1"/>
  <c r="AL38" i="1"/>
  <c r="AX38" i="1" s="1"/>
  <c r="BG40" i="1"/>
  <c r="BB40" i="1"/>
  <c r="AG52" i="1"/>
  <c r="BR52" i="1"/>
  <c r="AH56" i="1"/>
  <c r="AL56" i="1"/>
  <c r="AX56" i="1" s="1"/>
  <c r="BG65" i="1"/>
  <c r="BB65" i="1"/>
  <c r="AT30" i="1"/>
  <c r="AT8" i="1" s="1"/>
  <c r="AG106" i="1"/>
  <c r="BR106" i="1"/>
  <c r="BS112" i="1"/>
  <c r="BP112" i="1" s="1"/>
  <c r="AH112" i="1"/>
  <c r="BH114" i="1"/>
  <c r="AR114" i="1"/>
  <c r="BH122" i="1"/>
  <c r="AR122" i="1"/>
  <c r="AG176" i="1"/>
  <c r="BR176" i="1"/>
  <c r="AG181" i="1"/>
  <c r="BR181" i="1"/>
  <c r="U194" i="1"/>
  <c r="AH211" i="1"/>
  <c r="BS211" i="1"/>
  <c r="BP211" i="1" s="1"/>
  <c r="AL211" i="1"/>
  <c r="BG213" i="1"/>
  <c r="BB213" i="1"/>
  <c r="BG215" i="1"/>
  <c r="BB215" i="1"/>
  <c r="BG217" i="1"/>
  <c r="BB217" i="1"/>
  <c r="BR12" i="1"/>
  <c r="AL12" i="1"/>
  <c r="AX12" i="1" s="1"/>
  <c r="AH93" i="1"/>
  <c r="BS93" i="1"/>
  <c r="BP93" i="1" s="1"/>
  <c r="BS117" i="1"/>
  <c r="BP117" i="1" s="1"/>
  <c r="BQ117" i="1" s="1"/>
  <c r="AH117" i="1"/>
  <c r="AI117" i="1" s="1"/>
  <c r="AL117" i="1"/>
  <c r="AX117" i="1" s="1"/>
  <c r="AZ11" i="1"/>
  <c r="AZ10" i="1" s="1"/>
  <c r="AZ9" i="1" s="1"/>
  <c r="BU32" i="1"/>
  <c r="BU31" i="1" s="1"/>
  <c r="BA32" i="1"/>
  <c r="BA31" i="1" s="1"/>
  <c r="Z32" i="1"/>
  <c r="Z31" i="1" s="1"/>
  <c r="AG39" i="1"/>
  <c r="BR39" i="1"/>
  <c r="BT39" i="1" s="1"/>
  <c r="AG48" i="1"/>
  <c r="BR48" i="1"/>
  <c r="BT48" i="1" s="1"/>
  <c r="BR55" i="1"/>
  <c r="BT55" i="1" s="1"/>
  <c r="BH64" i="1"/>
  <c r="AH72" i="1"/>
  <c r="AL72" i="1"/>
  <c r="AX72" i="1" s="1"/>
  <c r="AL91" i="1"/>
  <c r="AG91" i="1"/>
  <c r="AI91" i="1" s="1"/>
  <c r="BR91" i="1"/>
  <c r="BR98" i="1"/>
  <c r="BT98" i="1" s="1"/>
  <c r="AL98" i="1"/>
  <c r="AG98" i="1"/>
  <c r="BR102" i="1"/>
  <c r="AL102" i="1"/>
  <c r="AX102" i="1" s="1"/>
  <c r="AG102" i="1"/>
  <c r="AI102" i="1" s="1"/>
  <c r="BS108" i="1"/>
  <c r="BP108" i="1" s="1"/>
  <c r="AH108" i="1"/>
  <c r="BR125" i="1"/>
  <c r="AL125" i="1"/>
  <c r="AW125" i="1" s="1"/>
  <c r="AG125" i="1"/>
  <c r="AI125" i="1" s="1"/>
  <c r="BH137" i="1"/>
  <c r="BI137" i="1" s="1"/>
  <c r="AG138" i="1"/>
  <c r="BR138" i="1"/>
  <c r="BH153" i="1"/>
  <c r="AG154" i="1"/>
  <c r="BR154" i="1"/>
  <c r="BO154" i="1" s="1"/>
  <c r="BR170" i="1"/>
  <c r="AL170" i="1"/>
  <c r="AG170" i="1"/>
  <c r="BG179" i="1"/>
  <c r="BB179" i="1"/>
  <c r="AH186" i="1"/>
  <c r="BS186" i="1"/>
  <c r="BP186" i="1" s="1"/>
  <c r="BP190" i="1"/>
  <c r="AL200" i="1"/>
  <c r="AX200" i="1" s="1"/>
  <c r="BG15" i="1"/>
  <c r="BI15" i="1" s="1"/>
  <c r="BG19" i="1"/>
  <c r="BB19" i="1"/>
  <c r="BG23" i="1"/>
  <c r="BI23" i="1" s="1"/>
  <c r="BG27" i="1"/>
  <c r="BB27" i="1"/>
  <c r="K35" i="1"/>
  <c r="BS35" i="1"/>
  <c r="BP35" i="1" s="1"/>
  <c r="K38" i="1"/>
  <c r="BS38" i="1"/>
  <c r="BP38" i="1" s="1"/>
  <c r="BH42" i="1"/>
  <c r="BH44" i="1"/>
  <c r="BV8" i="1"/>
  <c r="BP46" i="1"/>
  <c r="K48" i="1"/>
  <c r="BP49" i="1"/>
  <c r="BH50" i="1"/>
  <c r="BG63" i="1"/>
  <c r="BI63" i="1" s="1"/>
  <c r="BH70" i="1"/>
  <c r="BH74" i="1"/>
  <c r="BB76" i="1"/>
  <c r="BG78" i="1"/>
  <c r="BG82" i="1"/>
  <c r="BB82" i="1"/>
  <c r="BH83" i="1"/>
  <c r="BH87" i="1"/>
  <c r="BG89" i="1"/>
  <c r="BS91" i="1"/>
  <c r="BP91" i="1" s="1"/>
  <c r="BH94" i="1"/>
  <c r="BG96" i="1"/>
  <c r="BG107" i="1"/>
  <c r="BB108" i="1"/>
  <c r="BG111" i="1"/>
  <c r="BB112" i="1"/>
  <c r="BB116" i="1"/>
  <c r="K129" i="1"/>
  <c r="BS137" i="1"/>
  <c r="BP137" i="1" s="1"/>
  <c r="BG139" i="1"/>
  <c r="BB140" i="1"/>
  <c r="K141" i="1"/>
  <c r="BH141" i="1"/>
  <c r="BI141" i="1" s="1"/>
  <c r="BR141" i="1"/>
  <c r="BS153" i="1"/>
  <c r="BG155" i="1"/>
  <c r="BB156" i="1"/>
  <c r="K157" i="1"/>
  <c r="BH157" i="1"/>
  <c r="BR157" i="1"/>
  <c r="BO157" i="1" s="1"/>
  <c r="AI161" i="1"/>
  <c r="AS161" i="1" s="1"/>
  <c r="AI166" i="1"/>
  <c r="AS166" i="1" s="1"/>
  <c r="K168" i="1"/>
  <c r="AI174" i="1"/>
  <c r="AS174" i="1" s="1"/>
  <c r="K176" i="1"/>
  <c r="BR183" i="1"/>
  <c r="BG185" i="1"/>
  <c r="BI185" i="1" s="1"/>
  <c r="BB190" i="1"/>
  <c r="AB193" i="1"/>
  <c r="AB30" i="1" s="1"/>
  <c r="BH198" i="1"/>
  <c r="BU197" i="1"/>
  <c r="AA193" i="1"/>
  <c r="AA30" i="1" s="1"/>
  <c r="AM193" i="1"/>
  <c r="AM30" i="1" s="1"/>
  <c r="BG204" i="1"/>
  <c r="BB204" i="1"/>
  <c r="BH205" i="1"/>
  <c r="AG212" i="1"/>
  <c r="BR212" i="1"/>
  <c r="BR224" i="1"/>
  <c r="AL224" i="1"/>
  <c r="BR240" i="1"/>
  <c r="AL240" i="1"/>
  <c r="BG262" i="1"/>
  <c r="BB262" i="1"/>
  <c r="AH274" i="1"/>
  <c r="AL274" i="1"/>
  <c r="BB301" i="1"/>
  <c r="BH301" i="1"/>
  <c r="BH317" i="1"/>
  <c r="AR317" i="1"/>
  <c r="BR333" i="1"/>
  <c r="BO333" i="1" s="1"/>
  <c r="AG333" i="1"/>
  <c r="BR359" i="1"/>
  <c r="BO359" i="1" s="1"/>
  <c r="AL359" i="1"/>
  <c r="AX359" i="1" s="1"/>
  <c r="BH361" i="1"/>
  <c r="AR361" i="1"/>
  <c r="BG397" i="1"/>
  <c r="BB397" i="1"/>
  <c r="BR429" i="1"/>
  <c r="AG429" i="1"/>
  <c r="BH482" i="1"/>
  <c r="AR482" i="1"/>
  <c r="K12" i="1"/>
  <c r="AK11" i="1"/>
  <c r="AK10" i="1" s="1"/>
  <c r="AK9" i="1" s="1"/>
  <c r="K16" i="1"/>
  <c r="K20" i="1"/>
  <c r="K24" i="1"/>
  <c r="K28" i="1"/>
  <c r="BH33" i="1"/>
  <c r="AL34" i="1"/>
  <c r="AW34" i="1" s="1"/>
  <c r="BB35" i="1"/>
  <c r="BG37" i="1"/>
  <c r="BI37" i="1" s="1"/>
  <c r="BB38" i="1"/>
  <c r="BB39" i="1"/>
  <c r="BH40" i="1"/>
  <c r="AL42" i="1"/>
  <c r="AR43" i="1"/>
  <c r="BH43" i="1"/>
  <c r="BG45" i="1"/>
  <c r="BG46" i="1"/>
  <c r="BB46" i="1"/>
  <c r="BG47" i="1"/>
  <c r="BG49" i="1"/>
  <c r="BH49" i="1"/>
  <c r="BB52" i="1"/>
  <c r="BH53" i="1"/>
  <c r="AL54" i="1"/>
  <c r="AR56" i="1"/>
  <c r="BH56" i="1"/>
  <c r="BH57" i="1"/>
  <c r="K59" i="1"/>
  <c r="BH65" i="1"/>
  <c r="AZ67" i="1"/>
  <c r="AZ66" i="1" s="1"/>
  <c r="AR68" i="1"/>
  <c r="BH68" i="1"/>
  <c r="U67" i="1"/>
  <c r="U66" i="1" s="1"/>
  <c r="BH69" i="1"/>
  <c r="AL70" i="1"/>
  <c r="AW70" i="1" s="1"/>
  <c r="BP71" i="1"/>
  <c r="AR72" i="1"/>
  <c r="BH72" i="1"/>
  <c r="BI72" i="1" s="1"/>
  <c r="BH73" i="1"/>
  <c r="AL74" i="1"/>
  <c r="BP75" i="1"/>
  <c r="AR76" i="1"/>
  <c r="K79" i="1"/>
  <c r="BP80" i="1"/>
  <c r="K83" i="1"/>
  <c r="BG84" i="1"/>
  <c r="BI84" i="1" s="1"/>
  <c r="BR84" i="1"/>
  <c r="BT84" i="1" s="1"/>
  <c r="K85" i="1"/>
  <c r="AL85" i="1"/>
  <c r="BB88" i="1"/>
  <c r="BH89" i="1"/>
  <c r="BB95" i="1"/>
  <c r="BH96" i="1"/>
  <c r="K99" i="1"/>
  <c r="AL99" i="1"/>
  <c r="AW99" i="1" s="1"/>
  <c r="K100" i="1"/>
  <c r="BB101" i="1"/>
  <c r="K105" i="1"/>
  <c r="BT105" i="1"/>
  <c r="BB106" i="1"/>
  <c r="K109" i="1"/>
  <c r="BH109" i="1"/>
  <c r="BI109" i="1" s="1"/>
  <c r="BB110" i="1"/>
  <c r="AR113" i="1"/>
  <c r="BH113" i="1"/>
  <c r="BI113" i="1" s="1"/>
  <c r="BG115" i="1"/>
  <c r="AR117" i="1"/>
  <c r="BB117" i="1"/>
  <c r="K118" i="1"/>
  <c r="K119" i="1"/>
  <c r="BP120" i="1"/>
  <c r="BB121" i="1"/>
  <c r="BS121" i="1"/>
  <c r="BP121" i="1" s="1"/>
  <c r="BG123" i="1"/>
  <c r="BB124" i="1"/>
  <c r="AL128" i="1"/>
  <c r="BO129" i="1"/>
  <c r="K130" i="1"/>
  <c r="K131" i="1"/>
  <c r="BB132" i="1"/>
  <c r="BB133" i="1"/>
  <c r="K134" i="1"/>
  <c r="K135" i="1"/>
  <c r="BP136" i="1"/>
  <c r="BB138" i="1"/>
  <c r="BG143" i="1"/>
  <c r="BB144" i="1"/>
  <c r="BS144" i="1"/>
  <c r="BP144" i="1" s="1"/>
  <c r="K145" i="1"/>
  <c r="BH145" i="1"/>
  <c r="K146" i="1"/>
  <c r="K147" i="1"/>
  <c r="AR149" i="1"/>
  <c r="BB149" i="1"/>
  <c r="AL152" i="1"/>
  <c r="BB154" i="1"/>
  <c r="BG159" i="1"/>
  <c r="BB160" i="1"/>
  <c r="BS160" i="1"/>
  <c r="BP160" i="1" s="1"/>
  <c r="K161" i="1"/>
  <c r="BH161" i="1"/>
  <c r="K162" i="1"/>
  <c r="K166" i="1"/>
  <c r="BH166" i="1"/>
  <c r="K167" i="1"/>
  <c r="BG169" i="1"/>
  <c r="BB170" i="1"/>
  <c r="K172" i="1"/>
  <c r="BH172" i="1"/>
  <c r="K174" i="1"/>
  <c r="BH174" i="1"/>
  <c r="BB176" i="1"/>
  <c r="BB181" i="1"/>
  <c r="BH183" i="1"/>
  <c r="BI183" i="1" s="1"/>
  <c r="BB187" i="1"/>
  <c r="BB188" i="1"/>
  <c r="BH189" i="1"/>
  <c r="BT191" i="1"/>
  <c r="BA197" i="1"/>
  <c r="AG198" i="1"/>
  <c r="BE197" i="1"/>
  <c r="K199" i="1"/>
  <c r="AG203" i="1"/>
  <c r="BR203" i="1"/>
  <c r="BO203" i="1" s="1"/>
  <c r="AR214" i="1"/>
  <c r="BG214" i="1"/>
  <c r="BI214" i="1" s="1"/>
  <c r="AR216" i="1"/>
  <c r="BG216" i="1"/>
  <c r="BI216" i="1" s="1"/>
  <c r="AR218" i="1"/>
  <c r="BG218" i="1"/>
  <c r="BI218" i="1" s="1"/>
  <c r="BP227" i="1"/>
  <c r="BP243" i="1"/>
  <c r="AG261" i="1"/>
  <c r="BR261" i="1"/>
  <c r="BR285" i="1"/>
  <c r="AL285" i="1"/>
  <c r="AH289" i="1"/>
  <c r="BS289" i="1"/>
  <c r="BP289" i="1" s="1"/>
  <c r="BQ289" i="1" s="1"/>
  <c r="AL289" i="1"/>
  <c r="AH309" i="1"/>
  <c r="BS309" i="1"/>
  <c r="BP309" i="1" s="1"/>
  <c r="BQ309" i="1" s="1"/>
  <c r="AL309" i="1"/>
  <c r="AX309" i="1" s="1"/>
  <c r="BB315" i="1"/>
  <c r="BH315" i="1"/>
  <c r="BR336" i="1"/>
  <c r="BO336" i="1" s="1"/>
  <c r="AG336" i="1"/>
  <c r="BS337" i="1"/>
  <c r="BP337" i="1" s="1"/>
  <c r="AH337" i="1"/>
  <c r="AI337" i="1" s="1"/>
  <c r="BJ337" i="1" s="1"/>
  <c r="AL337" i="1"/>
  <c r="AX337" i="1" s="1"/>
  <c r="AG426" i="1"/>
  <c r="BR426" i="1"/>
  <c r="BO426" i="1" s="1"/>
  <c r="BR444" i="1"/>
  <c r="AG444" i="1"/>
  <c r="BB12" i="1"/>
  <c r="BB13" i="1"/>
  <c r="N11" i="1"/>
  <c r="N10" i="1" s="1"/>
  <c r="N9" i="1" s="1"/>
  <c r="AL15" i="1"/>
  <c r="AX15" i="1" s="1"/>
  <c r="AV11" i="1"/>
  <c r="AV10" i="1" s="1"/>
  <c r="AV9" i="1" s="1"/>
  <c r="AL16" i="1"/>
  <c r="AX16" i="1" s="1"/>
  <c r="BG16" i="1"/>
  <c r="BI16" i="1" s="1"/>
  <c r="BB17" i="1"/>
  <c r="BB18" i="1"/>
  <c r="AL19" i="1"/>
  <c r="AL20" i="1"/>
  <c r="AX20" i="1" s="1"/>
  <c r="BB20" i="1"/>
  <c r="BB21" i="1"/>
  <c r="BB22" i="1"/>
  <c r="AL23" i="1"/>
  <c r="AL24" i="1"/>
  <c r="AX24" i="1" s="1"/>
  <c r="BG24" i="1"/>
  <c r="BI24" i="1" s="1"/>
  <c r="BB25" i="1"/>
  <c r="BB26" i="1"/>
  <c r="AL27" i="1"/>
  <c r="AX27" i="1" s="1"/>
  <c r="AL28" i="1"/>
  <c r="AX28" i="1" s="1"/>
  <c r="BB28" i="1"/>
  <c r="BB29" i="1"/>
  <c r="AJ32" i="1"/>
  <c r="AJ31" i="1" s="1"/>
  <c r="AR35" i="1"/>
  <c r="BH35" i="1"/>
  <c r="BB36" i="1"/>
  <c r="AR38" i="1"/>
  <c r="BH38" i="1"/>
  <c r="BH39" i="1"/>
  <c r="AL40" i="1"/>
  <c r="K42" i="1"/>
  <c r="BG42" i="1"/>
  <c r="AR45" i="1"/>
  <c r="BH45" i="1"/>
  <c r="BI45" i="1" s="1"/>
  <c r="BH48" i="1"/>
  <c r="BP50" i="1"/>
  <c r="BH52" i="1"/>
  <c r="AL53" i="1"/>
  <c r="AL57" i="1"/>
  <c r="AL59" i="1"/>
  <c r="AX59" i="1" s="1"/>
  <c r="BB59" i="1"/>
  <c r="AL60" i="1"/>
  <c r="BB60" i="1"/>
  <c r="BB61" i="1"/>
  <c r="K63" i="1"/>
  <c r="AL63" i="1"/>
  <c r="BB64" i="1"/>
  <c r="AL65" i="1"/>
  <c r="AW65" i="1" s="1"/>
  <c r="Z67" i="1"/>
  <c r="Z66" i="1" s="1"/>
  <c r="K69" i="1"/>
  <c r="K70" i="1"/>
  <c r="BG70" i="1"/>
  <c r="BI70" i="1" s="1"/>
  <c r="BU67" i="1"/>
  <c r="BU66" i="1" s="1"/>
  <c r="BH71" i="1"/>
  <c r="BI71" i="1" s="1"/>
  <c r="K73" i="1"/>
  <c r="K74" i="1"/>
  <c r="BG74" i="1"/>
  <c r="AI76" i="1"/>
  <c r="BH76" i="1"/>
  <c r="BB77" i="1"/>
  <c r="AL78" i="1"/>
  <c r="AL79" i="1"/>
  <c r="AX79" i="1" s="1"/>
  <c r="BB79" i="1"/>
  <c r="BB80" i="1"/>
  <c r="BB81" i="1"/>
  <c r="AL82" i="1"/>
  <c r="AL83" i="1"/>
  <c r="AW83" i="1" s="1"/>
  <c r="BP84" i="1"/>
  <c r="AL86" i="1"/>
  <c r="AX86" i="1" s="1"/>
  <c r="AG87" i="1"/>
  <c r="AL90" i="1"/>
  <c r="AX90" i="1" s="1"/>
  <c r="K91" i="1"/>
  <c r="BB91" i="1"/>
  <c r="AL93" i="1"/>
  <c r="AG94" i="1"/>
  <c r="AI94" i="1" s="1"/>
  <c r="AL97" i="1"/>
  <c r="AX97" i="1" s="1"/>
  <c r="K98" i="1"/>
  <c r="AH98" i="1"/>
  <c r="BB98" i="1"/>
  <c r="BI100" i="1"/>
  <c r="K102" i="1"/>
  <c r="AR102" i="1"/>
  <c r="BB102" i="1"/>
  <c r="K103" i="1"/>
  <c r="K104" i="1"/>
  <c r="BG105" i="1"/>
  <c r="BI105" i="1" s="1"/>
  <c r="AL108" i="1"/>
  <c r="AX108" i="1" s="1"/>
  <c r="AL112" i="1"/>
  <c r="AX112" i="1" s="1"/>
  <c r="BH112" i="1"/>
  <c r="BB114" i="1"/>
  <c r="AL116" i="1"/>
  <c r="BH116" i="1"/>
  <c r="BT117" i="1"/>
  <c r="BH117" i="1"/>
  <c r="BI117" i="1" s="1"/>
  <c r="BJ117" i="1" s="1"/>
  <c r="AR121" i="1"/>
  <c r="BH121" i="1"/>
  <c r="BB122" i="1"/>
  <c r="AH124" i="1"/>
  <c r="AR125" i="1"/>
  <c r="BB125" i="1"/>
  <c r="K126" i="1"/>
  <c r="K127" i="1"/>
  <c r="AG129" i="1"/>
  <c r="AI129" i="1" s="1"/>
  <c r="AS129" i="1" s="1"/>
  <c r="AL129" i="1"/>
  <c r="AX129" i="1" s="1"/>
  <c r="BB129" i="1"/>
  <c r="AH133" i="1"/>
  <c r="AI133" i="1" s="1"/>
  <c r="AR133" i="1"/>
  <c r="BH133" i="1"/>
  <c r="BI133" i="1" s="1"/>
  <c r="AR137" i="1"/>
  <c r="BB137" i="1"/>
  <c r="AL140" i="1"/>
  <c r="AW140" i="1" s="1"/>
  <c r="AG141" i="1"/>
  <c r="AI141" i="1" s="1"/>
  <c r="AS141" i="1" s="1"/>
  <c r="BB142" i="1"/>
  <c r="BH149" i="1"/>
  <c r="K150" i="1"/>
  <c r="K151" i="1"/>
  <c r="AR153" i="1"/>
  <c r="BB153" i="1"/>
  <c r="AL156" i="1"/>
  <c r="AX156" i="1" s="1"/>
  <c r="BH156" i="1"/>
  <c r="AG157" i="1"/>
  <c r="AI157" i="1" s="1"/>
  <c r="AS157" i="1" s="1"/>
  <c r="BB158" i="1"/>
  <c r="BG163" i="1"/>
  <c r="K165" i="1"/>
  <c r="AG168" i="1"/>
  <c r="AI168" i="1" s="1"/>
  <c r="BB168" i="1"/>
  <c r="AH170" i="1"/>
  <c r="AI170" i="1" s="1"/>
  <c r="AR170" i="1"/>
  <c r="BH170" i="1"/>
  <c r="K171" i="1"/>
  <c r="K173" i="1"/>
  <c r="K178" i="1"/>
  <c r="AL180" i="1"/>
  <c r="AG183" i="1"/>
  <c r="BB185" i="1"/>
  <c r="BH187" i="1"/>
  <c r="K189" i="1"/>
  <c r="AL190" i="1"/>
  <c r="BH190" i="1"/>
  <c r="BG191" i="1"/>
  <c r="BI191" i="1" s="1"/>
  <c r="BB192" i="1"/>
  <c r="D193" i="1"/>
  <c r="D30" i="1" s="1"/>
  <c r="D8" i="1" s="1"/>
  <c r="O193" i="1"/>
  <c r="O30" i="1" s="1"/>
  <c r="O8" i="1" s="1"/>
  <c r="T193" i="1"/>
  <c r="T30" i="1" s="1"/>
  <c r="T8" i="1" s="1"/>
  <c r="BB195" i="1"/>
  <c r="N194" i="1"/>
  <c r="BB196" i="1"/>
  <c r="BB199" i="1"/>
  <c r="BB197" i="1" s="1"/>
  <c r="BG200" i="1"/>
  <c r="BS209" i="1"/>
  <c r="BP209" i="1" s="1"/>
  <c r="BQ209" i="1" s="1"/>
  <c r="AH209" i="1"/>
  <c r="AL209" i="1"/>
  <c r="BR232" i="1"/>
  <c r="AL232" i="1"/>
  <c r="BH233" i="1"/>
  <c r="BR248" i="1"/>
  <c r="AL248" i="1"/>
  <c r="AW248" i="1" s="1"/>
  <c r="AH298" i="1"/>
  <c r="BS298" i="1"/>
  <c r="BP298" i="1" s="1"/>
  <c r="BS332" i="1"/>
  <c r="AH332" i="1"/>
  <c r="AL332" i="1"/>
  <c r="BS351" i="1"/>
  <c r="BP351" i="1" s="1"/>
  <c r="BQ351" i="1" s="1"/>
  <c r="AH351" i="1"/>
  <c r="AL351" i="1"/>
  <c r="AX351" i="1" s="1"/>
  <c r="BG368" i="1"/>
  <c r="AR368" i="1"/>
  <c r="BS384" i="1"/>
  <c r="BP384" i="1" s="1"/>
  <c r="AH384" i="1"/>
  <c r="AI384" i="1" s="1"/>
  <c r="AL384" i="1"/>
  <c r="BS411" i="1"/>
  <c r="BP411" i="1" s="1"/>
  <c r="AH411" i="1"/>
  <c r="BR441" i="1"/>
  <c r="BT441" i="1" s="1"/>
  <c r="AL441" i="1"/>
  <c r="AG441" i="1"/>
  <c r="BH474" i="1"/>
  <c r="AR474" i="1"/>
  <c r="BH207" i="1"/>
  <c r="BT214" i="1"/>
  <c r="BT216" i="1"/>
  <c r="K224" i="1"/>
  <c r="BB227" i="1"/>
  <c r="K232" i="1"/>
  <c r="BB235" i="1"/>
  <c r="K240" i="1"/>
  <c r="BB243" i="1"/>
  <c r="K248" i="1"/>
  <c r="BR256" i="1"/>
  <c r="AL256" i="1"/>
  <c r="BP283" i="1"/>
  <c r="BG283" i="1"/>
  <c r="BB283" i="1"/>
  <c r="BH284" i="1"/>
  <c r="BP285" i="1"/>
  <c r="AL291" i="1"/>
  <c r="AX291" i="1" s="1"/>
  <c r="AG291" i="1"/>
  <c r="BB293" i="1"/>
  <c r="BH293" i="1"/>
  <c r="K298" i="1"/>
  <c r="BS302" i="1"/>
  <c r="BP302" i="1" s="1"/>
  <c r="BQ302" i="1" s="1"/>
  <c r="AH302" i="1"/>
  <c r="BS316" i="1"/>
  <c r="BP316" i="1" s="1"/>
  <c r="BQ316" i="1" s="1"/>
  <c r="AH316" i="1"/>
  <c r="AI316" i="1" s="1"/>
  <c r="BR347" i="1"/>
  <c r="BO347" i="1" s="1"/>
  <c r="AL347" i="1"/>
  <c r="AL348" i="1"/>
  <c r="AW348" i="1" s="1"/>
  <c r="BS348" i="1"/>
  <c r="BP348" i="1" s="1"/>
  <c r="AH348" i="1"/>
  <c r="AI348" i="1" s="1"/>
  <c r="BG353" i="1"/>
  <c r="BI353" i="1" s="1"/>
  <c r="BB353" i="1"/>
  <c r="BH354" i="1"/>
  <c r="BR356" i="1"/>
  <c r="BO356" i="1" s="1"/>
  <c r="AG356" i="1"/>
  <c r="BG357" i="1"/>
  <c r="BI357" i="1" s="1"/>
  <c r="BB357" i="1"/>
  <c r="BH358" i="1"/>
  <c r="AR375" i="1"/>
  <c r="BG375" i="1"/>
  <c r="BR376" i="1"/>
  <c r="AG376" i="1"/>
  <c r="AH385" i="1"/>
  <c r="BS385" i="1"/>
  <c r="BP385" i="1" s="1"/>
  <c r="AL385" i="1"/>
  <c r="AH389" i="1"/>
  <c r="BS389" i="1"/>
  <c r="BP389" i="1" s="1"/>
  <c r="BG390" i="1"/>
  <c r="AR390" i="1"/>
  <c r="AH405" i="1"/>
  <c r="BS405" i="1"/>
  <c r="BP405" i="1" s="1"/>
  <c r="BG406" i="1"/>
  <c r="AR406" i="1"/>
  <c r="BG413" i="1"/>
  <c r="BB413" i="1"/>
  <c r="BR461" i="1"/>
  <c r="AL461" i="1"/>
  <c r="AX461" i="1" s="1"/>
  <c r="AG461" i="1"/>
  <c r="BG476" i="1"/>
  <c r="BH492" i="1"/>
  <c r="AR492" i="1"/>
  <c r="BQ555" i="1"/>
  <c r="W193" i="1"/>
  <c r="W30" i="1" s="1"/>
  <c r="AR202" i="1"/>
  <c r="BH202" i="1"/>
  <c r="BB203" i="1"/>
  <c r="AL205" i="1"/>
  <c r="AW205" i="1" s="1"/>
  <c r="K206" i="1"/>
  <c r="BO206" i="1"/>
  <c r="K207" i="1"/>
  <c r="K208" i="1"/>
  <c r="BG208" i="1"/>
  <c r="AR209" i="1"/>
  <c r="BH209" i="1"/>
  <c r="BI209" i="1" s="1"/>
  <c r="BG210" i="1"/>
  <c r="AR211" i="1"/>
  <c r="BH211" i="1"/>
  <c r="BB212" i="1"/>
  <c r="K219" i="1"/>
  <c r="AR220" i="1"/>
  <c r="BH220" i="1"/>
  <c r="BH221" i="1"/>
  <c r="BS224" i="1"/>
  <c r="BP224" i="1" s="1"/>
  <c r="BH229" i="1"/>
  <c r="BS232" i="1"/>
  <c r="BP232" i="1" s="1"/>
  <c r="BT236" i="1"/>
  <c r="BH237" i="1"/>
  <c r="BS240" i="1"/>
  <c r="BP240" i="1" s="1"/>
  <c r="BT244" i="1"/>
  <c r="BH245" i="1"/>
  <c r="AR248" i="1"/>
  <c r="BH248" i="1"/>
  <c r="AG249" i="1"/>
  <c r="BH249" i="1"/>
  <c r="K254" i="1"/>
  <c r="BG254" i="1"/>
  <c r="BB254" i="1"/>
  <c r="BH255" i="1"/>
  <c r="BP256" i="1"/>
  <c r="AL259" i="1"/>
  <c r="AW259" i="1" s="1"/>
  <c r="AL260" i="1"/>
  <c r="AX260" i="1" s="1"/>
  <c r="BS260" i="1"/>
  <c r="BP260" i="1" s="1"/>
  <c r="BQ260" i="1" s="1"/>
  <c r="BB265" i="1"/>
  <c r="K270" i="1"/>
  <c r="AH270" i="1"/>
  <c r="BS270" i="1"/>
  <c r="BP270" i="1" s="1"/>
  <c r="K273" i="1"/>
  <c r="AL278" i="1"/>
  <c r="AW278" i="1" s="1"/>
  <c r="BQ281" i="1"/>
  <c r="K282" i="1"/>
  <c r="BR282" i="1"/>
  <c r="AR285" i="1"/>
  <c r="BH285" i="1"/>
  <c r="K288" i="1"/>
  <c r="BR291" i="1"/>
  <c r="K292" i="1"/>
  <c r="BG292" i="1"/>
  <c r="BB292" i="1"/>
  <c r="AR299" i="1"/>
  <c r="AL302" i="1"/>
  <c r="AX302" i="1" s="1"/>
  <c r="BR305" i="1"/>
  <c r="AL305" i="1"/>
  <c r="AG305" i="1"/>
  <c r="BB306" i="1"/>
  <c r="K308" i="1"/>
  <c r="K313" i="1"/>
  <c r="BR313" i="1"/>
  <c r="BG314" i="1"/>
  <c r="AL316" i="1"/>
  <c r="BP319" i="1"/>
  <c r="AR320" i="1"/>
  <c r="BG320" i="1"/>
  <c r="BI320" i="1" s="1"/>
  <c r="BR324" i="1"/>
  <c r="AL324" i="1"/>
  <c r="AX324" i="1" s="1"/>
  <c r="BP324" i="1"/>
  <c r="BR328" i="1"/>
  <c r="AL328" i="1"/>
  <c r="BB329" i="1"/>
  <c r="K331" i="1"/>
  <c r="AG334" i="1"/>
  <c r="AH335" i="1"/>
  <c r="BS335" i="1"/>
  <c r="BP335" i="1" s="1"/>
  <c r="AL339" i="1"/>
  <c r="AX339" i="1" s="1"/>
  <c r="AR343" i="1"/>
  <c r="BG343" i="1"/>
  <c r="BR344" i="1"/>
  <c r="BO344" i="1" s="1"/>
  <c r="BQ344" i="1" s="1"/>
  <c r="AG344" i="1"/>
  <c r="BS347" i="1"/>
  <c r="BP347" i="1" s="1"/>
  <c r="AH347" i="1"/>
  <c r="AR348" i="1"/>
  <c r="BG348" i="1"/>
  <c r="BB371" i="1"/>
  <c r="BH373" i="1"/>
  <c r="BH375" i="1"/>
  <c r="AL376" i="1"/>
  <c r="AW376" i="1" s="1"/>
  <c r="BS376" i="1"/>
  <c r="BP376" i="1" s="1"/>
  <c r="AH376" i="1"/>
  <c r="BR386" i="1"/>
  <c r="BO386" i="1" s="1"/>
  <c r="AG388" i="1"/>
  <c r="BR388" i="1"/>
  <c r="BO388" i="1" s="1"/>
  <c r="BS401" i="1"/>
  <c r="BP401" i="1" s="1"/>
  <c r="BR404" i="1"/>
  <c r="BO404" i="1" s="1"/>
  <c r="BR418" i="1"/>
  <c r="AG418" i="1"/>
  <c r="AH421" i="1"/>
  <c r="BS421" i="1"/>
  <c r="BG422" i="1"/>
  <c r="AR422" i="1"/>
  <c r="BH424" i="1"/>
  <c r="BI424" i="1" s="1"/>
  <c r="AI436" i="1"/>
  <c r="BG438" i="1"/>
  <c r="AR438" i="1"/>
  <c r="BP439" i="1"/>
  <c r="BI489" i="1"/>
  <c r="S193" i="1"/>
  <c r="S30" i="1" s="1"/>
  <c r="S8" i="1" s="1"/>
  <c r="BH203" i="1"/>
  <c r="AL206" i="1"/>
  <c r="AX206" i="1" s="1"/>
  <c r="BP206" i="1"/>
  <c r="BT209" i="1"/>
  <c r="BH212" i="1"/>
  <c r="AL214" i="1"/>
  <c r="AX214" i="1" s="1"/>
  <c r="BB214" i="1"/>
  <c r="BO214" i="1"/>
  <c r="BQ214" i="1" s="1"/>
  <c r="K215" i="1"/>
  <c r="AL216" i="1"/>
  <c r="AX216" i="1" s="1"/>
  <c r="BB216" i="1"/>
  <c r="BO216" i="1"/>
  <c r="BQ216" i="1" s="1"/>
  <c r="K217" i="1"/>
  <c r="AL218" i="1"/>
  <c r="BB218" i="1"/>
  <c r="BP218" i="1"/>
  <c r="BG219" i="1"/>
  <c r="K221" i="1"/>
  <c r="K222" i="1"/>
  <c r="BG222" i="1"/>
  <c r="AR224" i="1"/>
  <c r="BH224" i="1"/>
  <c r="BB225" i="1"/>
  <c r="BB226" i="1"/>
  <c r="AL227" i="1"/>
  <c r="BH227" i="1"/>
  <c r="K229" i="1"/>
  <c r="K230" i="1"/>
  <c r="BG230" i="1"/>
  <c r="AR232" i="1"/>
  <c r="BH232" i="1"/>
  <c r="BB233" i="1"/>
  <c r="BB234" i="1"/>
  <c r="AL235" i="1"/>
  <c r="AX235" i="1" s="1"/>
  <c r="BH235" i="1"/>
  <c r="BQ236" i="1"/>
  <c r="K237" i="1"/>
  <c r="K238" i="1"/>
  <c r="BG238" i="1"/>
  <c r="AR240" i="1"/>
  <c r="BH240" i="1"/>
  <c r="BB241" i="1"/>
  <c r="BB242" i="1"/>
  <c r="AL243" i="1"/>
  <c r="BH243" i="1"/>
  <c r="BQ244" i="1"/>
  <c r="K245" i="1"/>
  <c r="K246" i="1"/>
  <c r="BG246" i="1"/>
  <c r="AH248" i="1"/>
  <c r="BQ252" i="1"/>
  <c r="K253" i="1"/>
  <c r="AR256" i="1"/>
  <c r="BH256" i="1"/>
  <c r="K259" i="1"/>
  <c r="BR264" i="1"/>
  <c r="AL264" i="1"/>
  <c r="AX264" i="1" s="1"/>
  <c r="AR265" i="1"/>
  <c r="BH265" i="1"/>
  <c r="K269" i="1"/>
  <c r="BB271" i="1"/>
  <c r="AL280" i="1"/>
  <c r="AX280" i="1" s="1"/>
  <c r="BB286" i="1"/>
  <c r="BR290" i="1"/>
  <c r="BO290" i="1" s="1"/>
  <c r="AG290" i="1"/>
  <c r="BP294" i="1"/>
  <c r="BR298" i="1"/>
  <c r="AL298" i="1"/>
  <c r="AX298" i="1" s="1"/>
  <c r="AR306" i="1"/>
  <c r="K311" i="1"/>
  <c r="BS315" i="1"/>
  <c r="BP315" i="1" s="1"/>
  <c r="AH315" i="1"/>
  <c r="BB319" i="1"/>
  <c r="BH319" i="1"/>
  <c r="K322" i="1"/>
  <c r="BG322" i="1"/>
  <c r="BB322" i="1"/>
  <c r="BS328" i="1"/>
  <c r="BP328" i="1" s="1"/>
  <c r="AH328" i="1"/>
  <c r="AR329" i="1"/>
  <c r="BH329" i="1"/>
  <c r="BH333" i="1"/>
  <c r="AH339" i="1"/>
  <c r="BS339" i="1"/>
  <c r="BP339" i="1" s="1"/>
  <c r="BR341" i="1"/>
  <c r="AL341" i="1"/>
  <c r="AW341" i="1" s="1"/>
  <c r="AG341" i="1"/>
  <c r="AL344" i="1"/>
  <c r="AX344" i="1" s="1"/>
  <c r="BS344" i="1"/>
  <c r="BP344" i="1" s="1"/>
  <c r="AH344" i="1"/>
  <c r="BB368" i="1"/>
  <c r="AR371" i="1"/>
  <c r="BG371" i="1"/>
  <c r="BI371" i="1" s="1"/>
  <c r="BS395" i="1"/>
  <c r="BP395" i="1" s="1"/>
  <c r="AH395" i="1"/>
  <c r="BB395" i="1"/>
  <c r="BG401" i="1"/>
  <c r="BB401" i="1"/>
  <c r="AL417" i="1"/>
  <c r="AG417" i="1"/>
  <c r="K418" i="1"/>
  <c r="AG420" i="1"/>
  <c r="BR420" i="1"/>
  <c r="BO420" i="1" s="1"/>
  <c r="AL427" i="1"/>
  <c r="AW427" i="1" s="1"/>
  <c r="BR427" i="1"/>
  <c r="BO427" i="1" s="1"/>
  <c r="AG427" i="1"/>
  <c r="BT448" i="1"/>
  <c r="AL450" i="1"/>
  <c r="AW450" i="1" s="1"/>
  <c r="BR450" i="1"/>
  <c r="BO450" i="1" s="1"/>
  <c r="BR458" i="1"/>
  <c r="AG458" i="1"/>
  <c r="BH467" i="1"/>
  <c r="BI467" i="1" s="1"/>
  <c r="AR467" i="1"/>
  <c r="BG485" i="1"/>
  <c r="AR485" i="1"/>
  <c r="BG488" i="1"/>
  <c r="BI488" i="1" s="1"/>
  <c r="AR488" i="1"/>
  <c r="BB251" i="1"/>
  <c r="K256" i="1"/>
  <c r="BB259" i="1"/>
  <c r="K264" i="1"/>
  <c r="BB267" i="1"/>
  <c r="BB273" i="1"/>
  <c r="BH275" i="1"/>
  <c r="BP277" i="1"/>
  <c r="BB280" i="1"/>
  <c r="K285" i="1"/>
  <c r="BB288" i="1"/>
  <c r="AR289" i="1"/>
  <c r="BH289" i="1"/>
  <c r="BB290" i="1"/>
  <c r="BH295" i="1"/>
  <c r="BG300" i="1"/>
  <c r="AR302" i="1"/>
  <c r="BH302" i="1"/>
  <c r="BI302" i="1" s="1"/>
  <c r="K306" i="1"/>
  <c r="K307" i="1"/>
  <c r="BB308" i="1"/>
  <c r="AR309" i="1"/>
  <c r="BH309" i="1"/>
  <c r="BB310" i="1"/>
  <c r="K312" i="1"/>
  <c r="BH312" i="1"/>
  <c r="BI312" i="1" s="1"/>
  <c r="BB313" i="1"/>
  <c r="AR316" i="1"/>
  <c r="BH316" i="1"/>
  <c r="BG318" i="1"/>
  <c r="BT320" i="1"/>
  <c r="BB321" i="1"/>
  <c r="AL323" i="1"/>
  <c r="K324" i="1"/>
  <c r="BH325" i="1"/>
  <c r="BB328" i="1"/>
  <c r="K329" i="1"/>
  <c r="K330" i="1"/>
  <c r="BG330" i="1"/>
  <c r="BB331" i="1"/>
  <c r="AR332" i="1"/>
  <c r="BH332" i="1"/>
  <c r="BI332" i="1" s="1"/>
  <c r="K337" i="1"/>
  <c r="BS341" i="1"/>
  <c r="BP341" i="1" s="1"/>
  <c r="AH341" i="1"/>
  <c r="BP343" i="1"/>
  <c r="K347" i="1"/>
  <c r="K350" i="1"/>
  <c r="BB352" i="1"/>
  <c r="BB355" i="1"/>
  <c r="BP356" i="1"/>
  <c r="AR357" i="1"/>
  <c r="AR359" i="1"/>
  <c r="BG359" i="1"/>
  <c r="BI359" i="1" s="1"/>
  <c r="BR360" i="1"/>
  <c r="AG360" i="1"/>
  <c r="BR363" i="1"/>
  <c r="BO363" i="1" s="1"/>
  <c r="AL363" i="1"/>
  <c r="AX363" i="1" s="1"/>
  <c r="BI363" i="1"/>
  <c r="AL364" i="1"/>
  <c r="BS364" i="1"/>
  <c r="BP364" i="1" s="1"/>
  <c r="AH364" i="1"/>
  <c r="AI364" i="1" s="1"/>
  <c r="AS364" i="1" s="1"/>
  <c r="BS367" i="1"/>
  <c r="BP367" i="1" s="1"/>
  <c r="BQ367" i="1" s="1"/>
  <c r="AH367" i="1"/>
  <c r="BG367" i="1"/>
  <c r="BI367" i="1" s="1"/>
  <c r="BB370" i="1"/>
  <c r="BH372" i="1"/>
  <c r="BI372" i="1" s="1"/>
  <c r="BR375" i="1"/>
  <c r="BO375" i="1" s="1"/>
  <c r="AL375" i="1"/>
  <c r="BH380" i="1"/>
  <c r="BI380" i="1" s="1"/>
  <c r="AG381" i="1"/>
  <c r="BR381" i="1"/>
  <c r="K388" i="1"/>
  <c r="AG392" i="1"/>
  <c r="BS399" i="1"/>
  <c r="BP399" i="1" s="1"/>
  <c r="BB400" i="1"/>
  <c r="BS415" i="1"/>
  <c r="BP415" i="1" s="1"/>
  <c r="BB416" i="1"/>
  <c r="K420" i="1"/>
  <c r="K421" i="1"/>
  <c r="K429" i="1"/>
  <c r="BG430" i="1"/>
  <c r="BB430" i="1"/>
  <c r="AG432" i="1"/>
  <c r="BR432" i="1"/>
  <c r="BO432" i="1" s="1"/>
  <c r="BG433" i="1"/>
  <c r="BB433" i="1"/>
  <c r="BS435" i="1"/>
  <c r="BP435" i="1" s="1"/>
  <c r="BI439" i="1"/>
  <c r="BP441" i="1"/>
  <c r="AL442" i="1"/>
  <c r="AG442" i="1"/>
  <c r="BR442" i="1"/>
  <c r="AL446" i="1"/>
  <c r="BR446" i="1"/>
  <c r="AG446" i="1"/>
  <c r="BS457" i="1"/>
  <c r="BP457" i="1" s="1"/>
  <c r="AH457" i="1"/>
  <c r="BP459" i="1"/>
  <c r="BH460" i="1"/>
  <c r="BS461" i="1"/>
  <c r="BP461" i="1" s="1"/>
  <c r="AH461" i="1"/>
  <c r="AI461" i="1" s="1"/>
  <c r="BG462" i="1"/>
  <c r="AR462" i="1"/>
  <c r="BR467" i="1"/>
  <c r="AL467" i="1"/>
  <c r="AW467" i="1" s="1"/>
  <c r="AG467" i="1"/>
  <c r="BR472" i="1"/>
  <c r="BO472" i="1" s="1"/>
  <c r="AL472" i="1"/>
  <c r="AX472" i="1" s="1"/>
  <c r="BS473" i="1"/>
  <c r="BP473" i="1" s="1"/>
  <c r="AH473" i="1"/>
  <c r="AL473" i="1"/>
  <c r="BR482" i="1"/>
  <c r="BO482" i="1" s="1"/>
  <c r="AL482" i="1"/>
  <c r="AX482" i="1" s="1"/>
  <c r="AG482" i="1"/>
  <c r="AI482" i="1" s="1"/>
  <c r="AL515" i="1"/>
  <c r="AG515" i="1"/>
  <c r="BB518" i="1"/>
  <c r="J516" i="1"/>
  <c r="BQ524" i="1"/>
  <c r="BG528" i="1"/>
  <c r="AR528" i="1"/>
  <c r="BT252" i="1"/>
  <c r="BH253" i="1"/>
  <c r="BT260" i="1"/>
  <c r="BH261" i="1"/>
  <c r="BT268" i="1"/>
  <c r="BH269" i="1"/>
  <c r="K275" i="1"/>
  <c r="K276" i="1"/>
  <c r="BG276" i="1"/>
  <c r="BB277" i="1"/>
  <c r="AI278" i="1"/>
  <c r="BR278" i="1"/>
  <c r="BO278" i="1" s="1"/>
  <c r="BT281" i="1"/>
  <c r="BH282" i="1"/>
  <c r="BH290" i="1"/>
  <c r="K291" i="1"/>
  <c r="BB291" i="1"/>
  <c r="AL293" i="1"/>
  <c r="K295" i="1"/>
  <c r="K296" i="1"/>
  <c r="BG296" i="1"/>
  <c r="AR298" i="1"/>
  <c r="BH298" i="1"/>
  <c r="BB299" i="1"/>
  <c r="AL301" i="1"/>
  <c r="BT302" i="1"/>
  <c r="BB303" i="1"/>
  <c r="BP305" i="1"/>
  <c r="AL315" i="1"/>
  <c r="BB317" i="1"/>
  <c r="AL319" i="1"/>
  <c r="BB324" i="1"/>
  <c r="K325" i="1"/>
  <c r="K326" i="1"/>
  <c r="BG326" i="1"/>
  <c r="AR328" i="1"/>
  <c r="BH328" i="1"/>
  <c r="BI328" i="1" s="1"/>
  <c r="BB333" i="1"/>
  <c r="AR335" i="1"/>
  <c r="BB336" i="1"/>
  <c r="AR339" i="1"/>
  <c r="BB340" i="1"/>
  <c r="BG352" i="1"/>
  <c r="AR352" i="1"/>
  <c r="BH352" i="1"/>
  <c r="AR355" i="1"/>
  <c r="BG355" i="1"/>
  <c r="BI356" i="1"/>
  <c r="AL360" i="1"/>
  <c r="AW360" i="1" s="1"/>
  <c r="BS360" i="1"/>
  <c r="BP360" i="1" s="1"/>
  <c r="AH360" i="1"/>
  <c r="BS363" i="1"/>
  <c r="BP363" i="1" s="1"/>
  <c r="AH363" i="1"/>
  <c r="K369" i="1"/>
  <c r="BG369" i="1"/>
  <c r="BB369" i="1"/>
  <c r="K372" i="1"/>
  <c r="BR372" i="1"/>
  <c r="AG372" i="1"/>
  <c r="BG373" i="1"/>
  <c r="BI373" i="1" s="1"/>
  <c r="BB373" i="1"/>
  <c r="BP381" i="1"/>
  <c r="BS387" i="1"/>
  <c r="BP387" i="1" s="1"/>
  <c r="BG394" i="1"/>
  <c r="AR394" i="1"/>
  <c r="AL398" i="1"/>
  <c r="AG398" i="1"/>
  <c r="K402" i="1"/>
  <c r="AL402" i="1"/>
  <c r="AW402" i="1" s="1"/>
  <c r="BR402" i="1"/>
  <c r="AL405" i="1"/>
  <c r="BG410" i="1"/>
  <c r="AR410" i="1"/>
  <c r="AL414" i="1"/>
  <c r="AG414" i="1"/>
  <c r="BH418" i="1"/>
  <c r="BS431" i="1"/>
  <c r="BP431" i="1" s="1"/>
  <c r="BO436" i="1"/>
  <c r="BT436" i="1"/>
  <c r="AR441" i="1"/>
  <c r="BH454" i="1"/>
  <c r="AR454" i="1"/>
  <c r="BR478" i="1"/>
  <c r="BO478" i="1" s="1"/>
  <c r="AG478" i="1"/>
  <c r="BI480" i="1"/>
  <c r="AL490" i="1"/>
  <c r="AX490" i="1" s="1"/>
  <c r="AG490" i="1"/>
  <c r="AI490" i="1" s="1"/>
  <c r="BR490" i="1"/>
  <c r="BR497" i="1"/>
  <c r="AG497" i="1"/>
  <c r="AR500" i="1"/>
  <c r="BG500" i="1"/>
  <c r="K343" i="1"/>
  <c r="BH348" i="1"/>
  <c r="BG349" i="1"/>
  <c r="BI349" i="1" s="1"/>
  <c r="BB350" i="1"/>
  <c r="AR351" i="1"/>
  <c r="AL356" i="1"/>
  <c r="K359" i="1"/>
  <c r="BH364" i="1"/>
  <c r="BI364" i="1" s="1"/>
  <c r="BG365" i="1"/>
  <c r="BI365" i="1" s="1"/>
  <c r="BB366" i="1"/>
  <c r="AL372" i="1"/>
  <c r="K375" i="1"/>
  <c r="K377" i="1"/>
  <c r="BG378" i="1"/>
  <c r="BS378" i="1"/>
  <c r="BP378" i="1" s="1"/>
  <c r="BS382" i="1"/>
  <c r="BP382" i="1" s="1"/>
  <c r="K383" i="1"/>
  <c r="BI384" i="1"/>
  <c r="K385" i="1"/>
  <c r="BB386" i="1"/>
  <c r="BG389" i="1"/>
  <c r="AL390" i="1"/>
  <c r="BB392" i="1"/>
  <c r="BH395" i="1"/>
  <c r="K396" i="1"/>
  <c r="K403" i="1"/>
  <c r="BH411" i="1"/>
  <c r="BB420" i="1"/>
  <c r="K428" i="1"/>
  <c r="BG434" i="1"/>
  <c r="BB434" i="1"/>
  <c r="BT437" i="1"/>
  <c r="BS444" i="1"/>
  <c r="BP444" i="1" s="1"/>
  <c r="AH444" i="1"/>
  <c r="BP447" i="1"/>
  <c r="BR449" i="1"/>
  <c r="AL449" i="1"/>
  <c r="AG449" i="1"/>
  <c r="BP451" i="1"/>
  <c r="BR452" i="1"/>
  <c r="BO452" i="1" s="1"/>
  <c r="AG452" i="1"/>
  <c r="AI452" i="1" s="1"/>
  <c r="BS453" i="1"/>
  <c r="BP453" i="1" s="1"/>
  <c r="AH453" i="1"/>
  <c r="BG459" i="1"/>
  <c r="BH462" i="1"/>
  <c r="BG465" i="1"/>
  <c r="AR465" i="1"/>
  <c r="BS467" i="1"/>
  <c r="BP467" i="1" s="1"/>
  <c r="AH467" i="1"/>
  <c r="BG468" i="1"/>
  <c r="AR468" i="1"/>
  <c r="BS472" i="1"/>
  <c r="AH472" i="1"/>
  <c r="AI472" i="1" s="1"/>
  <c r="BO475" i="1"/>
  <c r="BQ475" i="1" s="1"/>
  <c r="BT475" i="1"/>
  <c r="BG477" i="1"/>
  <c r="BI477" i="1" s="1"/>
  <c r="AR477" i="1"/>
  <c r="BS482" i="1"/>
  <c r="BP482" i="1" s="1"/>
  <c r="BG483" i="1"/>
  <c r="AR483" i="1"/>
  <c r="BT487" i="1"/>
  <c r="BO487" i="1"/>
  <c r="BQ487" i="1" s="1"/>
  <c r="BH511" i="1"/>
  <c r="AR511" i="1"/>
  <c r="BR535" i="1"/>
  <c r="AL535" i="1"/>
  <c r="BG536" i="1"/>
  <c r="BI536" i="1" s="1"/>
  <c r="BA530" i="1"/>
  <c r="BP542" i="1"/>
  <c r="K341" i="1"/>
  <c r="BB343" i="1"/>
  <c r="K344" i="1"/>
  <c r="BH344" i="1"/>
  <c r="BI344" i="1" s="1"/>
  <c r="BG345" i="1"/>
  <c r="BI345" i="1" s="1"/>
  <c r="BB346" i="1"/>
  <c r="AR347" i="1"/>
  <c r="AL352" i="1"/>
  <c r="K355" i="1"/>
  <c r="BB356" i="1"/>
  <c r="K357" i="1"/>
  <c r="BB359" i="1"/>
  <c r="K360" i="1"/>
  <c r="BH360" i="1"/>
  <c r="BI360" i="1" s="1"/>
  <c r="BG361" i="1"/>
  <c r="BI361" i="1" s="1"/>
  <c r="BB362" i="1"/>
  <c r="AR363" i="1"/>
  <c r="AL368" i="1"/>
  <c r="AW368" i="1" s="1"/>
  <c r="K371" i="1"/>
  <c r="BB372" i="1"/>
  <c r="K373" i="1"/>
  <c r="BB375" i="1"/>
  <c r="K376" i="1"/>
  <c r="BH376" i="1"/>
  <c r="BI376" i="1" s="1"/>
  <c r="BG377" i="1"/>
  <c r="BI377" i="1" s="1"/>
  <c r="BB380" i="1"/>
  <c r="BR390" i="1"/>
  <c r="BO390" i="1" s="1"/>
  <c r="BB391" i="1"/>
  <c r="BG393" i="1"/>
  <c r="AL394" i="1"/>
  <c r="AW394" i="1" s="1"/>
  <c r="BB396" i="1"/>
  <c r="K400" i="1"/>
  <c r="BR406" i="1"/>
  <c r="K407" i="1"/>
  <c r="BB407" i="1"/>
  <c r="BG409" i="1"/>
  <c r="AL410" i="1"/>
  <c r="AW410" i="1" s="1"/>
  <c r="BB412" i="1"/>
  <c r="BH415" i="1"/>
  <c r="K416" i="1"/>
  <c r="BR422" i="1"/>
  <c r="BO422" i="1" s="1"/>
  <c r="BB423" i="1"/>
  <c r="K424" i="1"/>
  <c r="K425" i="1"/>
  <c r="BH426" i="1"/>
  <c r="AR428" i="1"/>
  <c r="BH431" i="1"/>
  <c r="BH435" i="1"/>
  <c r="K438" i="1"/>
  <c r="AL438" i="1"/>
  <c r="AH440" i="1"/>
  <c r="AL445" i="1"/>
  <c r="BS445" i="1"/>
  <c r="BP445" i="1" s="1"/>
  <c r="BI447" i="1"/>
  <c r="AH449" i="1"/>
  <c r="BS449" i="1"/>
  <c r="BP449" i="1" s="1"/>
  <c r="BI451" i="1"/>
  <c r="AL453" i="1"/>
  <c r="AX453" i="1" s="1"/>
  <c r="BB455" i="1"/>
  <c r="BH465" i="1"/>
  <c r="BH468" i="1"/>
  <c r="BS469" i="1"/>
  <c r="BP469" i="1" s="1"/>
  <c r="AH469" i="1"/>
  <c r="BP476" i="1"/>
  <c r="BP480" i="1"/>
  <c r="AL481" i="1"/>
  <c r="AG481" i="1"/>
  <c r="AI481" i="1" s="1"/>
  <c r="BR481" i="1"/>
  <c r="BO481" i="1" s="1"/>
  <c r="BQ481" i="1" s="1"/>
  <c r="K484" i="1"/>
  <c r="BH497" i="1"/>
  <c r="BG498" i="1"/>
  <c r="BB498" i="1"/>
  <c r="BG501" i="1"/>
  <c r="AR501" i="1"/>
  <c r="BH501" i="1"/>
  <c r="AG506" i="1"/>
  <c r="BR506" i="1"/>
  <c r="BH444" i="1"/>
  <c r="BB445" i="1"/>
  <c r="BG446" i="1"/>
  <c r="AG448" i="1"/>
  <c r="BP452" i="1"/>
  <c r="BB452" i="1"/>
  <c r="K453" i="1"/>
  <c r="BB453" i="1"/>
  <c r="BH455" i="1"/>
  <c r="BI455" i="1" s="1"/>
  <c r="K457" i="1"/>
  <c r="BB457" i="1"/>
  <c r="BH459" i="1"/>
  <c r="K462" i="1"/>
  <c r="BG463" i="1"/>
  <c r="BI463" i="1" s="1"/>
  <c r="BP463" i="1"/>
  <c r="AL465" i="1"/>
  <c r="K468" i="1"/>
  <c r="K469" i="1"/>
  <c r="BG469" i="1"/>
  <c r="BB472" i="1"/>
  <c r="K473" i="1"/>
  <c r="BB473" i="1"/>
  <c r="BT476" i="1"/>
  <c r="AR476" i="1"/>
  <c r="AS476" i="1" s="1"/>
  <c r="BP478" i="1"/>
  <c r="BB478" i="1"/>
  <c r="K487" i="1"/>
  <c r="BB487" i="1"/>
  <c r="BG494" i="1"/>
  <c r="BR496" i="1"/>
  <c r="AL496" i="1"/>
  <c r="BI496" i="1"/>
  <c r="BH500" i="1"/>
  <c r="BG505" i="1"/>
  <c r="K506" i="1"/>
  <c r="BG507" i="1"/>
  <c r="AL511" i="1"/>
  <c r="AW511" i="1" s="1"/>
  <c r="BR511" i="1"/>
  <c r="BH513" i="1"/>
  <c r="BI513" i="1" s="1"/>
  <c r="BP519" i="1"/>
  <c r="BR522" i="1"/>
  <c r="BO522" i="1" s="1"/>
  <c r="AG522" i="1"/>
  <c r="BR527" i="1"/>
  <c r="BO527" i="1" s="1"/>
  <c r="AG527" i="1"/>
  <c r="AN530" i="1"/>
  <c r="AG534" i="1"/>
  <c r="AJ532" i="1"/>
  <c r="AJ531" i="1" s="1"/>
  <c r="BR534" i="1"/>
  <c r="BP535" i="1"/>
  <c r="BH537" i="1"/>
  <c r="AR540" i="1"/>
  <c r="AS540" i="1" s="1"/>
  <c r="BG540" i="1"/>
  <c r="BS543" i="1"/>
  <c r="BP543" i="1" s="1"/>
  <c r="AH543" i="1"/>
  <c r="BR550" i="1"/>
  <c r="BO550" i="1" s="1"/>
  <c r="AG550" i="1"/>
  <c r="AJ548" i="1"/>
  <c r="AJ547" i="1" s="1"/>
  <c r="BR553" i="1"/>
  <c r="AL553" i="1"/>
  <c r="BI443" i="1"/>
  <c r="BP443" i="1"/>
  <c r="BH446" i="1"/>
  <c r="K449" i="1"/>
  <c r="BI450" i="1"/>
  <c r="BB456" i="1"/>
  <c r="BP460" i="1"/>
  <c r="BB460" i="1"/>
  <c r="K461" i="1"/>
  <c r="BB461" i="1"/>
  <c r="BT466" i="1"/>
  <c r="K467" i="1"/>
  <c r="BB467" i="1"/>
  <c r="BH469" i="1"/>
  <c r="BI471" i="1"/>
  <c r="BP471" i="1"/>
  <c r="BH472" i="1"/>
  <c r="BH478" i="1"/>
  <c r="BB482" i="1"/>
  <c r="K483" i="1"/>
  <c r="AL485" i="1"/>
  <c r="BI486" i="1"/>
  <c r="BP486" i="1"/>
  <c r="K488" i="1"/>
  <c r="BB490" i="1"/>
  <c r="AH496" i="1"/>
  <c r="BS496" i="1"/>
  <c r="BP496" i="1" s="1"/>
  <c r="BR500" i="1"/>
  <c r="BT500" i="1" s="1"/>
  <c r="AL500" i="1"/>
  <c r="BB501" i="1"/>
  <c r="AR502" i="1"/>
  <c r="BH502" i="1"/>
  <c r="AL508" i="1"/>
  <c r="AG508" i="1"/>
  <c r="BB509" i="1"/>
  <c r="BG517" i="1"/>
  <c r="AR517" i="1"/>
  <c r="BU516" i="1"/>
  <c r="AE516" i="1"/>
  <c r="BR521" i="1"/>
  <c r="AL521" i="1"/>
  <c r="AG521" i="1"/>
  <c r="BB523" i="1"/>
  <c r="BE548" i="1"/>
  <c r="BE547" i="1" s="1"/>
  <c r="BE530" i="1" s="1"/>
  <c r="Z548" i="1"/>
  <c r="Z547" i="1" s="1"/>
  <c r="Z530" i="1" s="1"/>
  <c r="BH512" i="1"/>
  <c r="K513" i="1"/>
  <c r="AR513" i="1"/>
  <c r="BT514" i="1"/>
  <c r="BB517" i="1"/>
  <c r="AH518" i="1"/>
  <c r="AH520" i="1"/>
  <c r="AR521" i="1"/>
  <c r="AL522" i="1"/>
  <c r="BI522" i="1"/>
  <c r="AR523" i="1"/>
  <c r="BR525" i="1"/>
  <c r="BO525" i="1" s="1"/>
  <c r="K537" i="1"/>
  <c r="K540" i="1"/>
  <c r="BT540" i="1"/>
  <c r="BH540" i="1"/>
  <c r="BB542" i="1"/>
  <c r="AG543" i="1"/>
  <c r="AL543" i="1"/>
  <c r="K545" i="1"/>
  <c r="BB549" i="1"/>
  <c r="BU548" i="1"/>
  <c r="BU547" i="1" s="1"/>
  <c r="BU530" i="1" s="1"/>
  <c r="BH554" i="1"/>
  <c r="BI554" i="1" s="1"/>
  <c r="K494" i="1"/>
  <c r="AL495" i="1"/>
  <c r="BB496" i="1"/>
  <c r="K500" i="1"/>
  <c r="K501" i="1"/>
  <c r="K502" i="1"/>
  <c r="BH503" i="1"/>
  <c r="K504" i="1"/>
  <c r="AR505" i="1"/>
  <c r="AS505" i="1" s="1"/>
  <c r="BB506" i="1"/>
  <c r="BH507" i="1"/>
  <c r="BH508" i="1"/>
  <c r="BT509" i="1"/>
  <c r="AR509" i="1"/>
  <c r="K510" i="1"/>
  <c r="BG510" i="1"/>
  <c r="BI510" i="1" s="1"/>
  <c r="K512" i="1"/>
  <c r="K515" i="1"/>
  <c r="BE516" i="1"/>
  <c r="AG519" i="1"/>
  <c r="K520" i="1"/>
  <c r="Z516" i="1"/>
  <c r="AR520" i="1"/>
  <c r="BB522" i="1"/>
  <c r="AH527" i="1"/>
  <c r="BH527" i="1"/>
  <c r="BB529" i="1"/>
  <c r="BH533" i="1"/>
  <c r="BB535" i="1"/>
  <c r="AL537" i="1"/>
  <c r="AR543" i="1"/>
  <c r="BB543" i="1"/>
  <c r="N548" i="1"/>
  <c r="N547" i="1" s="1"/>
  <c r="BX548" i="1"/>
  <c r="BX547" i="1" s="1"/>
  <c r="K551" i="1"/>
  <c r="BG552" i="1"/>
  <c r="BI552" i="1" s="1"/>
  <c r="BS553" i="1"/>
  <c r="BP553" i="1" s="1"/>
  <c r="BH555" i="1"/>
  <c r="AR496" i="1"/>
  <c r="BI497" i="1"/>
  <c r="BB497" i="1"/>
  <c r="AL499" i="1"/>
  <c r="AW499" i="1" s="1"/>
  <c r="BB500" i="1"/>
  <c r="BP504" i="1"/>
  <c r="BB511" i="1"/>
  <c r="BB512" i="1"/>
  <c r="BB513" i="1"/>
  <c r="BG518" i="1"/>
  <c r="AV516" i="1"/>
  <c r="K522" i="1"/>
  <c r="BI523" i="1"/>
  <c r="BH524" i="1"/>
  <c r="K525" i="1"/>
  <c r="BI526" i="1"/>
  <c r="BP526" i="1"/>
  <c r="K529" i="1"/>
  <c r="L530" i="1"/>
  <c r="N532" i="1"/>
  <c r="N531" i="1" s="1"/>
  <c r="U532" i="1"/>
  <c r="U531" i="1" s="1"/>
  <c r="U530" i="1" s="1"/>
  <c r="BB537" i="1"/>
  <c r="AL540" i="1"/>
  <c r="AX540" i="1" s="1"/>
  <c r="K541" i="1"/>
  <c r="AL542" i="1"/>
  <c r="AX542" i="1" s="1"/>
  <c r="BI544" i="1"/>
  <c r="BB546" i="1"/>
  <c r="K550" i="1"/>
  <c r="BI551" i="1"/>
  <c r="AH552" i="1"/>
  <c r="AR553" i="1"/>
  <c r="BG555" i="1"/>
  <c r="AW14" i="1"/>
  <c r="AX14" i="1"/>
  <c r="AW18" i="1"/>
  <c r="AX18" i="1"/>
  <c r="AX22" i="1"/>
  <c r="AW22" i="1"/>
  <c r="AX26" i="1"/>
  <c r="BP33" i="1"/>
  <c r="BI33" i="1"/>
  <c r="AW36" i="1"/>
  <c r="BS45" i="1"/>
  <c r="BP45" i="1" s="1"/>
  <c r="AH45" i="1"/>
  <c r="AL45" i="1"/>
  <c r="AX49" i="1"/>
  <c r="AW49" i="1"/>
  <c r="BT73" i="1"/>
  <c r="AW77" i="1"/>
  <c r="AX77" i="1"/>
  <c r="AX81" i="1"/>
  <c r="AW81" i="1"/>
  <c r="BT16" i="1"/>
  <c r="BO16" i="1"/>
  <c r="BQ16" i="1" s="1"/>
  <c r="BO20" i="1"/>
  <c r="BT20" i="1"/>
  <c r="BT24" i="1"/>
  <c r="BO24" i="1"/>
  <c r="BQ24" i="1" s="1"/>
  <c r="BI26" i="1"/>
  <c r="BO43" i="1"/>
  <c r="BT52" i="1"/>
  <c r="BT59" i="1"/>
  <c r="BO59" i="1"/>
  <c r="BQ59" i="1" s="1"/>
  <c r="BT60" i="1"/>
  <c r="BO60" i="1"/>
  <c r="BQ60" i="1" s="1"/>
  <c r="BO62" i="1"/>
  <c r="AW71" i="1"/>
  <c r="BO79" i="1"/>
  <c r="BQ79" i="1" s="1"/>
  <c r="BT79" i="1"/>
  <c r="BT83" i="1"/>
  <c r="BO83" i="1"/>
  <c r="BQ83" i="1" s="1"/>
  <c r="AX84" i="1"/>
  <c r="AW84" i="1"/>
  <c r="BI22" i="1"/>
  <c r="BO28" i="1"/>
  <c r="BQ28" i="1" s="1"/>
  <c r="BT28" i="1"/>
  <c r="AW37" i="1"/>
  <c r="AX37" i="1"/>
  <c r="BT17" i="1"/>
  <c r="BT21" i="1"/>
  <c r="BT25" i="1"/>
  <c r="BT29" i="1"/>
  <c r="AV32" i="1"/>
  <c r="AV31" i="1" s="1"/>
  <c r="BT41" i="1"/>
  <c r="BO41" i="1"/>
  <c r="BQ41" i="1" s="1"/>
  <c r="BT45" i="1"/>
  <c r="BO45" i="1"/>
  <c r="AX51" i="1"/>
  <c r="AW51" i="1"/>
  <c r="AX54" i="1"/>
  <c r="AW54" i="1"/>
  <c r="BI55" i="1"/>
  <c r="BB55" i="1"/>
  <c r="BT58" i="1"/>
  <c r="BT61" i="1"/>
  <c r="BT64" i="1"/>
  <c r="AW74" i="1"/>
  <c r="AX74" i="1"/>
  <c r="BT80" i="1"/>
  <c r="AW15" i="1"/>
  <c r="AX19" i="1"/>
  <c r="AW19" i="1"/>
  <c r="BS43" i="1"/>
  <c r="BP43" i="1" s="1"/>
  <c r="AH43" i="1"/>
  <c r="AL43" i="1"/>
  <c r="BT44" i="1"/>
  <c r="BT50" i="1"/>
  <c r="BT56" i="1"/>
  <c r="BO56" i="1"/>
  <c r="BQ56" i="1" s="1"/>
  <c r="AX57" i="1"/>
  <c r="AW57" i="1"/>
  <c r="AL62" i="1"/>
  <c r="BS62" i="1"/>
  <c r="BP62" i="1" s="1"/>
  <c r="AH62" i="1"/>
  <c r="AX65" i="1"/>
  <c r="BT68" i="1"/>
  <c r="BO68" i="1"/>
  <c r="BT72" i="1"/>
  <c r="BO72" i="1"/>
  <c r="BQ72" i="1" s="1"/>
  <c r="AX82" i="1"/>
  <c r="AW82" i="1"/>
  <c r="BH19" i="1"/>
  <c r="BG43" i="1"/>
  <c r="BG20" i="1"/>
  <c r="BI20" i="1" s="1"/>
  <c r="BH27" i="1"/>
  <c r="BI27" i="1" s="1"/>
  <c r="BH34" i="1"/>
  <c r="BG38" i="1"/>
  <c r="BI38" i="1" s="1"/>
  <c r="BH46" i="1"/>
  <c r="BG59" i="1"/>
  <c r="BH75" i="1"/>
  <c r="BH82" i="1"/>
  <c r="BO95" i="1"/>
  <c r="BG97" i="1"/>
  <c r="BI97" i="1" s="1"/>
  <c r="AR97" i="1"/>
  <c r="AX105" i="1"/>
  <c r="AW105" i="1"/>
  <c r="BO106" i="1"/>
  <c r="BG108" i="1"/>
  <c r="AR108" i="1"/>
  <c r="BS110" i="1"/>
  <c r="BP110" i="1" s="1"/>
  <c r="AL110" i="1"/>
  <c r="AH110" i="1"/>
  <c r="AW112" i="1"/>
  <c r="AX113" i="1"/>
  <c r="AW113" i="1"/>
  <c r="BH123" i="1"/>
  <c r="AR123" i="1"/>
  <c r="BH131" i="1"/>
  <c r="BI131" i="1" s="1"/>
  <c r="AR131" i="1"/>
  <c r="AX133" i="1"/>
  <c r="AW133" i="1"/>
  <c r="J11" i="1"/>
  <c r="J10" i="1" s="1"/>
  <c r="J9" i="1" s="1"/>
  <c r="AJ11" i="1"/>
  <c r="AJ10" i="1" s="1"/>
  <c r="AJ9" i="1" s="1"/>
  <c r="BA11" i="1"/>
  <c r="BA10" i="1" s="1"/>
  <c r="BA9" i="1" s="1"/>
  <c r="BP12" i="1"/>
  <c r="AH13" i="1"/>
  <c r="AL13" i="1"/>
  <c r="BG13" i="1"/>
  <c r="BI13" i="1" s="1"/>
  <c r="BO13" i="1"/>
  <c r="BS13" i="1"/>
  <c r="BP13" i="1" s="1"/>
  <c r="AG14" i="1"/>
  <c r="AR14" i="1"/>
  <c r="BR14" i="1"/>
  <c r="BB15" i="1"/>
  <c r="AH17" i="1"/>
  <c r="AI17" i="1" s="1"/>
  <c r="AL17" i="1"/>
  <c r="BG17" i="1"/>
  <c r="BI17" i="1" s="1"/>
  <c r="BO17" i="1"/>
  <c r="AG18" i="1"/>
  <c r="AR18" i="1"/>
  <c r="BR18" i="1"/>
  <c r="AH21" i="1"/>
  <c r="AI21" i="1" s="1"/>
  <c r="AL21" i="1"/>
  <c r="BG21" i="1"/>
  <c r="BI21" i="1" s="1"/>
  <c r="BO21" i="1"/>
  <c r="BQ21" i="1" s="1"/>
  <c r="AG22" i="1"/>
  <c r="AR22" i="1"/>
  <c r="BR22" i="1"/>
  <c r="BB23" i="1"/>
  <c r="AH25" i="1"/>
  <c r="AI25" i="1" s="1"/>
  <c r="AS25" i="1" s="1"/>
  <c r="AL25" i="1"/>
  <c r="BG25" i="1"/>
  <c r="BI25" i="1" s="1"/>
  <c r="BO25" i="1"/>
  <c r="BQ25" i="1" s="1"/>
  <c r="AG26" i="1"/>
  <c r="AR26" i="1"/>
  <c r="BR26" i="1"/>
  <c r="AH29" i="1"/>
  <c r="AI29" i="1" s="1"/>
  <c r="AS29" i="1" s="1"/>
  <c r="AL29" i="1"/>
  <c r="BG29" i="1"/>
  <c r="BI29" i="1" s="1"/>
  <c r="BO29" i="1"/>
  <c r="BQ29" i="1" s="1"/>
  <c r="J32" i="1"/>
  <c r="J31" i="1" s="1"/>
  <c r="AD32" i="1"/>
  <c r="AD31" i="1" s="1"/>
  <c r="AP32" i="1"/>
  <c r="AP31" i="1" s="1"/>
  <c r="AG33" i="1"/>
  <c r="AR33" i="1"/>
  <c r="BR33" i="1"/>
  <c r="BB34" i="1"/>
  <c r="AG36" i="1"/>
  <c r="AR36" i="1"/>
  <c r="BR36" i="1"/>
  <c r="AG37" i="1"/>
  <c r="AR37" i="1"/>
  <c r="BR37" i="1"/>
  <c r="AH39" i="1"/>
  <c r="AI39" i="1" s="1"/>
  <c r="AS39" i="1" s="1"/>
  <c r="AL39" i="1"/>
  <c r="BG39" i="1"/>
  <c r="BI39" i="1" s="1"/>
  <c r="BO39" i="1"/>
  <c r="BQ39" i="1" s="1"/>
  <c r="AG40" i="1"/>
  <c r="AR40" i="1"/>
  <c r="BR40" i="1"/>
  <c r="AG42" i="1"/>
  <c r="AR42" i="1"/>
  <c r="BR42" i="1"/>
  <c r="AE43" i="1"/>
  <c r="I44" i="1"/>
  <c r="K44" i="1" s="1"/>
  <c r="AL44" i="1"/>
  <c r="BG44" i="1"/>
  <c r="BO44" i="1"/>
  <c r="BX44" i="1"/>
  <c r="AE45" i="1"/>
  <c r="AG47" i="1"/>
  <c r="AR47" i="1"/>
  <c r="BR47" i="1"/>
  <c r="AH48" i="1"/>
  <c r="AI48" i="1" s="1"/>
  <c r="AS48" i="1" s="1"/>
  <c r="AL48" i="1"/>
  <c r="BG48" i="1"/>
  <c r="BI48" i="1" s="1"/>
  <c r="BB49" i="1"/>
  <c r="AH50" i="1"/>
  <c r="AI50" i="1" s="1"/>
  <c r="AL50" i="1"/>
  <c r="BG50" i="1"/>
  <c r="BI50" i="1" s="1"/>
  <c r="BO50" i="1"/>
  <c r="BQ50" i="1" s="1"/>
  <c r="BB51" i="1"/>
  <c r="AH52" i="1"/>
  <c r="AL52" i="1"/>
  <c r="BG52" i="1"/>
  <c r="BO52" i="1"/>
  <c r="BQ52" i="1" s="1"/>
  <c r="AG53" i="1"/>
  <c r="AR53" i="1"/>
  <c r="BR53" i="1"/>
  <c r="BB54" i="1"/>
  <c r="AH55" i="1"/>
  <c r="AI55" i="1" s="1"/>
  <c r="AS55" i="1" s="1"/>
  <c r="AL55" i="1"/>
  <c r="BE55" i="1"/>
  <c r="BE32" i="1" s="1"/>
  <c r="BE31" i="1" s="1"/>
  <c r="AG57" i="1"/>
  <c r="AR57" i="1"/>
  <c r="BR57" i="1"/>
  <c r="AH58" i="1"/>
  <c r="AI58" i="1" s="1"/>
  <c r="AL58" i="1"/>
  <c r="I60" i="1"/>
  <c r="K60" i="1" s="1"/>
  <c r="AH61" i="1"/>
  <c r="AL61" i="1"/>
  <c r="BG61" i="1"/>
  <c r="BI61" i="1" s="1"/>
  <c r="BO61" i="1"/>
  <c r="BQ61" i="1" s="1"/>
  <c r="AE62" i="1"/>
  <c r="BB63" i="1"/>
  <c r="AH64" i="1"/>
  <c r="AI64" i="1" s="1"/>
  <c r="AS64" i="1" s="1"/>
  <c r="AL64" i="1"/>
  <c r="BG64" i="1"/>
  <c r="BO64" i="1"/>
  <c r="BQ64" i="1" s="1"/>
  <c r="AG65" i="1"/>
  <c r="AR65" i="1"/>
  <c r="BR65" i="1"/>
  <c r="AJ67" i="1"/>
  <c r="AJ66" i="1" s="1"/>
  <c r="K68" i="1"/>
  <c r="BP68" i="1"/>
  <c r="AH69" i="1"/>
  <c r="AL69" i="1"/>
  <c r="BG69" i="1"/>
  <c r="BI69" i="1" s="1"/>
  <c r="BS69" i="1"/>
  <c r="BP69" i="1" s="1"/>
  <c r="AG70" i="1"/>
  <c r="AR70" i="1"/>
  <c r="BR70" i="1"/>
  <c r="BB71" i="1"/>
  <c r="AH73" i="1"/>
  <c r="AI73" i="1" s="1"/>
  <c r="AS73" i="1" s="1"/>
  <c r="AL73" i="1"/>
  <c r="BG73" i="1"/>
  <c r="BO73" i="1"/>
  <c r="BQ73" i="1" s="1"/>
  <c r="AG74" i="1"/>
  <c r="AR74" i="1"/>
  <c r="BR74" i="1"/>
  <c r="BG76" i="1"/>
  <c r="AG77" i="1"/>
  <c r="AR77" i="1"/>
  <c r="BR77" i="1"/>
  <c r="BB78" i="1"/>
  <c r="AH80" i="1"/>
  <c r="AI80" i="1" s="1"/>
  <c r="AS80" i="1" s="1"/>
  <c r="AL80" i="1"/>
  <c r="BG80" i="1"/>
  <c r="BI80" i="1" s="1"/>
  <c r="BO80" i="1"/>
  <c r="BQ80" i="1" s="1"/>
  <c r="AG81" i="1"/>
  <c r="AR81" i="1"/>
  <c r="BR81" i="1"/>
  <c r="AW86" i="1"/>
  <c r="AX93" i="1"/>
  <c r="AW93" i="1"/>
  <c r="AX101" i="1"/>
  <c r="AW101" i="1"/>
  <c r="BH107" i="1"/>
  <c r="AR107" i="1"/>
  <c r="BP111" i="1"/>
  <c r="BH115" i="1"/>
  <c r="AR115" i="1"/>
  <c r="AX116" i="1"/>
  <c r="AW116" i="1"/>
  <c r="BG120" i="1"/>
  <c r="AR120" i="1"/>
  <c r="BS122" i="1"/>
  <c r="BP122" i="1" s="1"/>
  <c r="AL122" i="1"/>
  <c r="AH122" i="1"/>
  <c r="AI122" i="1" s="1"/>
  <c r="AS122" i="1" s="1"/>
  <c r="AL123" i="1"/>
  <c r="BR123" i="1"/>
  <c r="AG123" i="1"/>
  <c r="AX125" i="1"/>
  <c r="BO126" i="1"/>
  <c r="BG128" i="1"/>
  <c r="AR128" i="1"/>
  <c r="BS130" i="1"/>
  <c r="BP130" i="1" s="1"/>
  <c r="AL130" i="1"/>
  <c r="AH130" i="1"/>
  <c r="AL131" i="1"/>
  <c r="BR131" i="1"/>
  <c r="AG131" i="1"/>
  <c r="BH135" i="1"/>
  <c r="BI135" i="1" s="1"/>
  <c r="AR135" i="1"/>
  <c r="BS138" i="1"/>
  <c r="BP138" i="1" s="1"/>
  <c r="AL138" i="1"/>
  <c r="AH138" i="1"/>
  <c r="AL139" i="1"/>
  <c r="BR139" i="1"/>
  <c r="AG139" i="1"/>
  <c r="AX140" i="1"/>
  <c r="BP141" i="1"/>
  <c r="BS142" i="1"/>
  <c r="BP142" i="1" s="1"/>
  <c r="AL142" i="1"/>
  <c r="AH142" i="1"/>
  <c r="AL143" i="1"/>
  <c r="BR143" i="1"/>
  <c r="AG143" i="1"/>
  <c r="AX144" i="1"/>
  <c r="AW144" i="1"/>
  <c r="BT145" i="1"/>
  <c r="BP145" i="1"/>
  <c r="BQ145" i="1" s="1"/>
  <c r="BS146" i="1"/>
  <c r="BP146" i="1" s="1"/>
  <c r="AL146" i="1"/>
  <c r="AH146" i="1"/>
  <c r="AI146" i="1" s="1"/>
  <c r="AS146" i="1" s="1"/>
  <c r="AL147" i="1"/>
  <c r="BR147" i="1"/>
  <c r="AG147" i="1"/>
  <c r="AX148" i="1"/>
  <c r="AW148" i="1"/>
  <c r="BT149" i="1"/>
  <c r="BP149" i="1"/>
  <c r="BS150" i="1"/>
  <c r="BP150" i="1" s="1"/>
  <c r="AL150" i="1"/>
  <c r="AH150" i="1"/>
  <c r="AL151" i="1"/>
  <c r="BR151" i="1"/>
  <c r="AG151" i="1"/>
  <c r="AX152" i="1"/>
  <c r="AW152" i="1"/>
  <c r="BP153" i="1"/>
  <c r="BS154" i="1"/>
  <c r="AL154" i="1"/>
  <c r="AH154" i="1"/>
  <c r="AL155" i="1"/>
  <c r="BR155" i="1"/>
  <c r="AG155" i="1"/>
  <c r="AW156" i="1"/>
  <c r="BP157" i="1"/>
  <c r="BS158" i="1"/>
  <c r="AL158" i="1"/>
  <c r="AH158" i="1"/>
  <c r="AL159" i="1"/>
  <c r="BR159" i="1"/>
  <c r="AG159" i="1"/>
  <c r="AX160" i="1"/>
  <c r="AW160" i="1"/>
  <c r="BT161" i="1"/>
  <c r="BP161" i="1"/>
  <c r="BQ161" i="1" s="1"/>
  <c r="BS162" i="1"/>
  <c r="BP162" i="1" s="1"/>
  <c r="AL162" i="1"/>
  <c r="AH162" i="1"/>
  <c r="AI162" i="1" s="1"/>
  <c r="AS162" i="1" s="1"/>
  <c r="BS164" i="1"/>
  <c r="BP164" i="1" s="1"/>
  <c r="BQ164" i="1" s="1"/>
  <c r="BP165" i="1"/>
  <c r="AW166" i="1"/>
  <c r="BG166" i="1"/>
  <c r="BH169" i="1"/>
  <c r="AR169" i="1"/>
  <c r="AL171" i="1"/>
  <c r="BR171" i="1"/>
  <c r="AG171" i="1"/>
  <c r="BT172" i="1"/>
  <c r="BP172" i="1"/>
  <c r="BQ172" i="1" s="1"/>
  <c r="BP173" i="1"/>
  <c r="AX174" i="1"/>
  <c r="AW174" i="1"/>
  <c r="BG174" i="1"/>
  <c r="BI174" i="1" s="1"/>
  <c r="BJ174" i="1" s="1"/>
  <c r="AX177" i="1"/>
  <c r="AW177" i="1"/>
  <c r="BS178" i="1"/>
  <c r="BP178" i="1" s="1"/>
  <c r="AL178" i="1"/>
  <c r="AH178" i="1"/>
  <c r="AI178" i="1" s="1"/>
  <c r="AS178" i="1" s="1"/>
  <c r="BH179" i="1"/>
  <c r="AR179" i="1"/>
  <c r="BS185" i="1"/>
  <c r="BP185" i="1" s="1"/>
  <c r="AH185" i="1"/>
  <c r="BH204" i="1"/>
  <c r="AR204" i="1"/>
  <c r="BS212" i="1"/>
  <c r="AL212" i="1"/>
  <c r="AH212" i="1"/>
  <c r="BT218" i="1"/>
  <c r="BO218" i="1"/>
  <c r="BH226" i="1"/>
  <c r="BI226" i="1" s="1"/>
  <c r="AR226" i="1"/>
  <c r="AX231" i="1"/>
  <c r="AW231" i="1"/>
  <c r="BB236" i="1"/>
  <c r="BG236" i="1"/>
  <c r="BI236" i="1" s="1"/>
  <c r="BH242" i="1"/>
  <c r="AR242" i="1"/>
  <c r="AX247" i="1"/>
  <c r="AW247" i="1"/>
  <c r="BB252" i="1"/>
  <c r="BG252" i="1"/>
  <c r="BI252" i="1" s="1"/>
  <c r="BH258" i="1"/>
  <c r="BI258" i="1" s="1"/>
  <c r="AR258" i="1"/>
  <c r="AX263" i="1"/>
  <c r="AW263" i="1"/>
  <c r="BB268" i="1"/>
  <c r="BG268" i="1"/>
  <c r="BI268" i="1" s="1"/>
  <c r="AL272" i="1"/>
  <c r="BR272" i="1"/>
  <c r="AG272" i="1"/>
  <c r="BH283" i="1"/>
  <c r="AR283" i="1"/>
  <c r="AX288" i="1"/>
  <c r="BO303" i="1"/>
  <c r="BB309" i="1"/>
  <c r="BG309" i="1"/>
  <c r="BO325" i="1"/>
  <c r="BS342" i="1"/>
  <c r="BP342" i="1" s="1"/>
  <c r="AH342" i="1"/>
  <c r="BG12" i="1"/>
  <c r="BG28" i="1"/>
  <c r="BI28" i="1" s="1"/>
  <c r="BG35" i="1"/>
  <c r="BI35" i="1" s="1"/>
  <c r="BG41" i="1"/>
  <c r="BG56" i="1"/>
  <c r="BI56" i="1" s="1"/>
  <c r="BG60" i="1"/>
  <c r="BI60" i="1" s="1"/>
  <c r="BG68" i="1"/>
  <c r="BG79" i="1"/>
  <c r="BG90" i="1"/>
  <c r="BI90" i="1" s="1"/>
  <c r="AR90" i="1"/>
  <c r="BO99" i="1"/>
  <c r="AL111" i="1"/>
  <c r="BR111" i="1"/>
  <c r="AG111" i="1"/>
  <c r="BO114" i="1"/>
  <c r="BO134" i="1"/>
  <c r="BG136" i="1"/>
  <c r="AR136" i="1"/>
  <c r="BH139" i="1"/>
  <c r="AR139" i="1"/>
  <c r="BH143" i="1"/>
  <c r="AR143" i="1"/>
  <c r="BH147" i="1"/>
  <c r="BI147" i="1" s="1"/>
  <c r="AR147" i="1"/>
  <c r="BH151" i="1"/>
  <c r="BI151" i="1" s="1"/>
  <c r="AR151" i="1"/>
  <c r="BH155" i="1"/>
  <c r="AR155" i="1"/>
  <c r="BH159" i="1"/>
  <c r="BI159" i="1" s="1"/>
  <c r="AR159" i="1"/>
  <c r="AL165" i="1"/>
  <c r="BR165" i="1"/>
  <c r="AG165" i="1"/>
  <c r="BT166" i="1"/>
  <c r="BP166" i="1"/>
  <c r="AX168" i="1"/>
  <c r="AW168" i="1"/>
  <c r="BH171" i="1"/>
  <c r="BI171" i="1" s="1"/>
  <c r="AR171" i="1"/>
  <c r="AL173" i="1"/>
  <c r="BR173" i="1"/>
  <c r="AG173" i="1"/>
  <c r="BP174" i="1"/>
  <c r="BO176" i="1"/>
  <c r="BH180" i="1"/>
  <c r="AR180" i="1"/>
  <c r="BT183" i="1"/>
  <c r="BO183" i="1"/>
  <c r="BQ183" i="1" s="1"/>
  <c r="BO185" i="1"/>
  <c r="AW191" i="1"/>
  <c r="BS195" i="1"/>
  <c r="AL195" i="1"/>
  <c r="AH195" i="1"/>
  <c r="AI195" i="1" s="1"/>
  <c r="AK194" i="1"/>
  <c r="BB202" i="1"/>
  <c r="BG202" i="1"/>
  <c r="AZ201" i="1"/>
  <c r="BH208" i="1"/>
  <c r="BI208" i="1" s="1"/>
  <c r="AR208" i="1"/>
  <c r="BB224" i="1"/>
  <c r="BG224" i="1"/>
  <c r="BH230" i="1"/>
  <c r="AR230" i="1"/>
  <c r="BB240" i="1"/>
  <c r="BG240" i="1"/>
  <c r="BH246" i="1"/>
  <c r="AR246" i="1"/>
  <c r="AX251" i="1"/>
  <c r="AW251" i="1"/>
  <c r="BB256" i="1"/>
  <c r="BG256" i="1"/>
  <c r="BH262" i="1"/>
  <c r="AR262" i="1"/>
  <c r="AW267" i="1"/>
  <c r="BS275" i="1"/>
  <c r="BP275" i="1" s="1"/>
  <c r="AL275" i="1"/>
  <c r="AH275" i="1"/>
  <c r="BB281" i="1"/>
  <c r="BG281" i="1"/>
  <c r="BI281" i="1" s="1"/>
  <c r="BH287" i="1"/>
  <c r="AR287" i="1"/>
  <c r="AW540" i="1"/>
  <c r="AW542" i="1"/>
  <c r="BS549" i="1"/>
  <c r="AH549" i="1"/>
  <c r="AK548" i="1"/>
  <c r="AK547" i="1" s="1"/>
  <c r="AX555" i="1"/>
  <c r="AW555" i="1"/>
  <c r="DN4" i="1"/>
  <c r="AW12" i="1"/>
  <c r="AH14" i="1"/>
  <c r="AG15" i="1"/>
  <c r="AR15" i="1"/>
  <c r="BR15" i="1"/>
  <c r="AW16" i="1"/>
  <c r="BB16" i="1"/>
  <c r="AH18" i="1"/>
  <c r="AG19" i="1"/>
  <c r="AR19" i="1"/>
  <c r="BR19" i="1"/>
  <c r="AH22" i="1"/>
  <c r="AG23" i="1"/>
  <c r="AR23" i="1"/>
  <c r="BR23" i="1"/>
  <c r="BB24" i="1"/>
  <c r="AH26" i="1"/>
  <c r="AG27" i="1"/>
  <c r="AR27" i="1"/>
  <c r="BR27" i="1"/>
  <c r="AW28" i="1"/>
  <c r="AZ32" i="1"/>
  <c r="AZ31" i="1" s="1"/>
  <c r="BD32" i="1"/>
  <c r="BD31" i="1" s="1"/>
  <c r="BD30" i="1" s="1"/>
  <c r="BD8" i="1" s="1"/>
  <c r="AH33" i="1"/>
  <c r="AL33" i="1"/>
  <c r="AG34" i="1"/>
  <c r="AR34" i="1"/>
  <c r="BR34" i="1"/>
  <c r="AH36" i="1"/>
  <c r="I37" i="1"/>
  <c r="AH37" i="1"/>
  <c r="AW38" i="1"/>
  <c r="AH40" i="1"/>
  <c r="AH42" i="1"/>
  <c r="N44" i="1"/>
  <c r="BB45" i="1"/>
  <c r="AG46" i="1"/>
  <c r="AR46" i="1"/>
  <c r="BR46" i="1"/>
  <c r="AH47" i="1"/>
  <c r="AG49" i="1"/>
  <c r="AR49" i="1"/>
  <c r="BR49" i="1"/>
  <c r="AG51" i="1"/>
  <c r="AR51" i="1"/>
  <c r="BR51" i="1"/>
  <c r="AH53" i="1"/>
  <c r="AG54" i="1"/>
  <c r="AR54" i="1"/>
  <c r="BR54" i="1"/>
  <c r="BO55" i="1"/>
  <c r="BQ55" i="1" s="1"/>
  <c r="AH57" i="1"/>
  <c r="BO58" i="1"/>
  <c r="BQ58" i="1" s="1"/>
  <c r="BB62" i="1"/>
  <c r="AG63" i="1"/>
  <c r="AR63" i="1"/>
  <c r="BR63" i="1"/>
  <c r="I65" i="1"/>
  <c r="K65" i="1" s="1"/>
  <c r="AH65" i="1"/>
  <c r="AW68" i="1"/>
  <c r="AH70" i="1"/>
  <c r="AG71" i="1"/>
  <c r="AR71" i="1"/>
  <c r="BR71" i="1"/>
  <c r="BB72" i="1"/>
  <c r="AH74" i="1"/>
  <c r="AG75" i="1"/>
  <c r="AR75" i="1"/>
  <c r="BR75" i="1"/>
  <c r="AH77" i="1"/>
  <c r="AG78" i="1"/>
  <c r="AR78" i="1"/>
  <c r="BR78" i="1"/>
  <c r="AW79" i="1"/>
  <c r="AH81" i="1"/>
  <c r="AG82" i="1"/>
  <c r="AR82" i="1"/>
  <c r="BR82" i="1"/>
  <c r="BG83" i="1"/>
  <c r="BI83" i="1" s="1"/>
  <c r="AR84" i="1"/>
  <c r="AR85" i="1"/>
  <c r="AX87" i="1"/>
  <c r="AW87" i="1"/>
  <c r="BS88" i="1"/>
  <c r="AH88" i="1"/>
  <c r="AI88" i="1" s="1"/>
  <c r="AS88" i="1" s="1"/>
  <c r="AL89" i="1"/>
  <c r="BR89" i="1"/>
  <c r="AG89" i="1"/>
  <c r="BO92" i="1"/>
  <c r="BA92" i="1"/>
  <c r="BH92" i="1" s="1"/>
  <c r="BI92" i="1" s="1"/>
  <c r="BE92" i="1"/>
  <c r="BE67" i="1" s="1"/>
  <c r="BE66" i="1" s="1"/>
  <c r="BS95" i="1"/>
  <c r="BP95" i="1" s="1"/>
  <c r="AH95" i="1"/>
  <c r="AI95" i="1" s="1"/>
  <c r="AS95" i="1" s="1"/>
  <c r="AL96" i="1"/>
  <c r="BR96" i="1"/>
  <c r="AG96" i="1"/>
  <c r="BS99" i="1"/>
  <c r="AH99" i="1"/>
  <c r="AI99" i="1" s="1"/>
  <c r="AS99" i="1" s="1"/>
  <c r="AL100" i="1"/>
  <c r="BR100" i="1"/>
  <c r="AG100" i="1"/>
  <c r="BH104" i="1"/>
  <c r="BI104" i="1" s="1"/>
  <c r="AR104" i="1"/>
  <c r="BS106" i="1"/>
  <c r="AL106" i="1"/>
  <c r="AH106" i="1"/>
  <c r="AI106" i="1" s="1"/>
  <c r="AS106" i="1" s="1"/>
  <c r="AL107" i="1"/>
  <c r="BR107" i="1"/>
  <c r="AG107" i="1"/>
  <c r="BH108" i="1"/>
  <c r="AX109" i="1"/>
  <c r="AW109" i="1"/>
  <c r="BT110" i="1"/>
  <c r="BO110" i="1"/>
  <c r="BG112" i="1"/>
  <c r="AR112" i="1"/>
  <c r="BS114" i="1"/>
  <c r="BP114" i="1" s="1"/>
  <c r="AL114" i="1"/>
  <c r="AH114" i="1"/>
  <c r="AI114" i="1" s="1"/>
  <c r="AS114" i="1" s="1"/>
  <c r="AL115" i="1"/>
  <c r="BR115" i="1"/>
  <c r="AG115" i="1"/>
  <c r="BH119" i="1"/>
  <c r="BI119" i="1" s="1"/>
  <c r="AR119" i="1"/>
  <c r="BP123" i="1"/>
  <c r="BH127" i="1"/>
  <c r="AR127" i="1"/>
  <c r="BP131" i="1"/>
  <c r="BG132" i="1"/>
  <c r="BI132" i="1" s="1"/>
  <c r="AR132" i="1"/>
  <c r="BS134" i="1"/>
  <c r="AL134" i="1"/>
  <c r="AH134" i="1"/>
  <c r="AI134" i="1" s="1"/>
  <c r="AS134" i="1" s="1"/>
  <c r="AL135" i="1"/>
  <c r="BR135" i="1"/>
  <c r="AG135" i="1"/>
  <c r="AX136" i="1"/>
  <c r="AW136" i="1"/>
  <c r="BH136" i="1"/>
  <c r="AX137" i="1"/>
  <c r="AW137" i="1"/>
  <c r="BP139" i="1"/>
  <c r="AX141" i="1"/>
  <c r="AW141" i="1"/>
  <c r="BP143" i="1"/>
  <c r="AX145" i="1"/>
  <c r="AW145" i="1"/>
  <c r="BP147" i="1"/>
  <c r="AX149" i="1"/>
  <c r="AW149" i="1"/>
  <c r="BI149" i="1"/>
  <c r="BJ149" i="1" s="1"/>
  <c r="BP151" i="1"/>
  <c r="AX153" i="1"/>
  <c r="AW153" i="1"/>
  <c r="BI153" i="1"/>
  <c r="BP155" i="1"/>
  <c r="AX157" i="1"/>
  <c r="AW157" i="1"/>
  <c r="BI157" i="1"/>
  <c r="N163" i="1"/>
  <c r="I163" i="1"/>
  <c r="AH163" i="1"/>
  <c r="AI163" i="1" s="1"/>
  <c r="BQ166" i="1"/>
  <c r="BH167" i="1"/>
  <c r="BI167" i="1" s="1"/>
  <c r="AR167" i="1"/>
  <c r="AL169" i="1"/>
  <c r="BR169" i="1"/>
  <c r="AG169" i="1"/>
  <c r="BP170" i="1"/>
  <c r="AX172" i="1"/>
  <c r="AW172" i="1"/>
  <c r="BI172" i="1"/>
  <c r="BQ174" i="1"/>
  <c r="BH175" i="1"/>
  <c r="BI175" i="1" s="1"/>
  <c r="AR175" i="1"/>
  <c r="AL176" i="1"/>
  <c r="BR179" i="1"/>
  <c r="AL179" i="1"/>
  <c r="AG179" i="1"/>
  <c r="AI179" i="1" s="1"/>
  <c r="AS179" i="1" s="1"/>
  <c r="AL196" i="1"/>
  <c r="BR196" i="1"/>
  <c r="BR194" i="1" s="1"/>
  <c r="AG196" i="1"/>
  <c r="AJ194" i="1"/>
  <c r="Z198" i="1"/>
  <c r="Z197" i="1" s="1"/>
  <c r="Y197" i="1"/>
  <c r="Y193" i="1" s="1"/>
  <c r="Y30" i="1" s="1"/>
  <c r="Y8" i="1" s="1"/>
  <c r="AK198" i="1"/>
  <c r="AX205" i="1"/>
  <c r="BH215" i="1"/>
  <c r="AR215" i="1"/>
  <c r="BB220" i="1"/>
  <c r="BG220" i="1"/>
  <c r="BH222" i="1"/>
  <c r="BI222" i="1" s="1"/>
  <c r="AR222" i="1"/>
  <c r="AX227" i="1"/>
  <c r="AW227" i="1"/>
  <c r="BB232" i="1"/>
  <c r="BG232" i="1"/>
  <c r="BH238" i="1"/>
  <c r="AR238" i="1"/>
  <c r="AX243" i="1"/>
  <c r="AW243" i="1"/>
  <c r="BB248" i="1"/>
  <c r="BG248" i="1"/>
  <c r="BH254" i="1"/>
  <c r="AR254" i="1"/>
  <c r="AX259" i="1"/>
  <c r="BI262" i="1"/>
  <c r="BB264" i="1"/>
  <c r="BG264" i="1"/>
  <c r="BI264" i="1" s="1"/>
  <c r="AL276" i="1"/>
  <c r="BR276" i="1"/>
  <c r="AG276" i="1"/>
  <c r="BH279" i="1"/>
  <c r="BI279" i="1" s="1"/>
  <c r="AR279" i="1"/>
  <c r="AX284" i="1"/>
  <c r="AW284" i="1"/>
  <c r="BB289" i="1"/>
  <c r="BG289" i="1"/>
  <c r="BI289" i="1" s="1"/>
  <c r="BH300" i="1"/>
  <c r="AR300" i="1"/>
  <c r="AP11" i="1"/>
  <c r="AP10" i="1" s="1"/>
  <c r="AP9" i="1" s="1"/>
  <c r="AG12" i="1"/>
  <c r="AH15" i="1"/>
  <c r="AG16" i="1"/>
  <c r="AI16" i="1" s="1"/>
  <c r="AS16" i="1" s="1"/>
  <c r="AH19" i="1"/>
  <c r="AG20" i="1"/>
  <c r="AI20" i="1" s="1"/>
  <c r="AS20" i="1" s="1"/>
  <c r="AH23" i="1"/>
  <c r="AG24" i="1"/>
  <c r="AH27" i="1"/>
  <c r="AG28" i="1"/>
  <c r="AI28" i="1" s="1"/>
  <c r="AH34" i="1"/>
  <c r="AG35" i="1"/>
  <c r="AI35" i="1" s="1"/>
  <c r="AS35" i="1" s="1"/>
  <c r="AG38" i="1"/>
  <c r="AI38" i="1" s="1"/>
  <c r="AG41" i="1"/>
  <c r="AI41" i="1" s="1"/>
  <c r="AS41" i="1" s="1"/>
  <c r="AG43" i="1"/>
  <c r="AI43" i="1" s="1"/>
  <c r="AS43" i="1" s="1"/>
  <c r="AG45" i="1"/>
  <c r="AH46" i="1"/>
  <c r="AH49" i="1"/>
  <c r="AH51" i="1"/>
  <c r="AH54" i="1"/>
  <c r="AG56" i="1"/>
  <c r="AQ58" i="1"/>
  <c r="AG59" i="1"/>
  <c r="AI59" i="1" s="1"/>
  <c r="AG60" i="1"/>
  <c r="AI60" i="1" s="1"/>
  <c r="AG62" i="1"/>
  <c r="AH63" i="1"/>
  <c r="AP67" i="1"/>
  <c r="AP66" i="1" s="1"/>
  <c r="AG68" i="1"/>
  <c r="AH71" i="1"/>
  <c r="AG72" i="1"/>
  <c r="AI72" i="1" s="1"/>
  <c r="AH75" i="1"/>
  <c r="AH78" i="1"/>
  <c r="AG79" i="1"/>
  <c r="AI79" i="1" s="1"/>
  <c r="AS79" i="1" s="1"/>
  <c r="AH82" i="1"/>
  <c r="AG83" i="1"/>
  <c r="BB83" i="1"/>
  <c r="AG84" i="1"/>
  <c r="AI84" i="1" s="1"/>
  <c r="BS85" i="1"/>
  <c r="BP85" i="1" s="1"/>
  <c r="AH85" i="1"/>
  <c r="AI85" i="1" s="1"/>
  <c r="BR85" i="1"/>
  <c r="BG86" i="1"/>
  <c r="BI86" i="1" s="1"/>
  <c r="AR86" i="1"/>
  <c r="K87" i="1"/>
  <c r="BG87" i="1"/>
  <c r="BI87" i="1" s="1"/>
  <c r="AX88" i="1"/>
  <c r="BP89" i="1"/>
  <c r="BB90" i="1"/>
  <c r="AX91" i="1"/>
  <c r="AW91" i="1"/>
  <c r="BS92" i="1"/>
  <c r="BP92" i="1" s="1"/>
  <c r="AH92" i="1"/>
  <c r="BG93" i="1"/>
  <c r="BI93" i="1" s="1"/>
  <c r="AR93" i="1"/>
  <c r="K94" i="1"/>
  <c r="BG94" i="1"/>
  <c r="BI94" i="1" s="1"/>
  <c r="AX95" i="1"/>
  <c r="BP96" i="1"/>
  <c r="BB97" i="1"/>
  <c r="AX98" i="1"/>
  <c r="AW98" i="1"/>
  <c r="BP100" i="1"/>
  <c r="BG101" i="1"/>
  <c r="BI101" i="1" s="1"/>
  <c r="AR101" i="1"/>
  <c r="BS103" i="1"/>
  <c r="AL103" i="1"/>
  <c r="AH103" i="1"/>
  <c r="AI103" i="1" s="1"/>
  <c r="AL104" i="1"/>
  <c r="BR104" i="1"/>
  <c r="AG104" i="1"/>
  <c r="BP107" i="1"/>
  <c r="BO109" i="1"/>
  <c r="BH111" i="1"/>
  <c r="AR111" i="1"/>
  <c r="BP115" i="1"/>
  <c r="BG116" i="1"/>
  <c r="AR116" i="1"/>
  <c r="BS118" i="1"/>
  <c r="AL118" i="1"/>
  <c r="AH118" i="1"/>
  <c r="AI118" i="1" s="1"/>
  <c r="AL119" i="1"/>
  <c r="BR119" i="1"/>
  <c r="AG119" i="1"/>
  <c r="AX120" i="1"/>
  <c r="AW120" i="1"/>
  <c r="BH120" i="1"/>
  <c r="AX121" i="1"/>
  <c r="AW121" i="1"/>
  <c r="BG121" i="1"/>
  <c r="BT122" i="1"/>
  <c r="BO122" i="1"/>
  <c r="BG124" i="1"/>
  <c r="BI124" i="1" s="1"/>
  <c r="AR124" i="1"/>
  <c r="BS126" i="1"/>
  <c r="AL126" i="1"/>
  <c r="AH126" i="1"/>
  <c r="AI126" i="1" s="1"/>
  <c r="AL127" i="1"/>
  <c r="BR127" i="1"/>
  <c r="AG127" i="1"/>
  <c r="BH128" i="1"/>
  <c r="BG129" i="1"/>
  <c r="AI130" i="1"/>
  <c r="BO130" i="1"/>
  <c r="BP135" i="1"/>
  <c r="BG140" i="1"/>
  <c r="BI140" i="1" s="1"/>
  <c r="AR140" i="1"/>
  <c r="BO142" i="1"/>
  <c r="BG144" i="1"/>
  <c r="BI144" i="1" s="1"/>
  <c r="AR144" i="1"/>
  <c r="BT146" i="1"/>
  <c r="BO146" i="1"/>
  <c r="BQ146" i="1" s="1"/>
  <c r="BG148" i="1"/>
  <c r="BI148" i="1" s="1"/>
  <c r="AR148" i="1"/>
  <c r="BQ149" i="1"/>
  <c r="AI150" i="1"/>
  <c r="AS150" i="1" s="1"/>
  <c r="BO150" i="1"/>
  <c r="BG152" i="1"/>
  <c r="BI152" i="1" s="1"/>
  <c r="AR152" i="1"/>
  <c r="BG156" i="1"/>
  <c r="BI156" i="1" s="1"/>
  <c r="AR156" i="1"/>
  <c r="AI158" i="1"/>
  <c r="BO158" i="1"/>
  <c r="BG160" i="1"/>
  <c r="BI160" i="1" s="1"/>
  <c r="AR160" i="1"/>
  <c r="BT162" i="1"/>
  <c r="BO162" i="1"/>
  <c r="BQ162" i="1" s="1"/>
  <c r="AV164" i="1"/>
  <c r="AQ164" i="1"/>
  <c r="BG164" i="1"/>
  <c r="BH165" i="1"/>
  <c r="AR165" i="1"/>
  <c r="AL167" i="1"/>
  <c r="BR167" i="1"/>
  <c r="AG167" i="1"/>
  <c r="BP168" i="1"/>
  <c r="BP169" i="1"/>
  <c r="AX170" i="1"/>
  <c r="AW170" i="1"/>
  <c r="BG170" i="1"/>
  <c r="BI170" i="1" s="1"/>
  <c r="BJ170" i="1" s="1"/>
  <c r="BH173" i="1"/>
  <c r="BI173" i="1" s="1"/>
  <c r="AR173" i="1"/>
  <c r="AL175" i="1"/>
  <c r="BR175" i="1"/>
  <c r="AG175" i="1"/>
  <c r="BG177" i="1"/>
  <c r="AR177" i="1"/>
  <c r="BT178" i="1"/>
  <c r="BO178" i="1"/>
  <c r="BQ178" i="1" s="1"/>
  <c r="BI184" i="1"/>
  <c r="AR186" i="1"/>
  <c r="BG186" i="1"/>
  <c r="BI186" i="1" s="1"/>
  <c r="BR199" i="1"/>
  <c r="BR197" i="1" s="1"/>
  <c r="AG199" i="1"/>
  <c r="AJ197" i="1"/>
  <c r="AW200" i="1"/>
  <c r="K203" i="1"/>
  <c r="BI204" i="1"/>
  <c r="BB206" i="1"/>
  <c r="BG206" i="1"/>
  <c r="BI206" i="1" s="1"/>
  <c r="BO211" i="1"/>
  <c r="AL213" i="1"/>
  <c r="BR213" i="1"/>
  <c r="AG213" i="1"/>
  <c r="AX223" i="1"/>
  <c r="AW223" i="1"/>
  <c r="BB228" i="1"/>
  <c r="BG228" i="1"/>
  <c r="BI228" i="1" s="1"/>
  <c r="BH234" i="1"/>
  <c r="AR234" i="1"/>
  <c r="AX239" i="1"/>
  <c r="AW239" i="1"/>
  <c r="BB244" i="1"/>
  <c r="BG244" i="1"/>
  <c r="BI244" i="1" s="1"/>
  <c r="BH250" i="1"/>
  <c r="BI250" i="1" s="1"/>
  <c r="AR250" i="1"/>
  <c r="AX255" i="1"/>
  <c r="AW255" i="1"/>
  <c r="BB260" i="1"/>
  <c r="BG260" i="1"/>
  <c r="BI260" i="1" s="1"/>
  <c r="BH266" i="1"/>
  <c r="BI266" i="1" s="1"/>
  <c r="AR266" i="1"/>
  <c r="BS271" i="1"/>
  <c r="AL271" i="1"/>
  <c r="AH271" i="1"/>
  <c r="AI271" i="1" s="1"/>
  <c r="AS271" i="1" s="1"/>
  <c r="BT274" i="1"/>
  <c r="BO274" i="1"/>
  <c r="BQ274" i="1" s="1"/>
  <c r="AW280" i="1"/>
  <c r="BB285" i="1"/>
  <c r="BG285" i="1"/>
  <c r="AW291" i="1"/>
  <c r="BB294" i="1"/>
  <c r="BG294" i="1"/>
  <c r="BI294" i="1" s="1"/>
  <c r="AX328" i="1"/>
  <c r="AW328" i="1"/>
  <c r="BG88" i="1"/>
  <c r="BI88" i="1" s="1"/>
  <c r="AR89" i="1"/>
  <c r="AL92" i="1"/>
  <c r="BG95" i="1"/>
  <c r="BI95" i="1" s="1"/>
  <c r="AR96" i="1"/>
  <c r="BG99" i="1"/>
  <c r="BI99" i="1" s="1"/>
  <c r="AR100" i="1"/>
  <c r="BG103" i="1"/>
  <c r="BI103" i="1" s="1"/>
  <c r="BG106" i="1"/>
  <c r="BI106" i="1" s="1"/>
  <c r="BG110" i="1"/>
  <c r="BI110" i="1" s="1"/>
  <c r="BG114" i="1"/>
  <c r="BI114" i="1" s="1"/>
  <c r="BG118" i="1"/>
  <c r="BI118" i="1" s="1"/>
  <c r="BJ118" i="1" s="1"/>
  <c r="BG122" i="1"/>
  <c r="BG126" i="1"/>
  <c r="BI126" i="1" s="1"/>
  <c r="BG130" i="1"/>
  <c r="BI130" i="1" s="1"/>
  <c r="BG134" i="1"/>
  <c r="BI134" i="1" s="1"/>
  <c r="BG138" i="1"/>
  <c r="BI138" i="1" s="1"/>
  <c r="BG142" i="1"/>
  <c r="BG146" i="1"/>
  <c r="BI146" i="1" s="1"/>
  <c r="BG150" i="1"/>
  <c r="BI150" i="1" s="1"/>
  <c r="BG154" i="1"/>
  <c r="BI154" i="1" s="1"/>
  <c r="BG158" i="1"/>
  <c r="BG162" i="1"/>
  <c r="BI162" i="1" s="1"/>
  <c r="BG176" i="1"/>
  <c r="BI176" i="1" s="1"/>
  <c r="BG178" i="1"/>
  <c r="BI178" i="1" s="1"/>
  <c r="BP181" i="1"/>
  <c r="BG182" i="1"/>
  <c r="BI182" i="1" s="1"/>
  <c r="AR182" i="1"/>
  <c r="BR184" i="1"/>
  <c r="AL184" i="1"/>
  <c r="AG184" i="1"/>
  <c r="AI184" i="1" s="1"/>
  <c r="BO187" i="1"/>
  <c r="AX190" i="1"/>
  <c r="AW190" i="1"/>
  <c r="H193" i="1"/>
  <c r="H30" i="1" s="1"/>
  <c r="H8" i="1" s="1"/>
  <c r="AN193" i="1"/>
  <c r="AN30" i="1" s="1"/>
  <c r="BP196" i="1"/>
  <c r="J197" i="1"/>
  <c r="K198" i="1"/>
  <c r="BQ200" i="1"/>
  <c r="Z201" i="1"/>
  <c r="BT202" i="1"/>
  <c r="BP202" i="1"/>
  <c r="BQ202" i="1" s="1"/>
  <c r="BS203" i="1"/>
  <c r="BP203" i="1" s="1"/>
  <c r="AL203" i="1"/>
  <c r="AH203" i="1"/>
  <c r="AI203" i="1" s="1"/>
  <c r="AL204" i="1"/>
  <c r="BR204" i="1"/>
  <c r="AG204" i="1"/>
  <c r="AJ201" i="1"/>
  <c r="BU201" i="1"/>
  <c r="BS207" i="1"/>
  <c r="BP207" i="1" s="1"/>
  <c r="AL207" i="1"/>
  <c r="AH207" i="1"/>
  <c r="AL208" i="1"/>
  <c r="BR208" i="1"/>
  <c r="AG208" i="1"/>
  <c r="BH210" i="1"/>
  <c r="BI210" i="1" s="1"/>
  <c r="AR210" i="1"/>
  <c r="BP213" i="1"/>
  <c r="AL215" i="1"/>
  <c r="BR215" i="1"/>
  <c r="AG215" i="1"/>
  <c r="BH217" i="1"/>
  <c r="BI217" i="1" s="1"/>
  <c r="AR217" i="1"/>
  <c r="BS221" i="1"/>
  <c r="BP221" i="1" s="1"/>
  <c r="AL221" i="1"/>
  <c r="AH221" i="1"/>
  <c r="AI221" i="1" s="1"/>
  <c r="AS221" i="1" s="1"/>
  <c r="AL222" i="1"/>
  <c r="BR222" i="1"/>
  <c r="AG222" i="1"/>
  <c r="BS225" i="1"/>
  <c r="BP225" i="1" s="1"/>
  <c r="AL225" i="1"/>
  <c r="AH225" i="1"/>
  <c r="AI225" i="1" s="1"/>
  <c r="AS225" i="1" s="1"/>
  <c r="AL226" i="1"/>
  <c r="BR226" i="1"/>
  <c r="AG226" i="1"/>
  <c r="BS229" i="1"/>
  <c r="BP229" i="1" s="1"/>
  <c r="AL229" i="1"/>
  <c r="AH229" i="1"/>
  <c r="AL230" i="1"/>
  <c r="BR230" i="1"/>
  <c r="AG230" i="1"/>
  <c r="BS233" i="1"/>
  <c r="BP233" i="1" s="1"/>
  <c r="AL233" i="1"/>
  <c r="AH233" i="1"/>
  <c r="AI233" i="1" s="1"/>
  <c r="AS233" i="1" s="1"/>
  <c r="AL234" i="1"/>
  <c r="BR234" i="1"/>
  <c r="AG234" i="1"/>
  <c r="BS237" i="1"/>
  <c r="AL237" i="1"/>
  <c r="AH237" i="1"/>
  <c r="AI237" i="1" s="1"/>
  <c r="AS237" i="1" s="1"/>
  <c r="AL238" i="1"/>
  <c r="BR238" i="1"/>
  <c r="AG238" i="1"/>
  <c r="BS241" i="1"/>
  <c r="BP241" i="1" s="1"/>
  <c r="AL241" i="1"/>
  <c r="AH241" i="1"/>
  <c r="AI241" i="1" s="1"/>
  <c r="AS241" i="1" s="1"/>
  <c r="AL242" i="1"/>
  <c r="BR242" i="1"/>
  <c r="AG242" i="1"/>
  <c r="BS245" i="1"/>
  <c r="AL245" i="1"/>
  <c r="AH245" i="1"/>
  <c r="AI245" i="1" s="1"/>
  <c r="AS245" i="1" s="1"/>
  <c r="AL246" i="1"/>
  <c r="BR246" i="1"/>
  <c r="AG246" i="1"/>
  <c r="BS249" i="1"/>
  <c r="BP249" i="1" s="1"/>
  <c r="AL249" i="1"/>
  <c r="AH249" i="1"/>
  <c r="AI249" i="1" s="1"/>
  <c r="AS249" i="1" s="1"/>
  <c r="AL250" i="1"/>
  <c r="BR250" i="1"/>
  <c r="AG250" i="1"/>
  <c r="BS253" i="1"/>
  <c r="BP253" i="1" s="1"/>
  <c r="AL253" i="1"/>
  <c r="AH253" i="1"/>
  <c r="AI253" i="1" s="1"/>
  <c r="AS253" i="1" s="1"/>
  <c r="AL254" i="1"/>
  <c r="BR254" i="1"/>
  <c r="AG254" i="1"/>
  <c r="BS257" i="1"/>
  <c r="BP257" i="1" s="1"/>
  <c r="AL257" i="1"/>
  <c r="AH257" i="1"/>
  <c r="AL258" i="1"/>
  <c r="BR258" i="1"/>
  <c r="AG258" i="1"/>
  <c r="BS261" i="1"/>
  <c r="BP261" i="1" s="1"/>
  <c r="AL261" i="1"/>
  <c r="AH261" i="1"/>
  <c r="AL262" i="1"/>
  <c r="BR262" i="1"/>
  <c r="AG262" i="1"/>
  <c r="BS265" i="1"/>
  <c r="BP265" i="1" s="1"/>
  <c r="AL265" i="1"/>
  <c r="AH265" i="1"/>
  <c r="AI265" i="1" s="1"/>
  <c r="AS265" i="1" s="1"/>
  <c r="AL266" i="1"/>
  <c r="BR266" i="1"/>
  <c r="AG266" i="1"/>
  <c r="BS269" i="1"/>
  <c r="BP269" i="1" s="1"/>
  <c r="AL269" i="1"/>
  <c r="AH269" i="1"/>
  <c r="AI269" i="1" s="1"/>
  <c r="AS269" i="1" s="1"/>
  <c r="BP272" i="1"/>
  <c r="BG273" i="1"/>
  <c r="AR273" i="1"/>
  <c r="BP276" i="1"/>
  <c r="BG277" i="1"/>
  <c r="AR277" i="1"/>
  <c r="AL279" i="1"/>
  <c r="BR279" i="1"/>
  <c r="AG279" i="1"/>
  <c r="BS282" i="1"/>
  <c r="BP282" i="1" s="1"/>
  <c r="AL282" i="1"/>
  <c r="AH282" i="1"/>
  <c r="AI282" i="1" s="1"/>
  <c r="AS282" i="1" s="1"/>
  <c r="AL283" i="1"/>
  <c r="BR283" i="1"/>
  <c r="AG283" i="1"/>
  <c r="BS286" i="1"/>
  <c r="BP286" i="1" s="1"/>
  <c r="AL286" i="1"/>
  <c r="AH286" i="1"/>
  <c r="AI286" i="1" s="1"/>
  <c r="AS286" i="1" s="1"/>
  <c r="AL287" i="1"/>
  <c r="BR287" i="1"/>
  <c r="AG287" i="1"/>
  <c r="BS290" i="1"/>
  <c r="AL290" i="1"/>
  <c r="AH290" i="1"/>
  <c r="BH296" i="1"/>
  <c r="AR296" i="1"/>
  <c r="BB305" i="1"/>
  <c r="BG305" i="1"/>
  <c r="BI305" i="1" s="1"/>
  <c r="AR311" i="1"/>
  <c r="BH311" i="1"/>
  <c r="BI311" i="1" s="1"/>
  <c r="BS313" i="1"/>
  <c r="BP313" i="1" s="1"/>
  <c r="AL313" i="1"/>
  <c r="AH313" i="1"/>
  <c r="AX316" i="1"/>
  <c r="AW316" i="1"/>
  <c r="BO329" i="1"/>
  <c r="AX332" i="1"/>
  <c r="AW332" i="1"/>
  <c r="BO334" i="1"/>
  <c r="BP371" i="1"/>
  <c r="BT371" i="1"/>
  <c r="AW414" i="1"/>
  <c r="AX414" i="1"/>
  <c r="AG86" i="1"/>
  <c r="AI86" i="1" s="1"/>
  <c r="BR86" i="1"/>
  <c r="AH89" i="1"/>
  <c r="AG90" i="1"/>
  <c r="AI90" i="1" s="1"/>
  <c r="BR90" i="1"/>
  <c r="AG93" i="1"/>
  <c r="BR93" i="1"/>
  <c r="AH96" i="1"/>
  <c r="AG97" i="1"/>
  <c r="AI97" i="1" s="1"/>
  <c r="AS97" i="1" s="1"/>
  <c r="BR97" i="1"/>
  <c r="AH100" i="1"/>
  <c r="AG101" i="1"/>
  <c r="BR101" i="1"/>
  <c r="AH104" i="1"/>
  <c r="AH107" i="1"/>
  <c r="AG108" i="1"/>
  <c r="AI108" i="1" s="1"/>
  <c r="AS108" i="1" s="1"/>
  <c r="BR108" i="1"/>
  <c r="AH111" i="1"/>
  <c r="AG112" i="1"/>
  <c r="BR112" i="1"/>
  <c r="AH115" i="1"/>
  <c r="AG116" i="1"/>
  <c r="BR116" i="1"/>
  <c r="AH119" i="1"/>
  <c r="AG120" i="1"/>
  <c r="AI120" i="1" s="1"/>
  <c r="AS120" i="1" s="1"/>
  <c r="BR120" i="1"/>
  <c r="AH123" i="1"/>
  <c r="AG124" i="1"/>
  <c r="BR124" i="1"/>
  <c r="AH127" i="1"/>
  <c r="AG128" i="1"/>
  <c r="AI128" i="1" s="1"/>
  <c r="BR128" i="1"/>
  <c r="AH131" i="1"/>
  <c r="AG132" i="1"/>
  <c r="BR132" i="1"/>
  <c r="AH135" i="1"/>
  <c r="AG136" i="1"/>
  <c r="AI136" i="1" s="1"/>
  <c r="BR136" i="1"/>
  <c r="AH139" i="1"/>
  <c r="AG140" i="1"/>
  <c r="BR140" i="1"/>
  <c r="AH143" i="1"/>
  <c r="AG144" i="1"/>
  <c r="AI144" i="1" s="1"/>
  <c r="AS144" i="1" s="1"/>
  <c r="BR144" i="1"/>
  <c r="AH147" i="1"/>
  <c r="AG148" i="1"/>
  <c r="BR148" i="1"/>
  <c r="AH151" i="1"/>
  <c r="AG152" i="1"/>
  <c r="AI152" i="1" s="1"/>
  <c r="BR152" i="1"/>
  <c r="AH155" i="1"/>
  <c r="AG156" i="1"/>
  <c r="BR156" i="1"/>
  <c r="AH159" i="1"/>
  <c r="AG160" i="1"/>
  <c r="AI160" i="1" s="1"/>
  <c r="AS160" i="1" s="1"/>
  <c r="BR160" i="1"/>
  <c r="BO163" i="1"/>
  <c r="AG164" i="1"/>
  <c r="AI164" i="1" s="1"/>
  <c r="AH165" i="1"/>
  <c r="AH167" i="1"/>
  <c r="AH169" i="1"/>
  <c r="AH171" i="1"/>
  <c r="AH173" i="1"/>
  <c r="AH175" i="1"/>
  <c r="AG177" i="1"/>
  <c r="AI177" i="1" s="1"/>
  <c r="BR177" i="1"/>
  <c r="BS180" i="1"/>
  <c r="BP180" i="1" s="1"/>
  <c r="AH180" i="1"/>
  <c r="BR180" i="1"/>
  <c r="AL181" i="1"/>
  <c r="AV184" i="1"/>
  <c r="AG185" i="1"/>
  <c r="BR186" i="1"/>
  <c r="AL186" i="1"/>
  <c r="AG186" i="1"/>
  <c r="AI186" i="1" s="1"/>
  <c r="AS186" i="1" s="1"/>
  <c r="AK192" i="1"/>
  <c r="AE192" i="1"/>
  <c r="AE67" i="1" s="1"/>
  <c r="AE66" i="1" s="1"/>
  <c r="BG192" i="1"/>
  <c r="BI192" i="1" s="1"/>
  <c r="P193" i="1"/>
  <c r="P30" i="1" s="1"/>
  <c r="P8" i="1" s="1"/>
  <c r="AF193" i="1"/>
  <c r="AF30" i="1" s="1"/>
  <c r="AF8" i="1" s="1"/>
  <c r="AG194" i="1"/>
  <c r="BT195" i="1"/>
  <c r="BO195" i="1"/>
  <c r="AH200" i="1"/>
  <c r="K202" i="1"/>
  <c r="BP204" i="1"/>
  <c r="BG205" i="1"/>
  <c r="AP201" i="1"/>
  <c r="AR205" i="1"/>
  <c r="BB205" i="1"/>
  <c r="BA201" i="1"/>
  <c r="BP208" i="1"/>
  <c r="AL210" i="1"/>
  <c r="BR210" i="1"/>
  <c r="AG210" i="1"/>
  <c r="AX211" i="1"/>
  <c r="AW211" i="1"/>
  <c r="AI212" i="1"/>
  <c r="AS212" i="1" s="1"/>
  <c r="BO212" i="1"/>
  <c r="BP215" i="1"/>
  <c r="AL217" i="1"/>
  <c r="BR217" i="1"/>
  <c r="AG217" i="1"/>
  <c r="BH219" i="1"/>
  <c r="BI219" i="1" s="1"/>
  <c r="AR219" i="1"/>
  <c r="BP222" i="1"/>
  <c r="BG223" i="1"/>
  <c r="BI223" i="1" s="1"/>
  <c r="AR223" i="1"/>
  <c r="BP226" i="1"/>
  <c r="BG227" i="1"/>
  <c r="BI227" i="1" s="1"/>
  <c r="AR227" i="1"/>
  <c r="BP230" i="1"/>
  <c r="BG231" i="1"/>
  <c r="AR231" i="1"/>
  <c r="BP234" i="1"/>
  <c r="BG235" i="1"/>
  <c r="AR235" i="1"/>
  <c r="BP238" i="1"/>
  <c r="BG239" i="1"/>
  <c r="AR239" i="1"/>
  <c r="BP242" i="1"/>
  <c r="BG243" i="1"/>
  <c r="BI243" i="1" s="1"/>
  <c r="AR243" i="1"/>
  <c r="BP246" i="1"/>
  <c r="BG247" i="1"/>
  <c r="AR247" i="1"/>
  <c r="BP250" i="1"/>
  <c r="BG251" i="1"/>
  <c r="BI251" i="1" s="1"/>
  <c r="AR251" i="1"/>
  <c r="BP254" i="1"/>
  <c r="BG255" i="1"/>
  <c r="BI255" i="1" s="1"/>
  <c r="AR255" i="1"/>
  <c r="BP258" i="1"/>
  <c r="BG259" i="1"/>
  <c r="BI259" i="1" s="1"/>
  <c r="AR259" i="1"/>
  <c r="BP262" i="1"/>
  <c r="BG263" i="1"/>
  <c r="BI263" i="1" s="1"/>
  <c r="AR263" i="1"/>
  <c r="BP266" i="1"/>
  <c r="BG267" i="1"/>
  <c r="BI267" i="1" s="1"/>
  <c r="AR267" i="1"/>
  <c r="AV270" i="1"/>
  <c r="AQ270" i="1"/>
  <c r="BG270" i="1"/>
  <c r="BO271" i="1"/>
  <c r="AX274" i="1"/>
  <c r="AW274" i="1"/>
  <c r="BG274" i="1"/>
  <c r="BI274" i="1" s="1"/>
  <c r="AI275" i="1"/>
  <c r="AS275" i="1" s="1"/>
  <c r="BO275" i="1"/>
  <c r="AX278" i="1"/>
  <c r="BP279" i="1"/>
  <c r="BG280" i="1"/>
  <c r="BI280" i="1" s="1"/>
  <c r="AR280" i="1"/>
  <c r="BG284" i="1"/>
  <c r="BI284" i="1" s="1"/>
  <c r="AR284" i="1"/>
  <c r="BG288" i="1"/>
  <c r="BI288" i="1" s="1"/>
  <c r="AR288" i="1"/>
  <c r="BH292" i="1"/>
  <c r="AR292" i="1"/>
  <c r="AX297" i="1"/>
  <c r="AW297" i="1"/>
  <c r="BH307" i="1"/>
  <c r="BI307" i="1" s="1"/>
  <c r="AR307" i="1"/>
  <c r="BT312" i="1"/>
  <c r="BO312" i="1"/>
  <c r="BQ312" i="1" s="1"/>
  <c r="BO317" i="1"/>
  <c r="AX320" i="1"/>
  <c r="AW320" i="1"/>
  <c r="BS334" i="1"/>
  <c r="BP334" i="1" s="1"/>
  <c r="AH334" i="1"/>
  <c r="BT352" i="1"/>
  <c r="BO352" i="1"/>
  <c r="BQ352" i="1" s="1"/>
  <c r="AH101" i="1"/>
  <c r="AH116" i="1"/>
  <c r="AH132" i="1"/>
  <c r="AL164" i="1"/>
  <c r="AG180" i="1"/>
  <c r="AH181" i="1"/>
  <c r="BG181" i="1"/>
  <c r="BI181" i="1" s="1"/>
  <c r="BT181" i="1"/>
  <c r="BO181" i="1"/>
  <c r="AL182" i="1"/>
  <c r="BR182" i="1"/>
  <c r="AG182" i="1"/>
  <c r="AI183" i="1"/>
  <c r="AR184" i="1"/>
  <c r="BB184" i="1"/>
  <c r="AL185" i="1"/>
  <c r="BS187" i="1"/>
  <c r="BP187" i="1" s="1"/>
  <c r="AL187" i="1"/>
  <c r="AH187" i="1"/>
  <c r="AI187" i="1" s="1"/>
  <c r="AS187" i="1" s="1"/>
  <c r="BG188" i="1"/>
  <c r="BI188" i="1" s="1"/>
  <c r="AR188" i="1"/>
  <c r="BS189" i="1"/>
  <c r="BP189" i="1" s="1"/>
  <c r="AL189" i="1"/>
  <c r="AH189" i="1"/>
  <c r="AI189" i="1" s="1"/>
  <c r="AS189" i="1" s="1"/>
  <c r="BG190" i="1"/>
  <c r="AR190" i="1"/>
  <c r="N192" i="1"/>
  <c r="J192" i="1"/>
  <c r="BO192" i="1"/>
  <c r="K195" i="1"/>
  <c r="K194" i="1" s="1"/>
  <c r="I194" i="1"/>
  <c r="BH196" i="1"/>
  <c r="BI196" i="1" s="1"/>
  <c r="AQ194" i="1"/>
  <c r="AR196" i="1"/>
  <c r="AR194" i="1" s="1"/>
  <c r="AZ197" i="1"/>
  <c r="BO198" i="1"/>
  <c r="BH199" i="1"/>
  <c r="AQ197" i="1"/>
  <c r="AR199" i="1"/>
  <c r="BT200" i="1"/>
  <c r="AX202" i="1"/>
  <c r="AW202" i="1"/>
  <c r="U201" i="1"/>
  <c r="AW206" i="1"/>
  <c r="AI207" i="1"/>
  <c r="AS207" i="1" s="1"/>
  <c r="BO207" i="1"/>
  <c r="BP210" i="1"/>
  <c r="BH213" i="1"/>
  <c r="AR213" i="1"/>
  <c r="BP217" i="1"/>
  <c r="AL219" i="1"/>
  <c r="BR219" i="1"/>
  <c r="AG219" i="1"/>
  <c r="AK220" i="1"/>
  <c r="AD201" i="1"/>
  <c r="AE220" i="1"/>
  <c r="BO221" i="1"/>
  <c r="BT225" i="1"/>
  <c r="BO225" i="1"/>
  <c r="AX228" i="1"/>
  <c r="AW228" i="1"/>
  <c r="AI229" i="1"/>
  <c r="AS229" i="1" s="1"/>
  <c r="AX232" i="1"/>
  <c r="AW232" i="1"/>
  <c r="BO233" i="1"/>
  <c r="AX236" i="1"/>
  <c r="AW236" i="1"/>
  <c r="BO237" i="1"/>
  <c r="AX240" i="1"/>
  <c r="AW240" i="1"/>
  <c r="BO241" i="1"/>
  <c r="BO245" i="1"/>
  <c r="AX248" i="1"/>
  <c r="BO249" i="1"/>
  <c r="AW252" i="1"/>
  <c r="BT253" i="1"/>
  <c r="BO253" i="1"/>
  <c r="AX256" i="1"/>
  <c r="AW256" i="1"/>
  <c r="AI257" i="1"/>
  <c r="AS257" i="1" s="1"/>
  <c r="BO257" i="1"/>
  <c r="BO261" i="1"/>
  <c r="BO265" i="1"/>
  <c r="AX268" i="1"/>
  <c r="AW268" i="1"/>
  <c r="BT269" i="1"/>
  <c r="BO269" i="1"/>
  <c r="BT270" i="1"/>
  <c r="BO270" i="1"/>
  <c r="BQ270" i="1" s="1"/>
  <c r="BH272" i="1"/>
  <c r="BI272" i="1" s="1"/>
  <c r="AR272" i="1"/>
  <c r="AX273" i="1"/>
  <c r="AW273" i="1"/>
  <c r="BH273" i="1"/>
  <c r="BH276" i="1"/>
  <c r="AR276" i="1"/>
  <c r="AX277" i="1"/>
  <c r="AW277" i="1"/>
  <c r="BH277" i="1"/>
  <c r="AX281" i="1"/>
  <c r="AW281" i="1"/>
  <c r="BO282" i="1"/>
  <c r="BQ282" i="1" s="1"/>
  <c r="BO286" i="1"/>
  <c r="AX289" i="1"/>
  <c r="AW289" i="1"/>
  <c r="AX293" i="1"/>
  <c r="AW293" i="1"/>
  <c r="BB298" i="1"/>
  <c r="BG298" i="1"/>
  <c r="BI300" i="1"/>
  <c r="AW302" i="1"/>
  <c r="AX308" i="1"/>
  <c r="AW308" i="1"/>
  <c r="AL314" i="1"/>
  <c r="BR314" i="1"/>
  <c r="AG314" i="1"/>
  <c r="BO321" i="1"/>
  <c r="BS338" i="1"/>
  <c r="BP338" i="1" s="1"/>
  <c r="AH338" i="1"/>
  <c r="AI338" i="1" s="1"/>
  <c r="BT342" i="1"/>
  <c r="BT344" i="1"/>
  <c r="BP355" i="1"/>
  <c r="BQ355" i="1" s="1"/>
  <c r="BT355" i="1"/>
  <c r="BT376" i="1"/>
  <c r="BO376" i="1"/>
  <c r="BQ376" i="1" s="1"/>
  <c r="AW398" i="1"/>
  <c r="AX398" i="1"/>
  <c r="BG187" i="1"/>
  <c r="BI187" i="1" s="1"/>
  <c r="BG189" i="1"/>
  <c r="BI189" i="1" s="1"/>
  <c r="BG195" i="1"/>
  <c r="BG198" i="1"/>
  <c r="BG203" i="1"/>
  <c r="BI203" i="1" s="1"/>
  <c r="BG207" i="1"/>
  <c r="BI207" i="1" s="1"/>
  <c r="BG212" i="1"/>
  <c r="BI212" i="1" s="1"/>
  <c r="BG221" i="1"/>
  <c r="BI221" i="1" s="1"/>
  <c r="BG225" i="1"/>
  <c r="BI225" i="1" s="1"/>
  <c r="BG229" i="1"/>
  <c r="BI229" i="1" s="1"/>
  <c r="BG233" i="1"/>
  <c r="BG237" i="1"/>
  <c r="BI237" i="1" s="1"/>
  <c r="BG241" i="1"/>
  <c r="BI241" i="1" s="1"/>
  <c r="BG245" i="1"/>
  <c r="BI245" i="1" s="1"/>
  <c r="BG249" i="1"/>
  <c r="BI249" i="1" s="1"/>
  <c r="BG253" i="1"/>
  <c r="BG257" i="1"/>
  <c r="BI257" i="1" s="1"/>
  <c r="BG261" i="1"/>
  <c r="BG265" i="1"/>
  <c r="BG269" i="1"/>
  <c r="BG271" i="1"/>
  <c r="BI271" i="1" s="1"/>
  <c r="BG275" i="1"/>
  <c r="BG278" i="1"/>
  <c r="BS278" i="1"/>
  <c r="BP278" i="1" s="1"/>
  <c r="BG282" i="1"/>
  <c r="BG286" i="1"/>
  <c r="BI286" i="1" s="1"/>
  <c r="BG290" i="1"/>
  <c r="AL292" i="1"/>
  <c r="BR292" i="1"/>
  <c r="BS295" i="1"/>
  <c r="BP295" i="1" s="1"/>
  <c r="AL295" i="1"/>
  <c r="AH295" i="1"/>
  <c r="AI295" i="1" s="1"/>
  <c r="AS295" i="1" s="1"/>
  <c r="AL296" i="1"/>
  <c r="BR296" i="1"/>
  <c r="AG296" i="1"/>
  <c r="BS299" i="1"/>
  <c r="BP299" i="1" s="1"/>
  <c r="AL299" i="1"/>
  <c r="AH299" i="1"/>
  <c r="AI299" i="1" s="1"/>
  <c r="AL300" i="1"/>
  <c r="BR300" i="1"/>
  <c r="AG300" i="1"/>
  <c r="BS306" i="1"/>
  <c r="BP306" i="1" s="1"/>
  <c r="AL306" i="1"/>
  <c r="AH306" i="1"/>
  <c r="AI306" i="1" s="1"/>
  <c r="AS306" i="1" s="1"/>
  <c r="AL307" i="1"/>
  <c r="BR307" i="1"/>
  <c r="AG307" i="1"/>
  <c r="BS310" i="1"/>
  <c r="BP310" i="1" s="1"/>
  <c r="AL310" i="1"/>
  <c r="AH310" i="1"/>
  <c r="AI310" i="1" s="1"/>
  <c r="AS310" i="1" s="1"/>
  <c r="BR311" i="1"/>
  <c r="AL311" i="1"/>
  <c r="AG311" i="1"/>
  <c r="BP314" i="1"/>
  <c r="BH318" i="1"/>
  <c r="AR318" i="1"/>
  <c r="AX319" i="1"/>
  <c r="AW319" i="1"/>
  <c r="BH322" i="1"/>
  <c r="AR322" i="1"/>
  <c r="AX323" i="1"/>
  <c r="AW323" i="1"/>
  <c r="BH326" i="1"/>
  <c r="BI326" i="1" s="1"/>
  <c r="AR326" i="1"/>
  <c r="AX327" i="1"/>
  <c r="BH330" i="1"/>
  <c r="AR330" i="1"/>
  <c r="AX335" i="1"/>
  <c r="AW335" i="1"/>
  <c r="AW339" i="1"/>
  <c r="AX341" i="1"/>
  <c r="AX343" i="1"/>
  <c r="AW343" i="1"/>
  <c r="AL349" i="1"/>
  <c r="BR349" i="1"/>
  <c r="AG349" i="1"/>
  <c r="AW351" i="1"/>
  <c r="AW356" i="1"/>
  <c r="AX356" i="1"/>
  <c r="AL357" i="1"/>
  <c r="BR357" i="1"/>
  <c r="AG357" i="1"/>
  <c r="AW364" i="1"/>
  <c r="AX364" i="1"/>
  <c r="AL365" i="1"/>
  <c r="BR365" i="1"/>
  <c r="AG365" i="1"/>
  <c r="AX367" i="1"/>
  <c r="AW367" i="1"/>
  <c r="BQ371" i="1"/>
  <c r="AW372" i="1"/>
  <c r="AX372" i="1"/>
  <c r="AL373" i="1"/>
  <c r="BR373" i="1"/>
  <c r="AG373" i="1"/>
  <c r="AX375" i="1"/>
  <c r="AW375" i="1"/>
  <c r="AL379" i="1"/>
  <c r="AG379" i="1"/>
  <c r="BR379" i="1"/>
  <c r="AR381" i="1"/>
  <c r="BG381" i="1"/>
  <c r="BI381" i="1" s="1"/>
  <c r="AW387" i="1"/>
  <c r="AX410" i="1"/>
  <c r="BB417" i="1"/>
  <c r="BH417" i="1"/>
  <c r="BI417" i="1" s="1"/>
  <c r="BT456" i="1"/>
  <c r="BP456" i="1"/>
  <c r="AG188" i="1"/>
  <c r="BR188" i="1"/>
  <c r="AG190" i="1"/>
  <c r="BR190" i="1"/>
  <c r="AH196" i="1"/>
  <c r="AD197" i="1"/>
  <c r="AP197" i="1"/>
  <c r="AH199" i="1"/>
  <c r="AH204" i="1"/>
  <c r="AG205" i="1"/>
  <c r="BR205" i="1"/>
  <c r="AH208" i="1"/>
  <c r="I209" i="1"/>
  <c r="K209" i="1" s="1"/>
  <c r="AH210" i="1"/>
  <c r="I211" i="1"/>
  <c r="K211" i="1" s="1"/>
  <c r="AH213" i="1"/>
  <c r="I214" i="1"/>
  <c r="K214" i="1" s="1"/>
  <c r="AH215" i="1"/>
  <c r="I216" i="1"/>
  <c r="K216" i="1" s="1"/>
  <c r="AH217" i="1"/>
  <c r="I218" i="1"/>
  <c r="K218" i="1" s="1"/>
  <c r="AH219" i="1"/>
  <c r="AH222" i="1"/>
  <c r="AG223" i="1"/>
  <c r="BR223" i="1"/>
  <c r="AH226" i="1"/>
  <c r="AG227" i="1"/>
  <c r="BR227" i="1"/>
  <c r="AH230" i="1"/>
  <c r="AG231" i="1"/>
  <c r="BR231" i="1"/>
  <c r="AH234" i="1"/>
  <c r="AG235" i="1"/>
  <c r="BR235" i="1"/>
  <c r="AH238" i="1"/>
  <c r="AG239" i="1"/>
  <c r="BR239" i="1"/>
  <c r="AH242" i="1"/>
  <c r="AG243" i="1"/>
  <c r="BR243" i="1"/>
  <c r="AH246" i="1"/>
  <c r="AG247" i="1"/>
  <c r="BR247" i="1"/>
  <c r="AH250" i="1"/>
  <c r="AG251" i="1"/>
  <c r="BR251" i="1"/>
  <c r="AH254" i="1"/>
  <c r="AG255" i="1"/>
  <c r="BR255" i="1"/>
  <c r="AH258" i="1"/>
  <c r="AG259" i="1"/>
  <c r="BR259" i="1"/>
  <c r="AH262" i="1"/>
  <c r="AG263" i="1"/>
  <c r="BR263" i="1"/>
  <c r="AH266" i="1"/>
  <c r="AG267" i="1"/>
  <c r="BR267" i="1"/>
  <c r="AG270" i="1"/>
  <c r="AH272" i="1"/>
  <c r="AG273" i="1"/>
  <c r="BR273" i="1"/>
  <c r="AH276" i="1"/>
  <c r="AG277" i="1"/>
  <c r="BR277" i="1"/>
  <c r="AQ278" i="1"/>
  <c r="BH278" i="1" s="1"/>
  <c r="AH279" i="1"/>
  <c r="AG280" i="1"/>
  <c r="BR280" i="1"/>
  <c r="AH283" i="1"/>
  <c r="AG284" i="1"/>
  <c r="BR284" i="1"/>
  <c r="AH287" i="1"/>
  <c r="AG288" i="1"/>
  <c r="BR288" i="1"/>
  <c r="BI291" i="1"/>
  <c r="BS292" i="1"/>
  <c r="BP292" i="1" s="1"/>
  <c r="AH292" i="1"/>
  <c r="AI292" i="1" s="1"/>
  <c r="BG293" i="1"/>
  <c r="AR293" i="1"/>
  <c r="BP296" i="1"/>
  <c r="BG297" i="1"/>
  <c r="BI297" i="1" s="1"/>
  <c r="AR297" i="1"/>
  <c r="BP300" i="1"/>
  <c r="BG301" i="1"/>
  <c r="AR301" i="1"/>
  <c r="BS303" i="1"/>
  <c r="AL303" i="1"/>
  <c r="AH303" i="1"/>
  <c r="AI303" i="1" s="1"/>
  <c r="BR304" i="1"/>
  <c r="AL304" i="1"/>
  <c r="AG304" i="1"/>
  <c r="BP307" i="1"/>
  <c r="BG308" i="1"/>
  <c r="BI308" i="1" s="1"/>
  <c r="AR308" i="1"/>
  <c r="AX312" i="1"/>
  <c r="AW312" i="1"/>
  <c r="AI313" i="1"/>
  <c r="AS313" i="1" s="1"/>
  <c r="BG315" i="1"/>
  <c r="AR315" i="1"/>
  <c r="BS317" i="1"/>
  <c r="BP317" i="1" s="1"/>
  <c r="AL317" i="1"/>
  <c r="AH317" i="1"/>
  <c r="AI317" i="1" s="1"/>
  <c r="AS317" i="1" s="1"/>
  <c r="AL318" i="1"/>
  <c r="BR318" i="1"/>
  <c r="AG318" i="1"/>
  <c r="BS321" i="1"/>
  <c r="BP321" i="1" s="1"/>
  <c r="AL321" i="1"/>
  <c r="AH321" i="1"/>
  <c r="AI321" i="1" s="1"/>
  <c r="AS321" i="1" s="1"/>
  <c r="AL322" i="1"/>
  <c r="BR322" i="1"/>
  <c r="AG322" i="1"/>
  <c r="BS325" i="1"/>
  <c r="AL325" i="1"/>
  <c r="AH325" i="1"/>
  <c r="AI325" i="1" s="1"/>
  <c r="AS325" i="1" s="1"/>
  <c r="AL326" i="1"/>
  <c r="BR326" i="1"/>
  <c r="AG326" i="1"/>
  <c r="BS329" i="1"/>
  <c r="BP329" i="1" s="1"/>
  <c r="AL329" i="1"/>
  <c r="AH329" i="1"/>
  <c r="AI329" i="1" s="1"/>
  <c r="AL330" i="1"/>
  <c r="BR330" i="1"/>
  <c r="AG330" i="1"/>
  <c r="BS333" i="1"/>
  <c r="BP333" i="1" s="1"/>
  <c r="AL333" i="1"/>
  <c r="AH333" i="1"/>
  <c r="AI334" i="1"/>
  <c r="BH334" i="1"/>
  <c r="BI334" i="1" s="1"/>
  <c r="BS336" i="1"/>
  <c r="BP336" i="1" s="1"/>
  <c r="AL336" i="1"/>
  <c r="AH336" i="1"/>
  <c r="AI336" i="1" s="1"/>
  <c r="AS336" i="1" s="1"/>
  <c r="BH338" i="1"/>
  <c r="BS340" i="1"/>
  <c r="BP340" i="1" s="1"/>
  <c r="AL340" i="1"/>
  <c r="AH340" i="1"/>
  <c r="BH342" i="1"/>
  <c r="BI342" i="1" s="1"/>
  <c r="BT348" i="1"/>
  <c r="BO348" i="1"/>
  <c r="BQ348" i="1" s="1"/>
  <c r="BT356" i="1"/>
  <c r="BP359" i="1"/>
  <c r="BT359" i="1"/>
  <c r="BT364" i="1"/>
  <c r="BO364" i="1"/>
  <c r="BQ364" i="1" s="1"/>
  <c r="BT367" i="1"/>
  <c r="BT372" i="1"/>
  <c r="BO372" i="1"/>
  <c r="BQ372" i="1" s="1"/>
  <c r="BP375" i="1"/>
  <c r="BQ375" i="1" s="1"/>
  <c r="BT375" i="1"/>
  <c r="AW384" i="1"/>
  <c r="AX384" i="1"/>
  <c r="BH386" i="1"/>
  <c r="AW390" i="1"/>
  <c r="AX390" i="1"/>
  <c r="AX406" i="1"/>
  <c r="BH419" i="1"/>
  <c r="AR419" i="1"/>
  <c r="AW422" i="1"/>
  <c r="BB441" i="1"/>
  <c r="BG441" i="1"/>
  <c r="AH182" i="1"/>
  <c r="AH188" i="1"/>
  <c r="AH190" i="1"/>
  <c r="AG191" i="1"/>
  <c r="AI191" i="1" s="1"/>
  <c r="AS191" i="1" s="1"/>
  <c r="AG192" i="1"/>
  <c r="AZ194" i="1"/>
  <c r="AG200" i="1"/>
  <c r="AG202" i="1"/>
  <c r="AH205" i="1"/>
  <c r="AG206" i="1"/>
  <c r="AI206" i="1" s="1"/>
  <c r="AS206" i="1" s="1"/>
  <c r="AG209" i="1"/>
  <c r="AG211" i="1"/>
  <c r="AI211" i="1" s="1"/>
  <c r="AS211" i="1" s="1"/>
  <c r="AG214" i="1"/>
  <c r="AI214" i="1" s="1"/>
  <c r="AG216" i="1"/>
  <c r="AI216" i="1" s="1"/>
  <c r="AS216" i="1" s="1"/>
  <c r="AG218" i="1"/>
  <c r="AI218" i="1" s="1"/>
  <c r="AS218" i="1" s="1"/>
  <c r="AG220" i="1"/>
  <c r="AH223" i="1"/>
  <c r="AG224" i="1"/>
  <c r="AI224" i="1" s="1"/>
  <c r="AS224" i="1" s="1"/>
  <c r="AH227" i="1"/>
  <c r="AG228" i="1"/>
  <c r="AI228" i="1" s="1"/>
  <c r="AS228" i="1" s="1"/>
  <c r="AH231" i="1"/>
  <c r="AG232" i="1"/>
  <c r="AI232" i="1" s="1"/>
  <c r="AH235" i="1"/>
  <c r="AG236" i="1"/>
  <c r="AI236" i="1" s="1"/>
  <c r="AS236" i="1" s="1"/>
  <c r="AH239" i="1"/>
  <c r="AG240" i="1"/>
  <c r="AI240" i="1" s="1"/>
  <c r="AS240" i="1" s="1"/>
  <c r="AH243" i="1"/>
  <c r="AG244" i="1"/>
  <c r="AI244" i="1" s="1"/>
  <c r="AS244" i="1" s="1"/>
  <c r="AH247" i="1"/>
  <c r="AG248" i="1"/>
  <c r="AI248" i="1" s="1"/>
  <c r="AS248" i="1" s="1"/>
  <c r="AH251" i="1"/>
  <c r="AG252" i="1"/>
  <c r="AI252" i="1" s="1"/>
  <c r="AS252" i="1" s="1"/>
  <c r="AH255" i="1"/>
  <c r="AG256" i="1"/>
  <c r="AH259" i="1"/>
  <c r="AG260" i="1"/>
  <c r="AI260" i="1" s="1"/>
  <c r="AS260" i="1" s="1"/>
  <c r="AH263" i="1"/>
  <c r="AG264" i="1"/>
  <c r="AI264" i="1" s="1"/>
  <c r="AS264" i="1" s="1"/>
  <c r="AH267" i="1"/>
  <c r="AG268" i="1"/>
  <c r="AI268" i="1" s="1"/>
  <c r="AS268" i="1" s="1"/>
  <c r="AL270" i="1"/>
  <c r="AH273" i="1"/>
  <c r="AG274" i="1"/>
  <c r="AI274" i="1" s="1"/>
  <c r="AS274" i="1" s="1"/>
  <c r="AH277" i="1"/>
  <c r="AH280" i="1"/>
  <c r="AG281" i="1"/>
  <c r="AI281" i="1" s="1"/>
  <c r="AH284" i="1"/>
  <c r="AG285" i="1"/>
  <c r="AI285" i="1" s="1"/>
  <c r="AH288" i="1"/>
  <c r="AG289" i="1"/>
  <c r="AX294" i="1"/>
  <c r="AW294" i="1"/>
  <c r="BO295" i="1"/>
  <c r="BT299" i="1"/>
  <c r="BH304" i="1"/>
  <c r="BI304" i="1" s="1"/>
  <c r="AX305" i="1"/>
  <c r="AW305" i="1"/>
  <c r="BO306" i="1"/>
  <c r="AW309" i="1"/>
  <c r="BO310" i="1"/>
  <c r="BH314" i="1"/>
  <c r="AR314" i="1"/>
  <c r="BP318" i="1"/>
  <c r="BG319" i="1"/>
  <c r="AR319" i="1"/>
  <c r="BP322" i="1"/>
  <c r="BG323" i="1"/>
  <c r="BI323" i="1" s="1"/>
  <c r="AR323" i="1"/>
  <c r="BP326" i="1"/>
  <c r="BG327" i="1"/>
  <c r="BI327" i="1" s="1"/>
  <c r="AR327" i="1"/>
  <c r="BP330" i="1"/>
  <c r="BG331" i="1"/>
  <c r="BI331" i="1" s="1"/>
  <c r="AR331" i="1"/>
  <c r="BI336" i="1"/>
  <c r="BO340" i="1"/>
  <c r="AW344" i="1"/>
  <c r="AL345" i="1"/>
  <c r="BR345" i="1"/>
  <c r="AG345" i="1"/>
  <c r="AX347" i="1"/>
  <c r="AW347" i="1"/>
  <c r="AW352" i="1"/>
  <c r="AX352" i="1"/>
  <c r="AL353" i="1"/>
  <c r="BR353" i="1"/>
  <c r="AG353" i="1"/>
  <c r="AX355" i="1"/>
  <c r="AW355" i="1"/>
  <c r="BQ359" i="1"/>
  <c r="AL361" i="1"/>
  <c r="BR361" i="1"/>
  <c r="AG361" i="1"/>
  <c r="AW363" i="1"/>
  <c r="AL369" i="1"/>
  <c r="BR369" i="1"/>
  <c r="AG369" i="1"/>
  <c r="AX371" i="1"/>
  <c r="AW371" i="1"/>
  <c r="AL377" i="1"/>
  <c r="BR377" i="1"/>
  <c r="AG377" i="1"/>
  <c r="BR380" i="1"/>
  <c r="AG380" i="1"/>
  <c r="AI380" i="1" s="1"/>
  <c r="AL380" i="1"/>
  <c r="AX431" i="1"/>
  <c r="AW431" i="1"/>
  <c r="BB431" i="1"/>
  <c r="BG431" i="1"/>
  <c r="BG295" i="1"/>
  <c r="BI295" i="1" s="1"/>
  <c r="BG299" i="1"/>
  <c r="BI299" i="1" s="1"/>
  <c r="BG303" i="1"/>
  <c r="BG306" i="1"/>
  <c r="BI306" i="1" s="1"/>
  <c r="BG310" i="1"/>
  <c r="BI310" i="1" s="1"/>
  <c r="BG313" i="1"/>
  <c r="BI313" i="1" s="1"/>
  <c r="BG317" i="1"/>
  <c r="BI317" i="1" s="1"/>
  <c r="BG321" i="1"/>
  <c r="BI321" i="1" s="1"/>
  <c r="BG325" i="1"/>
  <c r="BI325" i="1" s="1"/>
  <c r="BG329" i="1"/>
  <c r="BI329" i="1" s="1"/>
  <c r="BG333" i="1"/>
  <c r="BS345" i="1"/>
  <c r="BP345" i="1" s="1"/>
  <c r="AH345" i="1"/>
  <c r="BG346" i="1"/>
  <c r="AR346" i="1"/>
  <c r="BS349" i="1"/>
  <c r="BP349" i="1" s="1"/>
  <c r="AH349" i="1"/>
  <c r="BG350" i="1"/>
  <c r="BI350" i="1" s="1"/>
  <c r="AR350" i="1"/>
  <c r="BS353" i="1"/>
  <c r="BP353" i="1" s="1"/>
  <c r="AH353" i="1"/>
  <c r="BG354" i="1"/>
  <c r="BI354" i="1" s="1"/>
  <c r="AR354" i="1"/>
  <c r="BS357" i="1"/>
  <c r="BP357" i="1" s="1"/>
  <c r="AH357" i="1"/>
  <c r="BG358" i="1"/>
  <c r="AR358" i="1"/>
  <c r="BS361" i="1"/>
  <c r="BP361" i="1" s="1"/>
  <c r="AH361" i="1"/>
  <c r="BG362" i="1"/>
  <c r="BI362" i="1" s="1"/>
  <c r="AR362" i="1"/>
  <c r="BS365" i="1"/>
  <c r="BP365" i="1" s="1"/>
  <c r="AH365" i="1"/>
  <c r="BG366" i="1"/>
  <c r="BI366" i="1" s="1"/>
  <c r="AR366" i="1"/>
  <c r="BS369" i="1"/>
  <c r="BP369" i="1" s="1"/>
  <c r="AH369" i="1"/>
  <c r="BG370" i="1"/>
  <c r="BI370" i="1" s="1"/>
  <c r="AR370" i="1"/>
  <c r="BS373" i="1"/>
  <c r="BP373" i="1" s="1"/>
  <c r="AH373" i="1"/>
  <c r="BG374" i="1"/>
  <c r="BI374" i="1" s="1"/>
  <c r="AR374" i="1"/>
  <c r="BS377" i="1"/>
  <c r="BP377" i="1" s="1"/>
  <c r="AH377" i="1"/>
  <c r="BT385" i="1"/>
  <c r="BO385" i="1"/>
  <c r="BQ385" i="1" s="1"/>
  <c r="AR387" i="1"/>
  <c r="BG387" i="1"/>
  <c r="BI387" i="1" s="1"/>
  <c r="AX389" i="1"/>
  <c r="AW389" i="1"/>
  <c r="BS390" i="1"/>
  <c r="BP390" i="1" s="1"/>
  <c r="AH390" i="1"/>
  <c r="BR391" i="1"/>
  <c r="AG391" i="1"/>
  <c r="AI391" i="1" s="1"/>
  <c r="AL391" i="1"/>
  <c r="AX393" i="1"/>
  <c r="AW393" i="1"/>
  <c r="BS394" i="1"/>
  <c r="BP394" i="1" s="1"/>
  <c r="AH394" i="1"/>
  <c r="AI394" i="1" s="1"/>
  <c r="AS394" i="1" s="1"/>
  <c r="BR395" i="1"/>
  <c r="AG395" i="1"/>
  <c r="AI395" i="1" s="1"/>
  <c r="AL395" i="1"/>
  <c r="AX397" i="1"/>
  <c r="AW397" i="1"/>
  <c r="BS398" i="1"/>
  <c r="BP398" i="1" s="1"/>
  <c r="AH398" i="1"/>
  <c r="AI398" i="1" s="1"/>
  <c r="AS398" i="1" s="1"/>
  <c r="BR399" i="1"/>
  <c r="AG399" i="1"/>
  <c r="AI399" i="1" s="1"/>
  <c r="AL399" i="1"/>
  <c r="AX401" i="1"/>
  <c r="AW401" i="1"/>
  <c r="BS402" i="1"/>
  <c r="BP402" i="1" s="1"/>
  <c r="AH402" i="1"/>
  <c r="AI402" i="1" s="1"/>
  <c r="AS402" i="1" s="1"/>
  <c r="BR403" i="1"/>
  <c r="AG403" i="1"/>
  <c r="AI403" i="1" s="1"/>
  <c r="AL403" i="1"/>
  <c r="AX405" i="1"/>
  <c r="AW405" i="1"/>
  <c r="BS406" i="1"/>
  <c r="BP406" i="1" s="1"/>
  <c r="AH406" i="1"/>
  <c r="AI406" i="1" s="1"/>
  <c r="AS406" i="1" s="1"/>
  <c r="BR407" i="1"/>
  <c r="AG407" i="1"/>
  <c r="AL407" i="1"/>
  <c r="AX409" i="1"/>
  <c r="BS410" i="1"/>
  <c r="BP410" i="1" s="1"/>
  <c r="AH410" i="1"/>
  <c r="BR411" i="1"/>
  <c r="AG411" i="1"/>
  <c r="AI411" i="1" s="1"/>
  <c r="AL411" i="1"/>
  <c r="AX413" i="1"/>
  <c r="AW413" i="1"/>
  <c r="BS414" i="1"/>
  <c r="BP414" i="1" s="1"/>
  <c r="AH414" i="1"/>
  <c r="AI414" i="1" s="1"/>
  <c r="AS414" i="1" s="1"/>
  <c r="BR415" i="1"/>
  <c r="AG415" i="1"/>
  <c r="AI415" i="1" s="1"/>
  <c r="AL415" i="1"/>
  <c r="AW417" i="1"/>
  <c r="AX417" i="1"/>
  <c r="BS418" i="1"/>
  <c r="BP418" i="1" s="1"/>
  <c r="AL418" i="1"/>
  <c r="AH418" i="1"/>
  <c r="AI418" i="1" s="1"/>
  <c r="AS418" i="1" s="1"/>
  <c r="BR419" i="1"/>
  <c r="AG419" i="1"/>
  <c r="AI419" i="1" s="1"/>
  <c r="AS419" i="1" s="1"/>
  <c r="AL419" i="1"/>
  <c r="AX421" i="1"/>
  <c r="AW421" i="1"/>
  <c r="BS422" i="1"/>
  <c r="BP422" i="1" s="1"/>
  <c r="BQ422" i="1" s="1"/>
  <c r="AH422" i="1"/>
  <c r="AI422" i="1" s="1"/>
  <c r="AS422" i="1" s="1"/>
  <c r="BS424" i="1"/>
  <c r="BP424" i="1" s="1"/>
  <c r="AL424" i="1"/>
  <c r="AH424" i="1"/>
  <c r="AI424" i="1" s="1"/>
  <c r="BO424" i="1"/>
  <c r="BB427" i="1"/>
  <c r="BH427" i="1"/>
  <c r="BI427" i="1" s="1"/>
  <c r="BS430" i="1"/>
  <c r="BP430" i="1" s="1"/>
  <c r="AH430" i="1"/>
  <c r="BS468" i="1"/>
  <c r="BP468" i="1" s="1"/>
  <c r="AH468" i="1"/>
  <c r="AI468" i="1" s="1"/>
  <c r="AS468" i="1" s="1"/>
  <c r="AG293" i="1"/>
  <c r="BR293" i="1"/>
  <c r="AH296" i="1"/>
  <c r="AG297" i="1"/>
  <c r="BR297" i="1"/>
  <c r="AH300" i="1"/>
  <c r="AG301" i="1"/>
  <c r="BR301" i="1"/>
  <c r="AH304" i="1"/>
  <c r="AH307" i="1"/>
  <c r="AG308" i="1"/>
  <c r="BR308" i="1"/>
  <c r="AH311" i="1"/>
  <c r="BE311" i="1"/>
  <c r="BE201" i="1" s="1"/>
  <c r="AH314" i="1"/>
  <c r="AG315" i="1"/>
  <c r="BR315" i="1"/>
  <c r="AH318" i="1"/>
  <c r="AG319" i="1"/>
  <c r="BR319" i="1"/>
  <c r="AH322" i="1"/>
  <c r="AG323" i="1"/>
  <c r="BR323" i="1"/>
  <c r="AH326" i="1"/>
  <c r="AG327" i="1"/>
  <c r="BR327" i="1"/>
  <c r="AH330" i="1"/>
  <c r="AG331" i="1"/>
  <c r="BR331" i="1"/>
  <c r="BR335" i="1"/>
  <c r="AG335" i="1"/>
  <c r="BG335" i="1"/>
  <c r="BI335" i="1" s="1"/>
  <c r="BR339" i="1"/>
  <c r="AG339" i="1"/>
  <c r="AI339" i="1" s="1"/>
  <c r="BG339" i="1"/>
  <c r="BI339" i="1" s="1"/>
  <c r="BR343" i="1"/>
  <c r="AG343" i="1"/>
  <c r="AI343" i="1" s="1"/>
  <c r="BR378" i="1"/>
  <c r="AL378" i="1"/>
  <c r="AG378" i="1"/>
  <c r="AI378" i="1" s="1"/>
  <c r="AR378" i="1"/>
  <c r="BI378" i="1"/>
  <c r="BR382" i="1"/>
  <c r="AL382" i="1"/>
  <c r="AG382" i="1"/>
  <c r="AI382" i="1" s="1"/>
  <c r="AR382" i="1"/>
  <c r="AW383" i="1"/>
  <c r="BB384" i="1"/>
  <c r="AI385" i="1"/>
  <c r="AX385" i="1"/>
  <c r="AW385" i="1"/>
  <c r="BG385" i="1"/>
  <c r="BI385" i="1" s="1"/>
  <c r="BS386" i="1"/>
  <c r="BP386" i="1" s="1"/>
  <c r="AH386" i="1"/>
  <c r="AI386" i="1" s="1"/>
  <c r="BG388" i="1"/>
  <c r="BI388" i="1" s="1"/>
  <c r="AR388" i="1"/>
  <c r="BG391" i="1"/>
  <c r="BI391" i="1" s="1"/>
  <c r="BG392" i="1"/>
  <c r="BI392" i="1" s="1"/>
  <c r="AR392" i="1"/>
  <c r="BO394" i="1"/>
  <c r="BG395" i="1"/>
  <c r="BI395" i="1" s="1"/>
  <c r="BJ395" i="1" s="1"/>
  <c r="BG396" i="1"/>
  <c r="BI396" i="1" s="1"/>
  <c r="AR396" i="1"/>
  <c r="BO398" i="1"/>
  <c r="BT398" i="1"/>
  <c r="BG399" i="1"/>
  <c r="BI399" i="1" s="1"/>
  <c r="BG400" i="1"/>
  <c r="BI400" i="1" s="1"/>
  <c r="AR400" i="1"/>
  <c r="BO402" i="1"/>
  <c r="BG403" i="1"/>
  <c r="BG404" i="1"/>
  <c r="BI404" i="1" s="1"/>
  <c r="AR404" i="1"/>
  <c r="BO406" i="1"/>
  <c r="BG407" i="1"/>
  <c r="BI407" i="1" s="1"/>
  <c r="BG408" i="1"/>
  <c r="BI408" i="1" s="1"/>
  <c r="AR408" i="1"/>
  <c r="BO410" i="1"/>
  <c r="BG411" i="1"/>
  <c r="BI411" i="1" s="1"/>
  <c r="BJ411" i="1" s="1"/>
  <c r="BG412" i="1"/>
  <c r="BI412" i="1" s="1"/>
  <c r="AR412" i="1"/>
  <c r="BO414" i="1"/>
  <c r="BT414" i="1"/>
  <c r="BG415" i="1"/>
  <c r="BI415" i="1" s="1"/>
  <c r="BG416" i="1"/>
  <c r="BI416" i="1" s="1"/>
  <c r="AR416" i="1"/>
  <c r="BO418" i="1"/>
  <c r="BG419" i="1"/>
  <c r="BG420" i="1"/>
  <c r="BI420" i="1" s="1"/>
  <c r="AR420" i="1"/>
  <c r="BG425" i="1"/>
  <c r="BI425" i="1" s="1"/>
  <c r="AR425" i="1"/>
  <c r="BG429" i="1"/>
  <c r="BI429" i="1" s="1"/>
  <c r="AR429" i="1"/>
  <c r="BB449" i="1"/>
  <c r="BG449" i="1"/>
  <c r="BP464" i="1"/>
  <c r="BT464" i="1"/>
  <c r="AH293" i="1"/>
  <c r="AG294" i="1"/>
  <c r="AI294" i="1" s="1"/>
  <c r="AS294" i="1" s="1"/>
  <c r="AH297" i="1"/>
  <c r="AG298" i="1"/>
  <c r="AI298" i="1" s="1"/>
  <c r="AS298" i="1" s="1"/>
  <c r="AH301" i="1"/>
  <c r="AH308" i="1"/>
  <c r="AG309" i="1"/>
  <c r="AI309" i="1" s="1"/>
  <c r="AH319" i="1"/>
  <c r="AG320" i="1"/>
  <c r="AH323" i="1"/>
  <c r="AG324" i="1"/>
  <c r="AI324" i="1" s="1"/>
  <c r="AS324" i="1" s="1"/>
  <c r="AH327" i="1"/>
  <c r="AG328" i="1"/>
  <c r="AI328" i="1" s="1"/>
  <c r="AS328" i="1" s="1"/>
  <c r="AH331" i="1"/>
  <c r="AG332" i="1"/>
  <c r="AL334" i="1"/>
  <c r="AR334" i="1"/>
  <c r="AR337" i="1"/>
  <c r="BO337" i="1"/>
  <c r="BQ337" i="1" s="1"/>
  <c r="AL338" i="1"/>
  <c r="AR338" i="1"/>
  <c r="AR341" i="1"/>
  <c r="BO341" i="1"/>
  <c r="BQ341" i="1" s="1"/>
  <c r="AL342" i="1"/>
  <c r="AR342" i="1"/>
  <c r="AL346" i="1"/>
  <c r="BR346" i="1"/>
  <c r="AG346" i="1"/>
  <c r="AL350" i="1"/>
  <c r="BR350" i="1"/>
  <c r="AG350" i="1"/>
  <c r="AI352" i="1"/>
  <c r="AS352" i="1" s="1"/>
  <c r="AL354" i="1"/>
  <c r="BR354" i="1"/>
  <c r="AG354" i="1"/>
  <c r="AI356" i="1"/>
  <c r="AS356" i="1" s="1"/>
  <c r="AL358" i="1"/>
  <c r="BR358" i="1"/>
  <c r="AG358" i="1"/>
  <c r="AI360" i="1"/>
  <c r="AS360" i="1" s="1"/>
  <c r="AL362" i="1"/>
  <c r="BR362" i="1"/>
  <c r="AG362" i="1"/>
  <c r="AL366" i="1"/>
  <c r="BR366" i="1"/>
  <c r="AG366" i="1"/>
  <c r="AI368" i="1"/>
  <c r="AL370" i="1"/>
  <c r="BR370" i="1"/>
  <c r="AG370" i="1"/>
  <c r="AI372" i="1"/>
  <c r="AS372" i="1" s="1"/>
  <c r="AL374" i="1"/>
  <c r="BR374" i="1"/>
  <c r="AG374" i="1"/>
  <c r="AR383" i="1"/>
  <c r="BG383" i="1"/>
  <c r="BT384" i="1"/>
  <c r="BO384" i="1"/>
  <c r="BQ384" i="1" s="1"/>
  <c r="BG386" i="1"/>
  <c r="AR386" i="1"/>
  <c r="AI390" i="1"/>
  <c r="AS390" i="1" s="1"/>
  <c r="BB390" i="1"/>
  <c r="BH390" i="1"/>
  <c r="BI390" i="1" s="1"/>
  <c r="AR391" i="1"/>
  <c r="BB394" i="1"/>
  <c r="BH394" i="1"/>
  <c r="AR395" i="1"/>
  <c r="BB398" i="1"/>
  <c r="BH398" i="1"/>
  <c r="BI398" i="1" s="1"/>
  <c r="AR399" i="1"/>
  <c r="BB402" i="1"/>
  <c r="BH402" i="1"/>
  <c r="BI402" i="1" s="1"/>
  <c r="AR403" i="1"/>
  <c r="BB406" i="1"/>
  <c r="BH406" i="1"/>
  <c r="BI406" i="1" s="1"/>
  <c r="AR407" i="1"/>
  <c r="BB410" i="1"/>
  <c r="BH410" i="1"/>
  <c r="AR411" i="1"/>
  <c r="BB414" i="1"/>
  <c r="BH414" i="1"/>
  <c r="AR415" i="1"/>
  <c r="BH433" i="1"/>
  <c r="AR433" i="1"/>
  <c r="BR423" i="1"/>
  <c r="AG423" i="1"/>
  <c r="AI423" i="1" s="1"/>
  <c r="BH423" i="1"/>
  <c r="AR423" i="1"/>
  <c r="BG423" i="1"/>
  <c r="BS427" i="1"/>
  <c r="BP427" i="1" s="1"/>
  <c r="AH427" i="1"/>
  <c r="AI427" i="1" s="1"/>
  <c r="AS427" i="1" s="1"/>
  <c r="BR428" i="1"/>
  <c r="AG428" i="1"/>
  <c r="AI428" i="1" s="1"/>
  <c r="BG428" i="1"/>
  <c r="BQ432" i="1"/>
  <c r="BR433" i="1"/>
  <c r="AL433" i="1"/>
  <c r="AG433" i="1"/>
  <c r="AI433" i="1" s="1"/>
  <c r="BT442" i="1"/>
  <c r="BO442" i="1"/>
  <c r="AL443" i="1"/>
  <c r="BR443" i="1"/>
  <c r="AG443" i="1"/>
  <c r="AI443" i="1" s="1"/>
  <c r="BJ443" i="1" s="1"/>
  <c r="AX445" i="1"/>
  <c r="AW445" i="1"/>
  <c r="BO465" i="1"/>
  <c r="AW485" i="1"/>
  <c r="AX485" i="1"/>
  <c r="BS379" i="1"/>
  <c r="BP379" i="1" s="1"/>
  <c r="AH379" i="1"/>
  <c r="BR383" i="1"/>
  <c r="AG383" i="1"/>
  <c r="AI383" i="1" s="1"/>
  <c r="AS383" i="1" s="1"/>
  <c r="BR387" i="1"/>
  <c r="AG387" i="1"/>
  <c r="AI387" i="1" s="1"/>
  <c r="BI410" i="1"/>
  <c r="BI414" i="1"/>
  <c r="BS417" i="1"/>
  <c r="AH417" i="1"/>
  <c r="BI418" i="1"/>
  <c r="AL420" i="1"/>
  <c r="AR421" i="1"/>
  <c r="BT422" i="1"/>
  <c r="BB424" i="1"/>
  <c r="AL425" i="1"/>
  <c r="BS426" i="1"/>
  <c r="AL426" i="1"/>
  <c r="AH426" i="1"/>
  <c r="AI426" i="1" s="1"/>
  <c r="AS426" i="1" s="1"/>
  <c r="BO429" i="1"/>
  <c r="BH430" i="1"/>
  <c r="AR430" i="1"/>
  <c r="BO430" i="1"/>
  <c r="BR431" i="1"/>
  <c r="AG431" i="1"/>
  <c r="AI431" i="1" s="1"/>
  <c r="AR432" i="1"/>
  <c r="BG432" i="1"/>
  <c r="BI432" i="1" s="1"/>
  <c r="AL435" i="1"/>
  <c r="BR435" i="1"/>
  <c r="AG435" i="1"/>
  <c r="AI435" i="1" s="1"/>
  <c r="AX437" i="1"/>
  <c r="AW437" i="1"/>
  <c r="BG444" i="1"/>
  <c r="BI444" i="1" s="1"/>
  <c r="AR444" i="1"/>
  <c r="BS483" i="1"/>
  <c r="BP483" i="1" s="1"/>
  <c r="AH483" i="1"/>
  <c r="AI483" i="1" s="1"/>
  <c r="AS483" i="1" s="1"/>
  <c r="AH346" i="1"/>
  <c r="AG347" i="1"/>
  <c r="AI347" i="1" s="1"/>
  <c r="AH350" i="1"/>
  <c r="AG351" i="1"/>
  <c r="AI351" i="1" s="1"/>
  <c r="AS351" i="1" s="1"/>
  <c r="AH354" i="1"/>
  <c r="AG355" i="1"/>
  <c r="AI355" i="1" s="1"/>
  <c r="AS355" i="1" s="1"/>
  <c r="AH358" i="1"/>
  <c r="AG359" i="1"/>
  <c r="AI359" i="1" s="1"/>
  <c r="AS359" i="1" s="1"/>
  <c r="AH362" i="1"/>
  <c r="AG363" i="1"/>
  <c r="AH366" i="1"/>
  <c r="AG367" i="1"/>
  <c r="AI367" i="1" s="1"/>
  <c r="AS367" i="1" s="1"/>
  <c r="AH370" i="1"/>
  <c r="AG371" i="1"/>
  <c r="AI371" i="1" s="1"/>
  <c r="AH374" i="1"/>
  <c r="AG375" i="1"/>
  <c r="AI375" i="1" s="1"/>
  <c r="AR380" i="1"/>
  <c r="AH381" i="1"/>
  <c r="AL381" i="1"/>
  <c r="K382" i="1"/>
  <c r="AR385" i="1"/>
  <c r="AL386" i="1"/>
  <c r="BS388" i="1"/>
  <c r="AL388" i="1"/>
  <c r="AH388" i="1"/>
  <c r="AI388" i="1" s="1"/>
  <c r="K389" i="1"/>
  <c r="BR389" i="1"/>
  <c r="AG389" i="1"/>
  <c r="AI389" i="1" s="1"/>
  <c r="BH389" i="1"/>
  <c r="AR389" i="1"/>
  <c r="BS392" i="1"/>
  <c r="AL392" i="1"/>
  <c r="AH392" i="1"/>
  <c r="K393" i="1"/>
  <c r="BR393" i="1"/>
  <c r="AG393" i="1"/>
  <c r="AI393" i="1" s="1"/>
  <c r="BH393" i="1"/>
  <c r="BI393" i="1" s="1"/>
  <c r="AR393" i="1"/>
  <c r="BP393" i="1"/>
  <c r="BS396" i="1"/>
  <c r="AL396" i="1"/>
  <c r="AH396" i="1"/>
  <c r="AI396" i="1" s="1"/>
  <c r="K397" i="1"/>
  <c r="BR397" i="1"/>
  <c r="AG397" i="1"/>
  <c r="AI397" i="1" s="1"/>
  <c r="BH397" i="1"/>
  <c r="BI397" i="1" s="1"/>
  <c r="AR397" i="1"/>
  <c r="BP397" i="1"/>
  <c r="BS400" i="1"/>
  <c r="AL400" i="1"/>
  <c r="AH400" i="1"/>
  <c r="AI400" i="1" s="1"/>
  <c r="K401" i="1"/>
  <c r="BR401" i="1"/>
  <c r="AG401" i="1"/>
  <c r="AI401" i="1" s="1"/>
  <c r="BH401" i="1"/>
  <c r="AR401" i="1"/>
  <c r="BS404" i="1"/>
  <c r="AL404" i="1"/>
  <c r="AH404" i="1"/>
  <c r="AI404" i="1" s="1"/>
  <c r="K405" i="1"/>
  <c r="BR405" i="1"/>
  <c r="AG405" i="1"/>
  <c r="BH405" i="1"/>
  <c r="BI405" i="1" s="1"/>
  <c r="AR405" i="1"/>
  <c r="BS408" i="1"/>
  <c r="AL408" i="1"/>
  <c r="AH408" i="1"/>
  <c r="AI408" i="1" s="1"/>
  <c r="K409" i="1"/>
  <c r="BR409" i="1"/>
  <c r="AG409" i="1"/>
  <c r="AI409" i="1" s="1"/>
  <c r="BH409" i="1"/>
  <c r="BI409" i="1" s="1"/>
  <c r="AR409" i="1"/>
  <c r="BP409" i="1"/>
  <c r="BS412" i="1"/>
  <c r="AL412" i="1"/>
  <c r="AH412" i="1"/>
  <c r="AI412" i="1" s="1"/>
  <c r="AS412" i="1" s="1"/>
  <c r="K413" i="1"/>
  <c r="BR413" i="1"/>
  <c r="AG413" i="1"/>
  <c r="AI413" i="1" s="1"/>
  <c r="AS413" i="1" s="1"/>
  <c r="BH413" i="1"/>
  <c r="BI413" i="1" s="1"/>
  <c r="AR413" i="1"/>
  <c r="BP413" i="1"/>
  <c r="BS416" i="1"/>
  <c r="AL416" i="1"/>
  <c r="AH416" i="1"/>
  <c r="AI416" i="1" s="1"/>
  <c r="AS416" i="1" s="1"/>
  <c r="K417" i="1"/>
  <c r="BB418" i="1"/>
  <c r="BS420" i="1"/>
  <c r="AH420" i="1"/>
  <c r="AI420" i="1" s="1"/>
  <c r="BR421" i="1"/>
  <c r="AG421" i="1"/>
  <c r="BP421" i="1"/>
  <c r="BB422" i="1"/>
  <c r="AL423" i="1"/>
  <c r="AR424" i="1"/>
  <c r="BS425" i="1"/>
  <c r="AH425" i="1"/>
  <c r="AI425" i="1" s="1"/>
  <c r="BI426" i="1"/>
  <c r="BJ426" i="1" s="1"/>
  <c r="AL428" i="1"/>
  <c r="AL429" i="1"/>
  <c r="AH429" i="1"/>
  <c r="AI429" i="1" s="1"/>
  <c r="BS429" i="1"/>
  <c r="BT432" i="1"/>
  <c r="BH434" i="1"/>
  <c r="BI434" i="1" s="1"/>
  <c r="AR434" i="1"/>
  <c r="BG436" i="1"/>
  <c r="AR436" i="1"/>
  <c r="BO441" i="1"/>
  <c r="BQ441" i="1" s="1"/>
  <c r="AW442" i="1"/>
  <c r="AX442" i="1"/>
  <c r="BG448" i="1"/>
  <c r="AR448" i="1"/>
  <c r="BQ456" i="1"/>
  <c r="BS458" i="1"/>
  <c r="BP458" i="1" s="1"/>
  <c r="AH458" i="1"/>
  <c r="AW465" i="1"/>
  <c r="AX465" i="1"/>
  <c r="BO470" i="1"/>
  <c r="AX496" i="1"/>
  <c r="AW496" i="1"/>
  <c r="BO497" i="1"/>
  <c r="AL430" i="1"/>
  <c r="AL434" i="1"/>
  <c r="K437" i="1"/>
  <c r="BG437" i="1"/>
  <c r="BI437" i="1" s="1"/>
  <c r="BJ437" i="1" s="1"/>
  <c r="BB440" i="1"/>
  <c r="BS442" i="1"/>
  <c r="BP442" i="1" s="1"/>
  <c r="AH442" i="1"/>
  <c r="AI442" i="1" s="1"/>
  <c r="K445" i="1"/>
  <c r="BG445" i="1"/>
  <c r="BI445" i="1" s="1"/>
  <c r="BJ445" i="1" s="1"/>
  <c r="AL447" i="1"/>
  <c r="BR447" i="1"/>
  <c r="AG447" i="1"/>
  <c r="AI447" i="1" s="1"/>
  <c r="BS450" i="1"/>
  <c r="AH450" i="1"/>
  <c r="AI450" i="1" s="1"/>
  <c r="BO453" i="1"/>
  <c r="AL454" i="1"/>
  <c r="BO454" i="1"/>
  <c r="AL455" i="1"/>
  <c r="BR455" i="1"/>
  <c r="AG455" i="1"/>
  <c r="AI455" i="1" s="1"/>
  <c r="BG456" i="1"/>
  <c r="BI456" i="1" s="1"/>
  <c r="BJ456" i="1" s="1"/>
  <c r="AR456" i="1"/>
  <c r="AS456" i="1" s="1"/>
  <c r="AX457" i="1"/>
  <c r="BI458" i="1"/>
  <c r="BT460" i="1"/>
  <c r="BT461" i="1"/>
  <c r="BO461" i="1"/>
  <c r="BQ461" i="1" s="1"/>
  <c r="AL462" i="1"/>
  <c r="BO462" i="1"/>
  <c r="AL463" i="1"/>
  <c r="BR463" i="1"/>
  <c r="AG463" i="1"/>
  <c r="AI463" i="1" s="1"/>
  <c r="AX464" i="1"/>
  <c r="BB464" i="1"/>
  <c r="BS465" i="1"/>
  <c r="BP465" i="1" s="1"/>
  <c r="AH465" i="1"/>
  <c r="AI465" i="1" s="1"/>
  <c r="BG466" i="1"/>
  <c r="BI466" i="1" s="1"/>
  <c r="BJ466" i="1" s="1"/>
  <c r="AR466" i="1"/>
  <c r="AS466" i="1" s="1"/>
  <c r="BP466" i="1"/>
  <c r="BQ466" i="1" s="1"/>
  <c r="AI467" i="1"/>
  <c r="AX467" i="1"/>
  <c r="AI469" i="1"/>
  <c r="AS469" i="1" s="1"/>
  <c r="AW469" i="1"/>
  <c r="AX469" i="1"/>
  <c r="BS470" i="1"/>
  <c r="AH470" i="1"/>
  <c r="AX476" i="1"/>
  <c r="AW476" i="1"/>
  <c r="AH492" i="1"/>
  <c r="AI492" i="1" s="1"/>
  <c r="AS492" i="1" s="1"/>
  <c r="BS492" i="1"/>
  <c r="BP492" i="1" s="1"/>
  <c r="BS529" i="1"/>
  <c r="BP529" i="1" s="1"/>
  <c r="AH529" i="1"/>
  <c r="BS434" i="1"/>
  <c r="BP434" i="1" s="1"/>
  <c r="BQ434" i="1" s="1"/>
  <c r="AH434" i="1"/>
  <c r="BG435" i="1"/>
  <c r="BI435" i="1" s="1"/>
  <c r="AR435" i="1"/>
  <c r="BO437" i="1"/>
  <c r="BQ437" i="1" s="1"/>
  <c r="BO438" i="1"/>
  <c r="AL439" i="1"/>
  <c r="BR439" i="1"/>
  <c r="AG439" i="1"/>
  <c r="AI439" i="1" s="1"/>
  <c r="BG440" i="1"/>
  <c r="BI440" i="1" s="1"/>
  <c r="AR440" i="1"/>
  <c r="AX441" i="1"/>
  <c r="AW441" i="1"/>
  <c r="BO445" i="1"/>
  <c r="BQ445" i="1" s="1"/>
  <c r="BO446" i="1"/>
  <c r="BS454" i="1"/>
  <c r="BP454" i="1" s="1"/>
  <c r="AH454" i="1"/>
  <c r="AI454" i="1" s="1"/>
  <c r="AS454" i="1" s="1"/>
  <c r="AI458" i="1"/>
  <c r="AS458" i="1" s="1"/>
  <c r="BQ460" i="1"/>
  <c r="BS462" i="1"/>
  <c r="BP462" i="1" s="1"/>
  <c r="AH462" i="1"/>
  <c r="AI462" i="1" s="1"/>
  <c r="AS462" i="1" s="1"/>
  <c r="BG464" i="1"/>
  <c r="BI464" i="1" s="1"/>
  <c r="AR464" i="1"/>
  <c r="BG475" i="1"/>
  <c r="BI475" i="1" s="1"/>
  <c r="AR475" i="1"/>
  <c r="BO477" i="1"/>
  <c r="BO485" i="1"/>
  <c r="AL486" i="1"/>
  <c r="BR486" i="1"/>
  <c r="AG486" i="1"/>
  <c r="AI486" i="1" s="1"/>
  <c r="AX491" i="1"/>
  <c r="AW491" i="1"/>
  <c r="BG519" i="1"/>
  <c r="AR519" i="1"/>
  <c r="AP516" i="1"/>
  <c r="BA516" i="1"/>
  <c r="BH519" i="1"/>
  <c r="AG430" i="1"/>
  <c r="AI430" i="1" s="1"/>
  <c r="AR431" i="1"/>
  <c r="AH432" i="1"/>
  <c r="AI432" i="1" s="1"/>
  <c r="AS432" i="1" s="1"/>
  <c r="AL432" i="1"/>
  <c r="K433" i="1"/>
  <c r="AG434" i="1"/>
  <c r="BB436" i="1"/>
  <c r="BQ436" i="1"/>
  <c r="BS438" i="1"/>
  <c r="BP438" i="1" s="1"/>
  <c r="AH438" i="1"/>
  <c r="AI438" i="1" s="1"/>
  <c r="K441" i="1"/>
  <c r="BB444" i="1"/>
  <c r="BS446" i="1"/>
  <c r="BP446" i="1" s="1"/>
  <c r="AH446" i="1"/>
  <c r="AI446" i="1" s="1"/>
  <c r="BB448" i="1"/>
  <c r="AX449" i="1"/>
  <c r="AW449" i="1"/>
  <c r="AL451" i="1"/>
  <c r="BR451" i="1"/>
  <c r="AG451" i="1"/>
  <c r="AI451" i="1" s="1"/>
  <c r="BJ451" i="1" s="1"/>
  <c r="BG452" i="1"/>
  <c r="BI452" i="1" s="1"/>
  <c r="BJ452" i="1" s="1"/>
  <c r="AR452" i="1"/>
  <c r="AS452" i="1" s="1"/>
  <c r="AI453" i="1"/>
  <c r="BI454" i="1"/>
  <c r="BT457" i="1"/>
  <c r="BO457" i="1"/>
  <c r="BQ457" i="1" s="1"/>
  <c r="AL458" i="1"/>
  <c r="BO458" i="1"/>
  <c r="AL459" i="1"/>
  <c r="BR459" i="1"/>
  <c r="AG459" i="1"/>
  <c r="AI459" i="1" s="1"/>
  <c r="BG460" i="1"/>
  <c r="BI460" i="1" s="1"/>
  <c r="BJ460" i="1" s="1"/>
  <c r="AR460" i="1"/>
  <c r="AS460" i="1" s="1"/>
  <c r="BI462" i="1"/>
  <c r="K465" i="1"/>
  <c r="BO467" i="1"/>
  <c r="BQ468" i="1"/>
  <c r="BT468" i="1"/>
  <c r="BT469" i="1"/>
  <c r="BG481" i="1"/>
  <c r="BI481" i="1" s="1"/>
  <c r="BJ481" i="1" s="1"/>
  <c r="AR481" i="1"/>
  <c r="AS481" i="1" s="1"/>
  <c r="AR439" i="1"/>
  <c r="AR443" i="1"/>
  <c r="AR447" i="1"/>
  <c r="BH449" i="1"/>
  <c r="AR451" i="1"/>
  <c r="AR455" i="1"/>
  <c r="AR459" i="1"/>
  <c r="AR463" i="1"/>
  <c r="AW464" i="1"/>
  <c r="AW466" i="1"/>
  <c r="AL468" i="1"/>
  <c r="BO469" i="1"/>
  <c r="BQ469" i="1" s="1"/>
  <c r="AG470" i="1"/>
  <c r="BO473" i="1"/>
  <c r="AL474" i="1"/>
  <c r="BO474" i="1"/>
  <c r="K476" i="1"/>
  <c r="BO476" i="1"/>
  <c r="BQ476" i="1" s="1"/>
  <c r="BT478" i="1"/>
  <c r="BT479" i="1"/>
  <c r="BO479" i="1"/>
  <c r="BQ479" i="1" s="1"/>
  <c r="K482" i="1"/>
  <c r="BG482" i="1"/>
  <c r="BI482" i="1" s="1"/>
  <c r="BJ482" i="1" s="1"/>
  <c r="BI483" i="1"/>
  <c r="BS485" i="1"/>
  <c r="BP485" i="1" s="1"/>
  <c r="AH485" i="1"/>
  <c r="AI485" i="1" s="1"/>
  <c r="AS485" i="1" s="1"/>
  <c r="K491" i="1"/>
  <c r="BG491" i="1"/>
  <c r="BI491" i="1" s="1"/>
  <c r="BI492" i="1"/>
  <c r="BH494" i="1"/>
  <c r="AR494" i="1"/>
  <c r="AX505" i="1"/>
  <c r="AW505" i="1"/>
  <c r="BO506" i="1"/>
  <c r="BO514" i="1"/>
  <c r="BQ514" i="1" s="1"/>
  <c r="AK516" i="1"/>
  <c r="BS517" i="1"/>
  <c r="AH517" i="1"/>
  <c r="AI517" i="1" s="1"/>
  <c r="BH470" i="1"/>
  <c r="AL471" i="1"/>
  <c r="BR471" i="1"/>
  <c r="AG471" i="1"/>
  <c r="AI471" i="1" s="1"/>
  <c r="BS474" i="1"/>
  <c r="BP474" i="1" s="1"/>
  <c r="AH474" i="1"/>
  <c r="AK477" i="1"/>
  <c r="AE477" i="1"/>
  <c r="BQ478" i="1"/>
  <c r="AL488" i="1"/>
  <c r="BO488" i="1"/>
  <c r="AL489" i="1"/>
  <c r="BR489" i="1"/>
  <c r="AG489" i="1"/>
  <c r="AI489" i="1" s="1"/>
  <c r="BQ491" i="1"/>
  <c r="BT503" i="1"/>
  <c r="BO503" i="1"/>
  <c r="BQ503" i="1" s="1"/>
  <c r="BG508" i="1"/>
  <c r="BI508" i="1" s="1"/>
  <c r="AR508" i="1"/>
  <c r="BB514" i="1"/>
  <c r="BG514" i="1"/>
  <c r="BQ519" i="1"/>
  <c r="AL436" i="1"/>
  <c r="AL440" i="1"/>
  <c r="AL444" i="1"/>
  <c r="AH448" i="1"/>
  <c r="AI448" i="1" s="1"/>
  <c r="AL448" i="1"/>
  <c r="AL452" i="1"/>
  <c r="AL456" i="1"/>
  <c r="AL460" i="1"/>
  <c r="BB469" i="1"/>
  <c r="AL470" i="1"/>
  <c r="AR470" i="1"/>
  <c r="BG472" i="1"/>
  <c r="AR472" i="1"/>
  <c r="AI473" i="1"/>
  <c r="AX473" i="1"/>
  <c r="AW473" i="1"/>
  <c r="BI474" i="1"/>
  <c r="BB475" i="1"/>
  <c r="J477" i="1"/>
  <c r="N477" i="1"/>
  <c r="BG478" i="1"/>
  <c r="AR478" i="1"/>
  <c r="AI479" i="1"/>
  <c r="AS479" i="1" s="1"/>
  <c r="AX479" i="1"/>
  <c r="AW479" i="1"/>
  <c r="AL480" i="1"/>
  <c r="BR480" i="1"/>
  <c r="AG480" i="1"/>
  <c r="AI480" i="1" s="1"/>
  <c r="AX481" i="1"/>
  <c r="BB481" i="1"/>
  <c r="BT482" i="1"/>
  <c r="AL483" i="1"/>
  <c r="AL484" i="1"/>
  <c r="BR484" i="1"/>
  <c r="AG484" i="1"/>
  <c r="K485" i="1"/>
  <c r="AI487" i="1"/>
  <c r="AS487" i="1" s="1"/>
  <c r="BS488" i="1"/>
  <c r="BP488" i="1" s="1"/>
  <c r="AH488" i="1"/>
  <c r="AI488" i="1" s="1"/>
  <c r="BG490" i="1"/>
  <c r="BI490" i="1" s="1"/>
  <c r="BJ490" i="1" s="1"/>
  <c r="AR490" i="1"/>
  <c r="AS490" i="1" s="1"/>
  <c r="BT491" i="1"/>
  <c r="BT492" i="1"/>
  <c r="BS493" i="1"/>
  <c r="BP493" i="1" s="1"/>
  <c r="AL493" i="1"/>
  <c r="AH493" i="1"/>
  <c r="AI493" i="1" s="1"/>
  <c r="AS493" i="1" s="1"/>
  <c r="AX500" i="1"/>
  <c r="AW500" i="1"/>
  <c r="BO501" i="1"/>
  <c r="BH518" i="1"/>
  <c r="AQ516" i="1"/>
  <c r="AR471" i="1"/>
  <c r="AW472" i="1"/>
  <c r="BH476" i="1"/>
  <c r="BI476" i="1" s="1"/>
  <c r="BJ476" i="1" s="1"/>
  <c r="AR480" i="1"/>
  <c r="AW481" i="1"/>
  <c r="AR484" i="1"/>
  <c r="AR486" i="1"/>
  <c r="AR489" i="1"/>
  <c r="AW490" i="1"/>
  <c r="AL492" i="1"/>
  <c r="BO492" i="1"/>
  <c r="AL494" i="1"/>
  <c r="BR494" i="1"/>
  <c r="AG494" i="1"/>
  <c r="AI494" i="1" s="1"/>
  <c r="AX495" i="1"/>
  <c r="AW495" i="1"/>
  <c r="BH495" i="1"/>
  <c r="BO496" i="1"/>
  <c r="BH498" i="1"/>
  <c r="AR498" i="1"/>
  <c r="AX499" i="1"/>
  <c r="BH499" i="1"/>
  <c r="BI504" i="1"/>
  <c r="BB504" i="1"/>
  <c r="K505" i="1"/>
  <c r="BO505" i="1"/>
  <c r="AL506" i="1"/>
  <c r="AX509" i="1"/>
  <c r="AW509" i="1"/>
  <c r="BG509" i="1"/>
  <c r="BR510" i="1"/>
  <c r="AG510" i="1"/>
  <c r="BS511" i="1"/>
  <c r="BP511" i="1" s="1"/>
  <c r="AH511" i="1"/>
  <c r="AI511" i="1" s="1"/>
  <c r="AX512" i="1"/>
  <c r="AW512" i="1"/>
  <c r="BG512" i="1"/>
  <c r="BI512" i="1" s="1"/>
  <c r="BO513" i="1"/>
  <c r="J514" i="1"/>
  <c r="K514" i="1" s="1"/>
  <c r="N514" i="1"/>
  <c r="BG515" i="1"/>
  <c r="BI515" i="1" s="1"/>
  <c r="AR515" i="1"/>
  <c r="AL518" i="1"/>
  <c r="AJ516" i="1"/>
  <c r="BR518" i="1"/>
  <c r="AG518" i="1"/>
  <c r="AI518" i="1" s="1"/>
  <c r="BP518" i="1"/>
  <c r="BT519" i="1"/>
  <c r="BO523" i="1"/>
  <c r="BB524" i="1"/>
  <c r="BG524" i="1"/>
  <c r="BT527" i="1"/>
  <c r="BP527" i="1"/>
  <c r="BQ527" i="1" s="1"/>
  <c r="BO539" i="1"/>
  <c r="BB493" i="1"/>
  <c r="BT493" i="1"/>
  <c r="BO493" i="1"/>
  <c r="BS497" i="1"/>
  <c r="AL497" i="1"/>
  <c r="AH497" i="1"/>
  <c r="AI497" i="1" s="1"/>
  <c r="AL498" i="1"/>
  <c r="BR498" i="1"/>
  <c r="AG498" i="1"/>
  <c r="BS501" i="1"/>
  <c r="BP501" i="1" s="1"/>
  <c r="AL501" i="1"/>
  <c r="AH501" i="1"/>
  <c r="AI501" i="1" s="1"/>
  <c r="AS501" i="1" s="1"/>
  <c r="BR502" i="1"/>
  <c r="AL502" i="1"/>
  <c r="AG502" i="1"/>
  <c r="AX503" i="1"/>
  <c r="AW503" i="1"/>
  <c r="BG503" i="1"/>
  <c r="BS506" i="1"/>
  <c r="BP506" i="1" s="1"/>
  <c r="AH506" i="1"/>
  <c r="AI506" i="1" s="1"/>
  <c r="AS506" i="1" s="1"/>
  <c r="AL507" i="1"/>
  <c r="BR507" i="1"/>
  <c r="AG507" i="1"/>
  <c r="AX508" i="1"/>
  <c r="AW508" i="1"/>
  <c r="BO509" i="1"/>
  <c r="BQ509" i="1" s="1"/>
  <c r="BI511" i="1"/>
  <c r="BO512" i="1"/>
  <c r="BQ512" i="1" s="1"/>
  <c r="U516" i="1"/>
  <c r="BT517" i="1"/>
  <c r="BO517" i="1"/>
  <c r="AX520" i="1"/>
  <c r="AW520" i="1"/>
  <c r="AW521" i="1"/>
  <c r="AX521" i="1"/>
  <c r="AW537" i="1"/>
  <c r="AX537" i="1"/>
  <c r="BO537" i="1"/>
  <c r="AH475" i="1"/>
  <c r="AI475" i="1" s="1"/>
  <c r="AL475" i="1"/>
  <c r="AH478" i="1"/>
  <c r="AL478" i="1"/>
  <c r="BG495" i="1"/>
  <c r="AR495" i="1"/>
  <c r="BG499" i="1"/>
  <c r="AR499" i="1"/>
  <c r="BR504" i="1"/>
  <c r="AL504" i="1"/>
  <c r="AG504" i="1"/>
  <c r="BI506" i="1"/>
  <c r="BB508" i="1"/>
  <c r="K509" i="1"/>
  <c r="K511" i="1"/>
  <c r="BO511" i="1"/>
  <c r="BS513" i="1"/>
  <c r="BP513" i="1" s="1"/>
  <c r="AL513" i="1"/>
  <c r="AH513" i="1"/>
  <c r="AI513" i="1" s="1"/>
  <c r="AV514" i="1"/>
  <c r="AQ514" i="1"/>
  <c r="BH514" i="1" s="1"/>
  <c r="AX515" i="1"/>
  <c r="AW515" i="1"/>
  <c r="I516" i="1"/>
  <c r="K517" i="1"/>
  <c r="AL517" i="1"/>
  <c r="AR518" i="1"/>
  <c r="BB519" i="1"/>
  <c r="BB520" i="1"/>
  <c r="AZ516" i="1"/>
  <c r="K521" i="1"/>
  <c r="AX522" i="1"/>
  <c r="AW522" i="1"/>
  <c r="AW523" i="1"/>
  <c r="AX523" i="1"/>
  <c r="AR535" i="1"/>
  <c r="BG535" i="1"/>
  <c r="BI535" i="1" s="1"/>
  <c r="K536" i="1"/>
  <c r="I532" i="1"/>
  <c r="I531" i="1" s="1"/>
  <c r="AR504" i="1"/>
  <c r="AR507" i="1"/>
  <c r="BH509" i="1"/>
  <c r="AK510" i="1"/>
  <c r="AR510" i="1"/>
  <c r="BH520" i="1"/>
  <c r="BI520" i="1" s="1"/>
  <c r="BS522" i="1"/>
  <c r="BP522" i="1" s="1"/>
  <c r="BS523" i="1"/>
  <c r="BP523" i="1" s="1"/>
  <c r="AH523" i="1"/>
  <c r="AI523" i="1" s="1"/>
  <c r="AS523" i="1" s="1"/>
  <c r="BT524" i="1"/>
  <c r="AL525" i="1"/>
  <c r="AL526" i="1"/>
  <c r="BR526" i="1"/>
  <c r="AG526" i="1"/>
  <c r="AI526" i="1" s="1"/>
  <c r="BG527" i="1"/>
  <c r="BI527" i="1" s="1"/>
  <c r="AR527" i="1"/>
  <c r="AI528" i="1"/>
  <c r="AW528" i="1"/>
  <c r="BI529" i="1"/>
  <c r="BO534" i="1"/>
  <c r="J532" i="1"/>
  <c r="J531" i="1" s="1"/>
  <c r="K535" i="1"/>
  <c r="BS539" i="1"/>
  <c r="BP539" i="1" s="1"/>
  <c r="AH539" i="1"/>
  <c r="BO541" i="1"/>
  <c r="BR495" i="1"/>
  <c r="AH498" i="1"/>
  <c r="AG499" i="1"/>
  <c r="BR499" i="1"/>
  <c r="AH502" i="1"/>
  <c r="AH504" i="1"/>
  <c r="AH507" i="1"/>
  <c r="BR508" i="1"/>
  <c r="BR515" i="1"/>
  <c r="BH517" i="1"/>
  <c r="BH516" i="1" s="1"/>
  <c r="AX524" i="1"/>
  <c r="AW524" i="1"/>
  <c r="BS525" i="1"/>
  <c r="BP525" i="1" s="1"/>
  <c r="AH525" i="1"/>
  <c r="AI525" i="1" s="1"/>
  <c r="AS525" i="1" s="1"/>
  <c r="AI529" i="1"/>
  <c r="BT529" i="1"/>
  <c r="AV532" i="1"/>
  <c r="AV531" i="1" s="1"/>
  <c r="BI533" i="1"/>
  <c r="BH534" i="1"/>
  <c r="BI534" i="1" s="1"/>
  <c r="AQ532" i="1"/>
  <c r="AQ531" i="1" s="1"/>
  <c r="AR534" i="1"/>
  <c r="AX543" i="1"/>
  <c r="AW543" i="1"/>
  <c r="AH495" i="1"/>
  <c r="AI495" i="1" s="1"/>
  <c r="AG496" i="1"/>
  <c r="AI496" i="1" s="1"/>
  <c r="AS496" i="1" s="1"/>
  <c r="AH499" i="1"/>
  <c r="AG500" i="1"/>
  <c r="AI500" i="1" s="1"/>
  <c r="AS500" i="1" s="1"/>
  <c r="AG503" i="1"/>
  <c r="AI503" i="1" s="1"/>
  <c r="AS503" i="1" s="1"/>
  <c r="AH508" i="1"/>
  <c r="AI508" i="1" s="1"/>
  <c r="AG509" i="1"/>
  <c r="AI509" i="1" s="1"/>
  <c r="AS509" i="1" s="1"/>
  <c r="AG512" i="1"/>
  <c r="AI512" i="1" s="1"/>
  <c r="AS512" i="1" s="1"/>
  <c r="AL514" i="1"/>
  <c r="AH515" i="1"/>
  <c r="AI515" i="1" s="1"/>
  <c r="AH519" i="1"/>
  <c r="AI519" i="1" s="1"/>
  <c r="AL519" i="1"/>
  <c r="AG520" i="1"/>
  <c r="AI520" i="1" s="1"/>
  <c r="BB521" i="1"/>
  <c r="AI522" i="1"/>
  <c r="AS522" i="1" s="1"/>
  <c r="BI525" i="1"/>
  <c r="BT528" i="1"/>
  <c r="BO528" i="1"/>
  <c r="BQ528" i="1" s="1"/>
  <c r="AL529" i="1"/>
  <c r="AB530" i="1"/>
  <c r="BR536" i="1"/>
  <c r="AL536" i="1"/>
  <c r="AG536" i="1"/>
  <c r="AR526" i="1"/>
  <c r="AR533" i="1"/>
  <c r="AP532" i="1"/>
  <c r="AP531" i="1" s="1"/>
  <c r="AZ532" i="1"/>
  <c r="AZ531" i="1" s="1"/>
  <c r="BB533" i="1"/>
  <c r="AL534" i="1"/>
  <c r="BS536" i="1"/>
  <c r="BP536" i="1" s="1"/>
  <c r="AH536" i="1"/>
  <c r="BG537" i="1"/>
  <c r="BI537" i="1" s="1"/>
  <c r="BS537" i="1"/>
  <c r="BP537" i="1" s="1"/>
  <c r="BS538" i="1"/>
  <c r="BP538" i="1" s="1"/>
  <c r="AH538" i="1"/>
  <c r="AL538" i="1"/>
  <c r="BR538" i="1"/>
  <c r="AG538" i="1"/>
  <c r="BO540" i="1"/>
  <c r="BQ540" i="1" s="1"/>
  <c r="BH545" i="1"/>
  <c r="BI545" i="1" s="1"/>
  <c r="AR545" i="1"/>
  <c r="BG550" i="1"/>
  <c r="AK533" i="1"/>
  <c r="AD532" i="1"/>
  <c r="AD531" i="1" s="1"/>
  <c r="AD530" i="1" s="1"/>
  <c r="BS534" i="1"/>
  <c r="BP534" i="1" s="1"/>
  <c r="AH534" i="1"/>
  <c r="AI534" i="1" s="1"/>
  <c r="AS534" i="1" s="1"/>
  <c r="BG538" i="1"/>
  <c r="BI538" i="1" s="1"/>
  <c r="AR538" i="1"/>
  <c r="K539" i="1"/>
  <c r="AG539" i="1"/>
  <c r="BS541" i="1"/>
  <c r="BP541" i="1" s="1"/>
  <c r="AL541" i="1"/>
  <c r="AH541" i="1"/>
  <c r="AI541" i="1" s="1"/>
  <c r="AS541" i="1" s="1"/>
  <c r="BG542" i="1"/>
  <c r="BI542" i="1" s="1"/>
  <c r="AR542" i="1"/>
  <c r="AL552" i="1"/>
  <c r="BR552" i="1"/>
  <c r="AG552" i="1"/>
  <c r="AI552" i="1" s="1"/>
  <c r="AL527" i="1"/>
  <c r="AX535" i="1"/>
  <c r="AW535" i="1"/>
  <c r="AI537" i="1"/>
  <c r="AL539" i="1"/>
  <c r="BG541" i="1"/>
  <c r="BI541" i="1" s="1"/>
  <c r="AL545" i="1"/>
  <c r="BR545" i="1"/>
  <c r="AG545" i="1"/>
  <c r="AX546" i="1"/>
  <c r="AW546" i="1"/>
  <c r="AL549" i="1"/>
  <c r="AU548" i="1"/>
  <c r="AU547" i="1" s="1"/>
  <c r="AU530" i="1" s="1"/>
  <c r="AV550" i="1"/>
  <c r="AV548" i="1" s="1"/>
  <c r="AV547" i="1" s="1"/>
  <c r="AQ550" i="1"/>
  <c r="AR550" i="1" s="1"/>
  <c r="BT551" i="1"/>
  <c r="BO551" i="1"/>
  <c r="BQ551" i="1" s="1"/>
  <c r="BP552" i="1"/>
  <c r="AX553" i="1"/>
  <c r="AW553" i="1"/>
  <c r="AG542" i="1"/>
  <c r="BR542" i="1"/>
  <c r="BH543" i="1"/>
  <c r="BI543" i="1" s="1"/>
  <c r="AL544" i="1"/>
  <c r="BR544" i="1"/>
  <c r="BP545" i="1"/>
  <c r="I548" i="1"/>
  <c r="I547" i="1" s="1"/>
  <c r="BG549" i="1"/>
  <c r="AR549" i="1"/>
  <c r="AP548" i="1"/>
  <c r="AP547" i="1" s="1"/>
  <c r="J548" i="1"/>
  <c r="J547" i="1" s="1"/>
  <c r="AL550" i="1"/>
  <c r="AH550" i="1"/>
  <c r="AI550" i="1" s="1"/>
  <c r="AZ548" i="1"/>
  <c r="AZ547" i="1" s="1"/>
  <c r="BB550" i="1"/>
  <c r="BB548" i="1" s="1"/>
  <c r="BB547" i="1" s="1"/>
  <c r="BO553" i="1"/>
  <c r="AG533" i="1"/>
  <c r="AG535" i="1"/>
  <c r="AI535" i="1" s="1"/>
  <c r="AH542" i="1"/>
  <c r="BO543" i="1"/>
  <c r="BG546" i="1"/>
  <c r="BI546" i="1" s="1"/>
  <c r="AR546" i="1"/>
  <c r="BS550" i="1"/>
  <c r="BP550" i="1" s="1"/>
  <c r="BQ550" i="1" s="1"/>
  <c r="AL551" i="1"/>
  <c r="AG551" i="1"/>
  <c r="K553" i="1"/>
  <c r="AL554" i="1"/>
  <c r="BR554" i="1"/>
  <c r="AG554" i="1"/>
  <c r="AI554" i="1" s="1"/>
  <c r="AR544" i="1"/>
  <c r="AR551" i="1"/>
  <c r="AR552" i="1"/>
  <c r="AR554" i="1"/>
  <c r="AH544" i="1"/>
  <c r="AI544" i="1" s="1"/>
  <c r="AH545" i="1"/>
  <c r="AG546" i="1"/>
  <c r="AI546" i="1" s="1"/>
  <c r="BR546" i="1"/>
  <c r="BR549" i="1"/>
  <c r="AG553" i="1"/>
  <c r="AI553" i="1" s="1"/>
  <c r="AS553" i="1" s="1"/>
  <c r="AG555" i="1"/>
  <c r="BJ554" i="1" l="1"/>
  <c r="AI470" i="1"/>
  <c r="AI374" i="1"/>
  <c r="AS374" i="1" s="1"/>
  <c r="AI366" i="1"/>
  <c r="AS366" i="1" s="1"/>
  <c r="BI419" i="1"/>
  <c r="AI200" i="1"/>
  <c r="AS200" i="1" s="1"/>
  <c r="BQ257" i="1"/>
  <c r="BT241" i="1"/>
  <c r="BQ452" i="1"/>
  <c r="BQ363" i="1"/>
  <c r="BI421" i="1"/>
  <c r="BI287" i="1"/>
  <c r="BQ342" i="1"/>
  <c r="AS105" i="1"/>
  <c r="AU30" i="1"/>
  <c r="AS121" i="1"/>
  <c r="AI110" i="1"/>
  <c r="AS110" i="1" s="1"/>
  <c r="AI142" i="1"/>
  <c r="BI77" i="1"/>
  <c r="BQ414" i="1"/>
  <c r="BT265" i="1"/>
  <c r="BJ114" i="1"/>
  <c r="BT337" i="1"/>
  <c r="BI242" i="1"/>
  <c r="AS172" i="1"/>
  <c r="BI161" i="1"/>
  <c r="AS145" i="1"/>
  <c r="AL46" i="1"/>
  <c r="AS448" i="1"/>
  <c r="BJ418" i="1"/>
  <c r="BJ402" i="1"/>
  <c r="BQ253" i="1"/>
  <c r="BQ221" i="1"/>
  <c r="BP212" i="1"/>
  <c r="BQ212" i="1" s="1"/>
  <c r="BT212" i="1"/>
  <c r="AX218" i="1"/>
  <c r="AW218" i="1"/>
  <c r="AW42" i="1"/>
  <c r="AX42" i="1"/>
  <c r="AX224" i="1"/>
  <c r="AW224" i="1"/>
  <c r="BO170" i="1"/>
  <c r="BT170" i="1"/>
  <c r="BT138" i="1"/>
  <c r="BO138" i="1"/>
  <c r="BQ138" i="1" s="1"/>
  <c r="BP245" i="1"/>
  <c r="BT245" i="1"/>
  <c r="BP237" i="1"/>
  <c r="BT237" i="1"/>
  <c r="BJ467" i="1"/>
  <c r="AX78" i="1"/>
  <c r="AW78" i="1"/>
  <c r="AX63" i="1"/>
  <c r="AW63" i="1"/>
  <c r="AX60" i="1"/>
  <c r="AW60" i="1"/>
  <c r="AX53" i="1"/>
  <c r="AW53" i="1"/>
  <c r="AW40" i="1"/>
  <c r="AX40" i="1"/>
  <c r="AX23" i="1"/>
  <c r="AW23" i="1"/>
  <c r="AX285" i="1"/>
  <c r="AW285" i="1"/>
  <c r="AX128" i="1"/>
  <c r="AW128" i="1"/>
  <c r="BO137" i="1"/>
  <c r="BQ137" i="1" s="1"/>
  <c r="BT137" i="1"/>
  <c r="BT368" i="1"/>
  <c r="BO368" i="1"/>
  <c r="BQ368" i="1" s="1"/>
  <c r="AX124" i="1"/>
  <c r="AW124" i="1"/>
  <c r="BP109" i="1"/>
  <c r="BQ109" i="1" s="1"/>
  <c r="BT109" i="1"/>
  <c r="BQ493" i="1"/>
  <c r="BQ523" i="1"/>
  <c r="AS420" i="1"/>
  <c r="BI386" i="1"/>
  <c r="AI358" i="1"/>
  <c r="AS358" i="1" s="1"/>
  <c r="AI350" i="1"/>
  <c r="AS350" i="1" s="1"/>
  <c r="BQ398" i="1"/>
  <c r="BQ340" i="1"/>
  <c r="BI256" i="1"/>
  <c r="AW235" i="1"/>
  <c r="AX315" i="1"/>
  <c r="AW315" i="1"/>
  <c r="AX301" i="1"/>
  <c r="AW301" i="1"/>
  <c r="BP332" i="1"/>
  <c r="BQ332" i="1" s="1"/>
  <c r="BT332" i="1"/>
  <c r="AX209" i="1"/>
  <c r="AW209" i="1"/>
  <c r="BO141" i="1"/>
  <c r="BQ141" i="1" s="1"/>
  <c r="BT141" i="1"/>
  <c r="BO94" i="1"/>
  <c r="BQ94" i="1" s="1"/>
  <c r="BS163" i="1"/>
  <c r="AL163" i="1"/>
  <c r="AX132" i="1"/>
  <c r="AW132" i="1"/>
  <c r="AX75" i="1"/>
  <c r="AW75" i="1"/>
  <c r="BI180" i="1"/>
  <c r="BJ161" i="1"/>
  <c r="BT458" i="1"/>
  <c r="AS430" i="1"/>
  <c r="BJ419" i="1"/>
  <c r="BP271" i="1"/>
  <c r="BQ271" i="1" s="1"/>
  <c r="BT271" i="1"/>
  <c r="BQ170" i="1"/>
  <c r="BP158" i="1"/>
  <c r="BQ158" i="1" s="1"/>
  <c r="BT158" i="1"/>
  <c r="BP154" i="1"/>
  <c r="BT154" i="1"/>
  <c r="BO12" i="1"/>
  <c r="BT12" i="1"/>
  <c r="BT229" i="1"/>
  <c r="BO229" i="1"/>
  <c r="BO168" i="1"/>
  <c r="BQ168" i="1" s="1"/>
  <c r="BT168" i="1"/>
  <c r="BQ237" i="1"/>
  <c r="AI181" i="1"/>
  <c r="AS181" i="1" s="1"/>
  <c r="BI231" i="1"/>
  <c r="BI205" i="1"/>
  <c r="BI296" i="1"/>
  <c r="AL199" i="1"/>
  <c r="AI45" i="1"/>
  <c r="AI24" i="1"/>
  <c r="BS176" i="1"/>
  <c r="BP176" i="1" s="1"/>
  <c r="N32" i="1"/>
  <c r="N31" i="1" s="1"/>
  <c r="BI79" i="1"/>
  <c r="BI41" i="1"/>
  <c r="BI64" i="1"/>
  <c r="BI46" i="1"/>
  <c r="BI505" i="1"/>
  <c r="BJ505" i="1" s="1"/>
  <c r="AI457" i="1"/>
  <c r="BI433" i="1"/>
  <c r="BJ433" i="1" s="1"/>
  <c r="BJ380" i="1"/>
  <c r="BJ312" i="1"/>
  <c r="BT294" i="1"/>
  <c r="BI246" i="1"/>
  <c r="BI230" i="1"/>
  <c r="BI343" i="1"/>
  <c r="AI376" i="1"/>
  <c r="AS376" i="1" s="1"/>
  <c r="AS348" i="1"/>
  <c r="AI441" i="1"/>
  <c r="AS170" i="1"/>
  <c r="BQ157" i="1"/>
  <c r="BI324" i="1"/>
  <c r="AI464" i="1"/>
  <c r="BJ464" i="1" s="1"/>
  <c r="M530" i="1"/>
  <c r="M8" i="1" s="1"/>
  <c r="BT129" i="1"/>
  <c r="AS232" i="1"/>
  <c r="AI333" i="1"/>
  <c r="AS333" i="1" s="1"/>
  <c r="BI315" i="1"/>
  <c r="AS299" i="1"/>
  <c r="BJ207" i="1"/>
  <c r="BI276" i="1"/>
  <c r="BQ269" i="1"/>
  <c r="AS203" i="1"/>
  <c r="AS183" i="1"/>
  <c r="BQ181" i="1"/>
  <c r="AS128" i="1"/>
  <c r="AI112" i="1"/>
  <c r="AS112" i="1" s="1"/>
  <c r="AI290" i="1"/>
  <c r="AS290" i="1" s="1"/>
  <c r="BJ95" i="1"/>
  <c r="BI165" i="1"/>
  <c r="AS130" i="1"/>
  <c r="AS126" i="1"/>
  <c r="AS59" i="1"/>
  <c r="BI215" i="1"/>
  <c r="BI112" i="1"/>
  <c r="AW94" i="1"/>
  <c r="BI139" i="1"/>
  <c r="AI52" i="1"/>
  <c r="AS52" i="1" s="1"/>
  <c r="BI44" i="1"/>
  <c r="AS17" i="1"/>
  <c r="BQ20" i="1"/>
  <c r="BT521" i="1"/>
  <c r="BI469" i="1"/>
  <c r="BJ469" i="1" s="1"/>
  <c r="AJ530" i="1"/>
  <c r="BI528" i="1"/>
  <c r="BI316" i="1"/>
  <c r="BJ316" i="1" s="1"/>
  <c r="BI211" i="1"/>
  <c r="BQ206" i="1"/>
  <c r="BI368" i="1"/>
  <c r="AS94" i="1"/>
  <c r="BT261" i="1"/>
  <c r="BI145" i="1"/>
  <c r="BJ145" i="1" s="1"/>
  <c r="BJ109" i="1"/>
  <c r="BI47" i="1"/>
  <c r="K11" i="1"/>
  <c r="K10" i="1" s="1"/>
  <c r="K9" i="1" s="1"/>
  <c r="AI154" i="1"/>
  <c r="AS154" i="1" s="1"/>
  <c r="BT76" i="1"/>
  <c r="AR197" i="1"/>
  <c r="BI239" i="1"/>
  <c r="AI148" i="1"/>
  <c r="AS148" i="1" s="1"/>
  <c r="Z193" i="1"/>
  <c r="BJ162" i="1"/>
  <c r="BI129" i="1"/>
  <c r="BQ122" i="1"/>
  <c r="AS28" i="1"/>
  <c r="BI127" i="1"/>
  <c r="AW41" i="1"/>
  <c r="BI166" i="1"/>
  <c r="BJ166" i="1" s="1"/>
  <c r="AS50" i="1"/>
  <c r="BJ360" i="1"/>
  <c r="AR536" i="1"/>
  <c r="BQ294" i="1"/>
  <c r="BI438" i="1"/>
  <c r="AI305" i="1"/>
  <c r="AS305" i="1" s="1"/>
  <c r="AI291" i="1"/>
  <c r="AS291" i="1" s="1"/>
  <c r="AI87" i="1"/>
  <c r="AS87" i="1" s="1"/>
  <c r="BQ336" i="1"/>
  <c r="BJ113" i="1"/>
  <c r="BI168" i="1"/>
  <c r="BJ168" i="1" s="1"/>
  <c r="BQ529" i="1"/>
  <c r="AC8" i="1"/>
  <c r="AE530" i="1"/>
  <c r="BT483" i="1"/>
  <c r="BI422" i="1"/>
  <c r="BJ422" i="1" s="1"/>
  <c r="BI502" i="1"/>
  <c r="BI493" i="1"/>
  <c r="AI491" i="1"/>
  <c r="AS491" i="1" s="1"/>
  <c r="AS437" i="1"/>
  <c r="AI342" i="1"/>
  <c r="BQ299" i="1"/>
  <c r="BI382" i="1"/>
  <c r="BQ464" i="1"/>
  <c r="BT221" i="1"/>
  <c r="L30" i="1"/>
  <c r="BQ522" i="1"/>
  <c r="AW183" i="1"/>
  <c r="AX183" i="1"/>
  <c r="AS537" i="1"/>
  <c r="AS529" i="1"/>
  <c r="I530" i="1"/>
  <c r="AS511" i="1"/>
  <c r="BQ505" i="1"/>
  <c r="BO500" i="1"/>
  <c r="AW487" i="1"/>
  <c r="BO483" i="1"/>
  <c r="BQ483" i="1" s="1"/>
  <c r="BQ467" i="1"/>
  <c r="AW453" i="1"/>
  <c r="BT452" i="1"/>
  <c r="BI448" i="1"/>
  <c r="BJ448" i="1" s="1"/>
  <c r="AS436" i="1"/>
  <c r="AS404" i="1"/>
  <c r="AS400" i="1"/>
  <c r="BT430" i="1"/>
  <c r="AI417" i="1"/>
  <c r="AS417" i="1" s="1"/>
  <c r="BJ406" i="1"/>
  <c r="BI383" i="1"/>
  <c r="BJ383" i="1" s="1"/>
  <c r="AS309" i="1"/>
  <c r="BJ400" i="1"/>
  <c r="AI315" i="1"/>
  <c r="AS315" i="1" s="1"/>
  <c r="AI410" i="1"/>
  <c r="AS410" i="1" s="1"/>
  <c r="AX402" i="1"/>
  <c r="BI314" i="1"/>
  <c r="AW298" i="1"/>
  <c r="BI441" i="1"/>
  <c r="BT351" i="1"/>
  <c r="BI293" i="1"/>
  <c r="AI270" i="1"/>
  <c r="AW359" i="1"/>
  <c r="BI322" i="1"/>
  <c r="BI318" i="1"/>
  <c r="BI290" i="1"/>
  <c r="BJ249" i="1"/>
  <c r="BI233" i="1"/>
  <c r="BJ233" i="1" s="1"/>
  <c r="BQ286" i="1"/>
  <c r="BT257" i="1"/>
  <c r="AW244" i="1"/>
  <c r="BQ233" i="1"/>
  <c r="BQ207" i="1"/>
  <c r="BI190" i="1"/>
  <c r="BI292" i="1"/>
  <c r="BJ292" i="1" s="1"/>
  <c r="BI247" i="1"/>
  <c r="AI93" i="1"/>
  <c r="AS93" i="1" s="1"/>
  <c r="AW216" i="1"/>
  <c r="BU193" i="1"/>
  <c r="BU30" i="1" s="1"/>
  <c r="BU8" i="1" s="1"/>
  <c r="BJ146" i="1"/>
  <c r="BJ130" i="1"/>
  <c r="BI234" i="1"/>
  <c r="BI177" i="1"/>
  <c r="BQ142" i="1"/>
  <c r="BI121" i="1"/>
  <c r="BJ121" i="1" s="1"/>
  <c r="BI111" i="1"/>
  <c r="AX99" i="1"/>
  <c r="AS38" i="1"/>
  <c r="BJ172" i="1"/>
  <c r="AW76" i="1"/>
  <c r="AW24" i="1"/>
  <c r="BI224" i="1"/>
  <c r="BT347" i="1"/>
  <c r="AW102" i="1"/>
  <c r="BO98" i="1"/>
  <c r="BQ98" i="1" s="1"/>
  <c r="BO76" i="1"/>
  <c r="BQ76" i="1" s="1"/>
  <c r="BI52" i="1"/>
  <c r="BX8" i="1"/>
  <c r="AH44" i="1"/>
  <c r="AI44" i="1" s="1"/>
  <c r="AS44" i="1" s="1"/>
  <c r="AS21" i="1"/>
  <c r="BQ17" i="1"/>
  <c r="BI82" i="1"/>
  <c r="BQ38" i="1"/>
  <c r="BT555" i="1"/>
  <c r="BI394" i="1"/>
  <c r="BJ394" i="1" s="1"/>
  <c r="BT316" i="1"/>
  <c r="BT289" i="1"/>
  <c r="BT313" i="1"/>
  <c r="AI302" i="1"/>
  <c r="AI261" i="1"/>
  <c r="AS261" i="1" s="1"/>
  <c r="BI78" i="1"/>
  <c r="AS125" i="1"/>
  <c r="BI40" i="1"/>
  <c r="BT35" i="1"/>
  <c r="BI54" i="1"/>
  <c r="BI347" i="1"/>
  <c r="BJ153" i="1"/>
  <c r="BT522" i="1"/>
  <c r="AS515" i="1"/>
  <c r="AS508" i="1"/>
  <c r="AS528" i="1"/>
  <c r="BR516" i="1"/>
  <c r="BO521" i="1"/>
  <c r="BQ521" i="1" s="1"/>
  <c r="BI503" i="1"/>
  <c r="BJ503" i="1" s="1"/>
  <c r="BI498" i="1"/>
  <c r="AI484" i="1"/>
  <c r="AS484" i="1" s="1"/>
  <c r="AS473" i="1"/>
  <c r="AI474" i="1"/>
  <c r="BT467" i="1"/>
  <c r="BJ479" i="1"/>
  <c r="AX450" i="1"/>
  <c r="BI436" i="1"/>
  <c r="BJ436" i="1" s="1"/>
  <c r="AI405" i="1"/>
  <c r="BJ405" i="1" s="1"/>
  <c r="AS396" i="1"/>
  <c r="AS371" i="1"/>
  <c r="AI363" i="1"/>
  <c r="AS363" i="1" s="1"/>
  <c r="BQ430" i="1"/>
  <c r="AS387" i="1"/>
  <c r="BI428" i="1"/>
  <c r="AX427" i="1"/>
  <c r="BT406" i="1"/>
  <c r="BI403" i="1"/>
  <c r="BJ403" i="1" s="1"/>
  <c r="AI308" i="1"/>
  <c r="AS308" i="1" s="1"/>
  <c r="AI407" i="1"/>
  <c r="AX368" i="1"/>
  <c r="AI209" i="1"/>
  <c r="BI338" i="1"/>
  <c r="BJ338" i="1" s="1"/>
  <c r="AS329" i="1"/>
  <c r="AS292" i="1"/>
  <c r="AD193" i="1"/>
  <c r="BJ417" i="1"/>
  <c r="AX394" i="1"/>
  <c r="AW337" i="1"/>
  <c r="AW331" i="1"/>
  <c r="BI275" i="1"/>
  <c r="BJ275" i="1" s="1"/>
  <c r="BI261" i="1"/>
  <c r="BJ245" i="1"/>
  <c r="BJ229" i="1"/>
  <c r="BI298" i="1"/>
  <c r="BT286" i="1"/>
  <c r="AW264" i="1"/>
  <c r="AW260" i="1"/>
  <c r="BQ249" i="1"/>
  <c r="BT233" i="1"/>
  <c r="BT207" i="1"/>
  <c r="BQ203" i="1"/>
  <c r="J67" i="1"/>
  <c r="J66" i="1" s="1"/>
  <c r="BQ275" i="1"/>
  <c r="AS152" i="1"/>
  <c r="AS86" i="1"/>
  <c r="AW188" i="1"/>
  <c r="BI158" i="1"/>
  <c r="BJ158" i="1" s="1"/>
  <c r="BI142" i="1"/>
  <c r="BJ142" i="1" s="1"/>
  <c r="BJ110" i="1"/>
  <c r="BJ99" i="1"/>
  <c r="AW214" i="1"/>
  <c r="BQ150" i="1"/>
  <c r="BT142" i="1"/>
  <c r="BQ130" i="1"/>
  <c r="AW129" i="1"/>
  <c r="AS118" i="1"/>
  <c r="BI116" i="1"/>
  <c r="AS60" i="1"/>
  <c r="AS45" i="1"/>
  <c r="AW161" i="1"/>
  <c r="AW97" i="1"/>
  <c r="AW56" i="1"/>
  <c r="BT174" i="1"/>
  <c r="BI155" i="1"/>
  <c r="AI61" i="1"/>
  <c r="AS61" i="1" s="1"/>
  <c r="BI75" i="1"/>
  <c r="BH11" i="1"/>
  <c r="BH10" i="1" s="1"/>
  <c r="BH9" i="1" s="1"/>
  <c r="AK32" i="1"/>
  <c r="AK31" i="1" s="1"/>
  <c r="AW27" i="1"/>
  <c r="BT38" i="1"/>
  <c r="BQ525" i="1"/>
  <c r="AI521" i="1"/>
  <c r="BJ521" i="1" s="1"/>
  <c r="BI501" i="1"/>
  <c r="BQ482" i="1"/>
  <c r="BI468" i="1"/>
  <c r="BI465" i="1"/>
  <c r="BJ465" i="1" s="1"/>
  <c r="AI449" i="1"/>
  <c r="AS449" i="1" s="1"/>
  <c r="BI369" i="1"/>
  <c r="BI355" i="1"/>
  <c r="BI485" i="1"/>
  <c r="AI344" i="1"/>
  <c r="AS344" i="1" s="1"/>
  <c r="BT228" i="1"/>
  <c r="BI375" i="1"/>
  <c r="BI200" i="1"/>
  <c r="BB194" i="1"/>
  <c r="AS168" i="1"/>
  <c r="BJ105" i="1"/>
  <c r="AS76" i="1"/>
  <c r="AI98" i="1"/>
  <c r="BO87" i="1"/>
  <c r="BQ87" i="1" s="1"/>
  <c r="AL47" i="1"/>
  <c r="AL11" i="1"/>
  <c r="AX11" i="1" s="1"/>
  <c r="BJ302" i="1"/>
  <c r="AS535" i="1"/>
  <c r="AI555" i="1"/>
  <c r="AS555" i="1" s="1"/>
  <c r="AU8" i="1"/>
  <c r="AS520" i="1"/>
  <c r="BJ520" i="1"/>
  <c r="BI478" i="1"/>
  <c r="AS472" i="1"/>
  <c r="BI470" i="1"/>
  <c r="BJ470" i="1" s="1"/>
  <c r="AS429" i="1"/>
  <c r="AS425" i="1"/>
  <c r="AS397" i="1"/>
  <c r="BI389" i="1"/>
  <c r="BJ389" i="1" s="1"/>
  <c r="AS388" i="1"/>
  <c r="AS428" i="1"/>
  <c r="AS368" i="1"/>
  <c r="AI320" i="1"/>
  <c r="AS320" i="1" s="1"/>
  <c r="BJ416" i="1"/>
  <c r="BQ406" i="1"/>
  <c r="BQ386" i="1"/>
  <c r="BJ378" i="1"/>
  <c r="AS339" i="1"/>
  <c r="AI323" i="1"/>
  <c r="AS323" i="1" s="1"/>
  <c r="BE193" i="1"/>
  <c r="BE30" i="1" s="1"/>
  <c r="BE8" i="1" s="1"/>
  <c r="BI358" i="1"/>
  <c r="BI346" i="1"/>
  <c r="BJ313" i="1"/>
  <c r="BQ310" i="1"/>
  <c r="BQ295" i="1"/>
  <c r="AS281" i="1"/>
  <c r="AI256" i="1"/>
  <c r="AS256" i="1" s="1"/>
  <c r="AI340" i="1"/>
  <c r="AS340" i="1" s="1"/>
  <c r="AS303" i="1"/>
  <c r="BQ265" i="1"/>
  <c r="BT249" i="1"/>
  <c r="BQ241" i="1"/>
  <c r="BQ225" i="1"/>
  <c r="BI213" i="1"/>
  <c r="BT203" i="1"/>
  <c r="BT275" i="1"/>
  <c r="AI156" i="1"/>
  <c r="AS156" i="1" s="1"/>
  <c r="AI140" i="1"/>
  <c r="AS140" i="1" s="1"/>
  <c r="Z30" i="1"/>
  <c r="Z8" i="1" s="1"/>
  <c r="BJ154" i="1"/>
  <c r="BI122" i="1"/>
  <c r="BJ122" i="1" s="1"/>
  <c r="BJ106" i="1"/>
  <c r="BI285" i="1"/>
  <c r="BT150" i="1"/>
  <c r="BT130" i="1"/>
  <c r="AS103" i="1"/>
  <c r="AI92" i="1"/>
  <c r="AS92" i="1" s="1"/>
  <c r="AI83" i="1"/>
  <c r="AS83" i="1" s="1"/>
  <c r="AI176" i="1"/>
  <c r="AS176" i="1" s="1"/>
  <c r="K163" i="1"/>
  <c r="AW72" i="1"/>
  <c r="AW35" i="1"/>
  <c r="BI240" i="1"/>
  <c r="BT185" i="1"/>
  <c r="BT157" i="1"/>
  <c r="BI59" i="1"/>
  <c r="BJ59" i="1" s="1"/>
  <c r="AX34" i="1"/>
  <c r="BT505" i="1"/>
  <c r="BT481" i="1"/>
  <c r="BQ390" i="1"/>
  <c r="BT360" i="1"/>
  <c r="BQ347" i="1"/>
  <c r="BI283" i="1"/>
  <c r="BJ133" i="1"/>
  <c r="BI74" i="1"/>
  <c r="BI42" i="1"/>
  <c r="BI179" i="1"/>
  <c r="BQ154" i="1"/>
  <c r="AI138" i="1"/>
  <c r="AS138" i="1" s="1"/>
  <c r="AS102" i="1"/>
  <c r="AS312" i="1"/>
  <c r="BQ153" i="1"/>
  <c r="BJ125" i="1"/>
  <c r="AS457" i="1"/>
  <c r="BJ457" i="1"/>
  <c r="AS384" i="1"/>
  <c r="BJ384" i="1"/>
  <c r="BT133" i="1"/>
  <c r="BO133" i="1"/>
  <c r="BQ133" i="1" s="1"/>
  <c r="BT424" i="1"/>
  <c r="BJ286" i="1"/>
  <c r="BJ88" i="1"/>
  <c r="BI500" i="1"/>
  <c r="BJ500" i="1" s="1"/>
  <c r="BT490" i="1"/>
  <c r="BO490" i="1"/>
  <c r="BQ490" i="1" s="1"/>
  <c r="AW446" i="1"/>
  <c r="AX446" i="1"/>
  <c r="BT256" i="1"/>
  <c r="BO256" i="1"/>
  <c r="BQ256" i="1" s="1"/>
  <c r="BT232" i="1"/>
  <c r="BO232" i="1"/>
  <c r="BQ232" i="1" s="1"/>
  <c r="AW180" i="1"/>
  <c r="AX180" i="1"/>
  <c r="BT444" i="1"/>
  <c r="BO444" i="1"/>
  <c r="BQ444" i="1" s="1"/>
  <c r="BT240" i="1"/>
  <c r="BO240" i="1"/>
  <c r="BQ240" i="1" s="1"/>
  <c r="BT125" i="1"/>
  <c r="BO125" i="1"/>
  <c r="BQ125" i="1" s="1"/>
  <c r="AS137" i="1"/>
  <c r="BT121" i="1"/>
  <c r="BO121" i="1"/>
  <c r="BQ121" i="1" s="1"/>
  <c r="BJ102" i="1"/>
  <c r="AS550" i="1"/>
  <c r="BT543" i="1"/>
  <c r="BB532" i="1"/>
  <c r="BB531" i="1" s="1"/>
  <c r="BB530" i="1" s="1"/>
  <c r="BJ529" i="1"/>
  <c r="AR516" i="1"/>
  <c r="BQ511" i="1"/>
  <c r="AS475" i="1"/>
  <c r="AR514" i="1"/>
  <c r="AS514" i="1" s="1"/>
  <c r="BI524" i="1"/>
  <c r="BJ524" i="1" s="1"/>
  <c r="BQ496" i="1"/>
  <c r="AS494" i="1"/>
  <c r="BQ492" i="1"/>
  <c r="BI518" i="1"/>
  <c r="BJ518" i="1" s="1"/>
  <c r="BI472" i="1"/>
  <c r="BJ472" i="1" s="1"/>
  <c r="BI494" i="1"/>
  <c r="BJ494" i="1" s="1"/>
  <c r="AW461" i="1"/>
  <c r="BQ458" i="1"/>
  <c r="AW482" i="1"/>
  <c r="AS467" i="1"/>
  <c r="BQ462" i="1"/>
  <c r="AS455" i="1"/>
  <c r="BI401" i="1"/>
  <c r="BJ401" i="1" s="1"/>
  <c r="AS389" i="1"/>
  <c r="BT427" i="1"/>
  <c r="AS433" i="1"/>
  <c r="BJ428" i="1"/>
  <c r="BQ427" i="1"/>
  <c r="AS423" i="1"/>
  <c r="BJ390" i="1"/>
  <c r="AI332" i="1"/>
  <c r="AS332" i="1" s="1"/>
  <c r="BT394" i="1"/>
  <c r="BJ391" i="1"/>
  <c r="AS343" i="1"/>
  <c r="AI327" i="1"/>
  <c r="AS327" i="1" s="1"/>
  <c r="AI293" i="1"/>
  <c r="AS293" i="1" s="1"/>
  <c r="BJ306" i="1"/>
  <c r="BI431" i="1"/>
  <c r="BT340" i="1"/>
  <c r="BT310" i="1"/>
  <c r="BQ306" i="1"/>
  <c r="BT295" i="1"/>
  <c r="AI289" i="1"/>
  <c r="AS289" i="1" s="1"/>
  <c r="BO313" i="1"/>
  <c r="BQ313" i="1" s="1"/>
  <c r="BI301" i="1"/>
  <c r="AI273" i="1"/>
  <c r="AS273" i="1" s="1"/>
  <c r="AI267" i="1"/>
  <c r="AS267" i="1" s="1"/>
  <c r="AI251" i="1"/>
  <c r="AS251" i="1" s="1"/>
  <c r="AI235" i="1"/>
  <c r="AS235" i="1" s="1"/>
  <c r="AI188" i="1"/>
  <c r="AS188" i="1" s="1"/>
  <c r="AX348" i="1"/>
  <c r="BI282" i="1"/>
  <c r="BJ282" i="1" s="1"/>
  <c r="BJ271" i="1"/>
  <c r="BJ257" i="1"/>
  <c r="BJ241" i="1"/>
  <c r="BJ225" i="1"/>
  <c r="BJ203" i="1"/>
  <c r="BT282" i="1"/>
  <c r="BQ261" i="1"/>
  <c r="BQ245" i="1"/>
  <c r="BQ229" i="1"/>
  <c r="AI180" i="1"/>
  <c r="AS180" i="1" s="1"/>
  <c r="AS177" i="1"/>
  <c r="AS136" i="1"/>
  <c r="BJ150" i="1"/>
  <c r="BJ103" i="1"/>
  <c r="BQ211" i="1"/>
  <c r="BI238" i="1"/>
  <c r="BI220" i="1"/>
  <c r="AW90" i="1"/>
  <c r="BI143" i="1"/>
  <c r="BI309" i="1"/>
  <c r="BJ309" i="1" s="1"/>
  <c r="BQ218" i="1"/>
  <c r="BT153" i="1"/>
  <c r="BI76" i="1"/>
  <c r="BJ76" i="1" s="1"/>
  <c r="BO48" i="1"/>
  <c r="BQ48" i="1" s="1"/>
  <c r="BB11" i="1"/>
  <c r="BB10" i="1" s="1"/>
  <c r="BB9" i="1" s="1"/>
  <c r="BI123" i="1"/>
  <c r="BI43" i="1"/>
  <c r="BO35" i="1"/>
  <c r="BQ35" i="1" s="1"/>
  <c r="BI555" i="1"/>
  <c r="BJ555" i="1" s="1"/>
  <c r="BI540" i="1"/>
  <c r="BJ540" i="1" s="1"/>
  <c r="AI527" i="1"/>
  <c r="AS527" i="1" s="1"/>
  <c r="BI507" i="1"/>
  <c r="AW438" i="1"/>
  <c r="AX438" i="1"/>
  <c r="BT341" i="1"/>
  <c r="BI348" i="1"/>
  <c r="BJ348" i="1" s="1"/>
  <c r="BT324" i="1"/>
  <c r="BO324" i="1"/>
  <c r="BQ324" i="1" s="1"/>
  <c r="BT291" i="1"/>
  <c r="BO291" i="1"/>
  <c r="BQ291" i="1" s="1"/>
  <c r="BT248" i="1"/>
  <c r="BO248" i="1"/>
  <c r="BQ248" i="1" s="1"/>
  <c r="BT113" i="1"/>
  <c r="L8" i="1"/>
  <c r="BQ129" i="1"/>
  <c r="BI89" i="1"/>
  <c r="AS117" i="1"/>
  <c r="BO440" i="1"/>
  <c r="BQ440" i="1" s="1"/>
  <c r="BT440" i="1"/>
  <c r="BI53" i="1"/>
  <c r="BB516" i="1"/>
  <c r="AS546" i="1"/>
  <c r="BQ543" i="1"/>
  <c r="BQ553" i="1"/>
  <c r="AI542" i="1"/>
  <c r="AS542" i="1" s="1"/>
  <c r="AI539" i="1"/>
  <c r="AS539" i="1" s="1"/>
  <c r="BJ528" i="1"/>
  <c r="BT511" i="1"/>
  <c r="AX511" i="1"/>
  <c r="BJ492" i="1"/>
  <c r="BQ473" i="1"/>
  <c r="BT434" i="1"/>
  <c r="BQ438" i="1"/>
  <c r="BJ435" i="1"/>
  <c r="BT462" i="1"/>
  <c r="BQ453" i="1"/>
  <c r="AI421" i="1"/>
  <c r="AS421" i="1" s="1"/>
  <c r="BJ413" i="1"/>
  <c r="BJ397" i="1"/>
  <c r="BJ427" i="1"/>
  <c r="BJ398" i="1"/>
  <c r="BI423" i="1"/>
  <c r="BJ423" i="1" s="1"/>
  <c r="AS337" i="1"/>
  <c r="BT410" i="1"/>
  <c r="BJ407" i="1"/>
  <c r="BQ394" i="1"/>
  <c r="BT390" i="1"/>
  <c r="BT386" i="1"/>
  <c r="BI333" i="1"/>
  <c r="BJ333" i="1" s="1"/>
  <c r="BJ317" i="1"/>
  <c r="BI303" i="1"/>
  <c r="AX376" i="1"/>
  <c r="AI369" i="1"/>
  <c r="AS369" i="1" s="1"/>
  <c r="AX360" i="1"/>
  <c r="BT306" i="1"/>
  <c r="AS214" i="1"/>
  <c r="BQ356" i="1"/>
  <c r="BI269" i="1"/>
  <c r="BI253" i="1"/>
  <c r="AW324" i="1"/>
  <c r="BT278" i="1"/>
  <c r="BT363" i="1"/>
  <c r="BI235" i="1"/>
  <c r="AI185" i="1"/>
  <c r="AI124" i="1"/>
  <c r="AS124" i="1" s="1"/>
  <c r="AS90" i="1"/>
  <c r="BO360" i="1"/>
  <c r="BQ360" i="1" s="1"/>
  <c r="BT211" i="1"/>
  <c r="AI62" i="1"/>
  <c r="AI56" i="1"/>
  <c r="AS56" i="1" s="1"/>
  <c r="BI254" i="1"/>
  <c r="BI232" i="1"/>
  <c r="BJ232" i="1" s="1"/>
  <c r="AW108" i="1"/>
  <c r="AX83" i="1"/>
  <c r="AI51" i="1"/>
  <c r="AI34" i="1"/>
  <c r="AS34" i="1" s="1"/>
  <c r="AW20" i="1"/>
  <c r="AW117" i="1"/>
  <c r="BI107" i="1"/>
  <c r="BI73" i="1"/>
  <c r="BJ73" i="1" s="1"/>
  <c r="BQ44" i="1"/>
  <c r="AX70" i="1"/>
  <c r="N530" i="1"/>
  <c r="BT472" i="1"/>
  <c r="BP472" i="1"/>
  <c r="BQ472" i="1" s="1"/>
  <c r="BI459" i="1"/>
  <c r="BT449" i="1"/>
  <c r="BO449" i="1"/>
  <c r="BQ449" i="1" s="1"/>
  <c r="BI352" i="1"/>
  <c r="BT328" i="1"/>
  <c r="BO328" i="1"/>
  <c r="BQ328" i="1" s="1"/>
  <c r="BT305" i="1"/>
  <c r="BO305" i="1"/>
  <c r="BQ305" i="1" s="1"/>
  <c r="AS316" i="1"/>
  <c r="AS302" i="1"/>
  <c r="AS441" i="1"/>
  <c r="BT285" i="1"/>
  <c r="BO285" i="1"/>
  <c r="BQ285" i="1" s="1"/>
  <c r="AW85" i="1"/>
  <c r="AX85" i="1"/>
  <c r="BT224" i="1"/>
  <c r="BO224" i="1"/>
  <c r="BQ224" i="1" s="1"/>
  <c r="BI96" i="1"/>
  <c r="BI65" i="1"/>
  <c r="AI440" i="1"/>
  <c r="AS440" i="1" s="1"/>
  <c r="BI57" i="1"/>
  <c r="BT488" i="1"/>
  <c r="BJ178" i="1"/>
  <c r="BO535" i="1"/>
  <c r="BQ535" i="1" s="1"/>
  <c r="BT535" i="1"/>
  <c r="K532" i="1"/>
  <c r="K531" i="1" s="1"/>
  <c r="AS519" i="1"/>
  <c r="J530" i="1"/>
  <c r="BI499" i="1"/>
  <c r="AI478" i="1"/>
  <c r="AS478" i="1" s="1"/>
  <c r="BQ500" i="1"/>
  <c r="AS474" i="1"/>
  <c r="BT473" i="1"/>
  <c r="BT438" i="1"/>
  <c r="BJ458" i="1"/>
  <c r="BT453" i="1"/>
  <c r="BJ409" i="1"/>
  <c r="AS408" i="1"/>
  <c r="BJ393" i="1"/>
  <c r="AI392" i="1"/>
  <c r="AS392" i="1" s="1"/>
  <c r="AI381" i="1"/>
  <c r="AS381" i="1" s="1"/>
  <c r="AS347" i="1"/>
  <c r="BI430" i="1"/>
  <c r="BJ414" i="1"/>
  <c r="BQ410" i="1"/>
  <c r="AS386" i="1"/>
  <c r="BJ339" i="1"/>
  <c r="AI335" i="1"/>
  <c r="AS335" i="1" s="1"/>
  <c r="BJ299" i="1"/>
  <c r="BI319" i="1"/>
  <c r="AS285" i="1"/>
  <c r="BI330" i="1"/>
  <c r="BJ290" i="1"/>
  <c r="BI278" i="1"/>
  <c r="BJ278" i="1" s="1"/>
  <c r="BI265" i="1"/>
  <c r="BJ265" i="1" s="1"/>
  <c r="BJ212" i="1"/>
  <c r="BJ305" i="1"/>
  <c r="K197" i="1"/>
  <c r="AS158" i="1"/>
  <c r="AS142" i="1"/>
  <c r="BJ129" i="1"/>
  <c r="BJ94" i="1"/>
  <c r="BI248" i="1"/>
  <c r="BJ157" i="1"/>
  <c r="BJ141" i="1"/>
  <c r="BJ137" i="1"/>
  <c r="BQ110" i="1"/>
  <c r="BO84" i="1"/>
  <c r="BQ84" i="1" s="1"/>
  <c r="AW59" i="1"/>
  <c r="BI169" i="1"/>
  <c r="BI115" i="1"/>
  <c r="AE32" i="1"/>
  <c r="AE31" i="1" s="1"/>
  <c r="BQ45" i="1"/>
  <c r="BT445" i="1"/>
  <c r="BT553" i="1"/>
  <c r="AI543" i="1"/>
  <c r="AS543" i="1" s="1"/>
  <c r="BT496" i="1"/>
  <c r="BI446" i="1"/>
  <c r="BJ446" i="1" s="1"/>
  <c r="BT309" i="1"/>
  <c r="AS482" i="1"/>
  <c r="BT381" i="1"/>
  <c r="BO381" i="1"/>
  <c r="BQ381" i="1" s="1"/>
  <c r="AI341" i="1"/>
  <c r="BJ341" i="1" s="1"/>
  <c r="BT298" i="1"/>
  <c r="BO298" i="1"/>
  <c r="BQ298" i="1" s="1"/>
  <c r="BT264" i="1"/>
  <c r="BO264" i="1"/>
  <c r="BQ264" i="1" s="1"/>
  <c r="AS133" i="1"/>
  <c r="AI444" i="1"/>
  <c r="AS444" i="1" s="1"/>
  <c r="BI49" i="1"/>
  <c r="BT102" i="1"/>
  <c r="BO102" i="1"/>
  <c r="BQ102" i="1" s="1"/>
  <c r="BT91" i="1"/>
  <c r="BO91" i="1"/>
  <c r="BQ91" i="1" s="1"/>
  <c r="AS153" i="1"/>
  <c r="AS113" i="1"/>
  <c r="BI163" i="1"/>
  <c r="BJ163" i="1" s="1"/>
  <c r="AS149" i="1"/>
  <c r="BJ534" i="1"/>
  <c r="AS544" i="1"/>
  <c r="BJ544" i="1"/>
  <c r="AS497" i="1"/>
  <c r="BJ497" i="1"/>
  <c r="AX554" i="1"/>
  <c r="AW554" i="1"/>
  <c r="BG548" i="1"/>
  <c r="BG547" i="1" s="1"/>
  <c r="BI549" i="1"/>
  <c r="AX536" i="1"/>
  <c r="AW536" i="1"/>
  <c r="BS510" i="1"/>
  <c r="BP510" i="1" s="1"/>
  <c r="AH510" i="1"/>
  <c r="AI510" i="1" s="1"/>
  <c r="AX552" i="1"/>
  <c r="AW552" i="1"/>
  <c r="AW541" i="1"/>
  <c r="AX541" i="1"/>
  <c r="AI538" i="1"/>
  <c r="AS538" i="1" s="1"/>
  <c r="AZ530" i="1"/>
  <c r="BO536" i="1"/>
  <c r="BQ536" i="1" s="1"/>
  <c r="BT536" i="1"/>
  <c r="AV530" i="1"/>
  <c r="BO508" i="1"/>
  <c r="BQ508" i="1" s="1"/>
  <c r="BT508" i="1"/>
  <c r="BO499" i="1"/>
  <c r="BQ499" i="1" s="1"/>
  <c r="BT499" i="1"/>
  <c r="BQ541" i="1"/>
  <c r="BQ534" i="1"/>
  <c r="AW517" i="1"/>
  <c r="AX517" i="1"/>
  <c r="AL516" i="1"/>
  <c r="AX516" i="1" s="1"/>
  <c r="BO504" i="1"/>
  <c r="BQ504" i="1" s="1"/>
  <c r="BT504" i="1"/>
  <c r="BI495" i="1"/>
  <c r="BJ495" i="1" s="1"/>
  <c r="AX507" i="1"/>
  <c r="AW507" i="1"/>
  <c r="BO502" i="1"/>
  <c r="BQ502" i="1" s="1"/>
  <c r="BT502" i="1"/>
  <c r="AI498" i="1"/>
  <c r="AS498" i="1" s="1"/>
  <c r="AW497" i="1"/>
  <c r="AX497" i="1"/>
  <c r="BT523" i="1"/>
  <c r="AS518" i="1"/>
  <c r="BI517" i="1"/>
  <c r="BJ512" i="1"/>
  <c r="BI509" i="1"/>
  <c r="BJ509" i="1" s="1"/>
  <c r="AX494" i="1"/>
  <c r="AW494" i="1"/>
  <c r="AW493" i="1"/>
  <c r="AX493" i="1"/>
  <c r="AX484" i="1"/>
  <c r="AW484" i="1"/>
  <c r="AS480" i="1"/>
  <c r="BJ480" i="1"/>
  <c r="N201" i="1"/>
  <c r="N193" i="1" s="1"/>
  <c r="BJ474" i="1"/>
  <c r="AX470" i="1"/>
  <c r="AW470" i="1"/>
  <c r="AX452" i="1"/>
  <c r="AW452" i="1"/>
  <c r="AX440" i="1"/>
  <c r="AW440" i="1"/>
  <c r="BT489" i="1"/>
  <c r="BO489" i="1"/>
  <c r="BQ489" i="1" s="1"/>
  <c r="AW488" i="1"/>
  <c r="AX488" i="1"/>
  <c r="AS471" i="1"/>
  <c r="BJ471" i="1"/>
  <c r="AW474" i="1"/>
  <c r="AX474" i="1"/>
  <c r="AS465" i="1"/>
  <c r="AS459" i="1"/>
  <c r="BJ459" i="1"/>
  <c r="BJ454" i="1"/>
  <c r="AX451" i="1"/>
  <c r="AW451" i="1"/>
  <c r="BJ487" i="1"/>
  <c r="BQ485" i="1"/>
  <c r="AS439" i="1"/>
  <c r="BJ439" i="1"/>
  <c r="AW434" i="1"/>
  <c r="AX434" i="1"/>
  <c r="BP420" i="1"/>
  <c r="BQ420" i="1" s="1"/>
  <c r="BT420" i="1"/>
  <c r="BT413" i="1"/>
  <c r="BO413" i="1"/>
  <c r="BQ413" i="1" s="1"/>
  <c r="AW388" i="1"/>
  <c r="AX388" i="1"/>
  <c r="AS375" i="1"/>
  <c r="BJ375" i="1"/>
  <c r="AX550" i="1"/>
  <c r="AW550" i="1"/>
  <c r="BT544" i="1"/>
  <c r="BO544" i="1"/>
  <c r="BQ544" i="1" s="1"/>
  <c r="BR532" i="1"/>
  <c r="BR531" i="1" s="1"/>
  <c r="BO515" i="1"/>
  <c r="BQ515" i="1" s="1"/>
  <c r="BT515" i="1"/>
  <c r="BO495" i="1"/>
  <c r="BQ495" i="1" s="1"/>
  <c r="BT495" i="1"/>
  <c r="BO549" i="1"/>
  <c r="BR548" i="1"/>
  <c r="BR547" i="1" s="1"/>
  <c r="BT549" i="1"/>
  <c r="BT550" i="1"/>
  <c r="AX544" i="1"/>
  <c r="AW544" i="1"/>
  <c r="BJ553" i="1"/>
  <c r="BO546" i="1"/>
  <c r="BQ546" i="1" s="1"/>
  <c r="BT546" i="1"/>
  <c r="AS554" i="1"/>
  <c r="AI551" i="1"/>
  <c r="AG548" i="1"/>
  <c r="AG547" i="1" s="1"/>
  <c r="K548" i="1"/>
  <c r="K547" i="1" s="1"/>
  <c r="AI545" i="1"/>
  <c r="AS545" i="1" s="1"/>
  <c r="AX539" i="1"/>
  <c r="AW539" i="1"/>
  <c r="AX527" i="1"/>
  <c r="AW527" i="1"/>
  <c r="AH533" i="1"/>
  <c r="AH532" i="1" s="1"/>
  <c r="AH531" i="1" s="1"/>
  <c r="AK532" i="1"/>
  <c r="AK531" i="1" s="1"/>
  <c r="AK530" i="1" s="1"/>
  <c r="BS533" i="1"/>
  <c r="AL533" i="1"/>
  <c r="BO538" i="1"/>
  <c r="BQ538" i="1" s="1"/>
  <c r="BT538" i="1"/>
  <c r="AW534" i="1"/>
  <c r="AX534" i="1"/>
  <c r="AP530" i="1"/>
  <c r="BJ525" i="1"/>
  <c r="AX514" i="1"/>
  <c r="AW514" i="1"/>
  <c r="AS495" i="1"/>
  <c r="AI499" i="1"/>
  <c r="AS499" i="1" s="1"/>
  <c r="BT541" i="1"/>
  <c r="BT534" i="1"/>
  <c r="AS526" i="1"/>
  <c r="BT525" i="1"/>
  <c r="BJ535" i="1"/>
  <c r="BJ522" i="1"/>
  <c r="K516" i="1"/>
  <c r="AW513" i="1"/>
  <c r="AX513" i="1"/>
  <c r="BJ506" i="1"/>
  <c r="AX478" i="1"/>
  <c r="AW478" i="1"/>
  <c r="BQ537" i="1"/>
  <c r="BJ526" i="1"/>
  <c r="AS517" i="1"/>
  <c r="BT498" i="1"/>
  <c r="BO498" i="1"/>
  <c r="BQ498" i="1" s="1"/>
  <c r="BP497" i="1"/>
  <c r="BQ497" i="1" s="1"/>
  <c r="BT497" i="1"/>
  <c r="BQ539" i="1"/>
  <c r="BJ523" i="1"/>
  <c r="BT518" i="1"/>
  <c r="BO518" i="1"/>
  <c r="BQ518" i="1" s="1"/>
  <c r="BQ513" i="1"/>
  <c r="BJ493" i="1"/>
  <c r="BH532" i="1"/>
  <c r="BH531" i="1" s="1"/>
  <c r="BQ501" i="1"/>
  <c r="BJ496" i="1"/>
  <c r="BT480" i="1"/>
  <c r="BO480" i="1"/>
  <c r="BQ480" i="1" s="1"/>
  <c r="K477" i="1"/>
  <c r="J201" i="1"/>
  <c r="J193" i="1" s="1"/>
  <c r="J30" i="1" s="1"/>
  <c r="AX448" i="1"/>
  <c r="AW448" i="1"/>
  <c r="AX436" i="1"/>
  <c r="AW436" i="1"/>
  <c r="BI514" i="1"/>
  <c r="BJ514" i="1" s="1"/>
  <c r="BJ508" i="1"/>
  <c r="AW468" i="1"/>
  <c r="AX468" i="1"/>
  <c r="AS461" i="1"/>
  <c r="BJ461" i="1"/>
  <c r="BT459" i="1"/>
  <c r="BO459" i="1"/>
  <c r="BQ459" i="1" s="1"/>
  <c r="AW458" i="1"/>
  <c r="AX458" i="1"/>
  <c r="AS450" i="1"/>
  <c r="BJ450" i="1"/>
  <c r="BJ501" i="1"/>
  <c r="AS486" i="1"/>
  <c r="BJ486" i="1"/>
  <c r="BT485" i="1"/>
  <c r="BP470" i="1"/>
  <c r="BQ470" i="1" s="1"/>
  <c r="BT470" i="1"/>
  <c r="BP450" i="1"/>
  <c r="BT450" i="1"/>
  <c r="AS446" i="1"/>
  <c r="AS442" i="1"/>
  <c r="BJ442" i="1"/>
  <c r="AS438" i="1"/>
  <c r="BJ438" i="1"/>
  <c r="BJ421" i="1"/>
  <c r="AW396" i="1"/>
  <c r="AX396" i="1"/>
  <c r="BT389" i="1"/>
  <c r="BO389" i="1"/>
  <c r="BQ389" i="1" s="1"/>
  <c r="AS424" i="1"/>
  <c r="BJ424" i="1"/>
  <c r="AX545" i="1"/>
  <c r="AW545" i="1"/>
  <c r="BT552" i="1"/>
  <c r="BO552" i="1"/>
  <c r="BQ552" i="1" s="1"/>
  <c r="BT554" i="1"/>
  <c r="BO554" i="1"/>
  <c r="BQ554" i="1" s="1"/>
  <c r="AX551" i="1"/>
  <c r="AW551" i="1"/>
  <c r="BJ546" i="1"/>
  <c r="AG532" i="1"/>
  <c r="AG531" i="1" s="1"/>
  <c r="AR548" i="1"/>
  <c r="AR547" i="1" s="1"/>
  <c r="BO542" i="1"/>
  <c r="BQ542" i="1" s="1"/>
  <c r="BT542" i="1"/>
  <c r="AQ548" i="1"/>
  <c r="AQ547" i="1" s="1"/>
  <c r="AQ530" i="1" s="1"/>
  <c r="BH550" i="1"/>
  <c r="BH548" i="1" s="1"/>
  <c r="BH547" i="1" s="1"/>
  <c r="AX549" i="1"/>
  <c r="AL548" i="1"/>
  <c r="AW549" i="1"/>
  <c r="BT545" i="1"/>
  <c r="BO545" i="1"/>
  <c r="BQ545" i="1" s="1"/>
  <c r="BJ541" i="1"/>
  <c r="AS552" i="1"/>
  <c r="AX538" i="1"/>
  <c r="AW538" i="1"/>
  <c r="BJ537" i="1"/>
  <c r="AR532" i="1"/>
  <c r="AR531" i="1" s="1"/>
  <c r="AI536" i="1"/>
  <c r="AW529" i="1"/>
  <c r="AX529" i="1"/>
  <c r="AX519" i="1"/>
  <c r="AW519" i="1"/>
  <c r="BJ552" i="1"/>
  <c r="BG532" i="1"/>
  <c r="BG531" i="1" s="1"/>
  <c r="BT526" i="1"/>
  <c r="BO526" i="1"/>
  <c r="BQ526" i="1" s="1"/>
  <c r="AW525" i="1"/>
  <c r="AX525" i="1"/>
  <c r="AI504" i="1"/>
  <c r="AS504" i="1" s="1"/>
  <c r="BT537" i="1"/>
  <c r="AG516" i="1"/>
  <c r="BJ511" i="1"/>
  <c r="AI507" i="1"/>
  <c r="AI502" i="1"/>
  <c r="AW501" i="1"/>
  <c r="AX501" i="1"/>
  <c r="AX498" i="1"/>
  <c r="AW498" i="1"/>
  <c r="BT539" i="1"/>
  <c r="BJ515" i="1"/>
  <c r="BT513" i="1"/>
  <c r="BO510" i="1"/>
  <c r="BQ510" i="1" s="1"/>
  <c r="BT501" i="1"/>
  <c r="AX480" i="1"/>
  <c r="AW480" i="1"/>
  <c r="AX460" i="1"/>
  <c r="AW460" i="1"/>
  <c r="BQ488" i="1"/>
  <c r="AX471" i="1"/>
  <c r="AW471" i="1"/>
  <c r="BP517" i="1"/>
  <c r="BP516" i="1" s="1"/>
  <c r="BS516" i="1"/>
  <c r="BT506" i="1"/>
  <c r="BT486" i="1"/>
  <c r="BO486" i="1"/>
  <c r="BQ486" i="1" s="1"/>
  <c r="BJ485" i="1"/>
  <c r="BT446" i="1"/>
  <c r="AX439" i="1"/>
  <c r="AW439" i="1"/>
  <c r="BT463" i="1"/>
  <c r="BO463" i="1"/>
  <c r="BQ463" i="1" s="1"/>
  <c r="AW462" i="1"/>
  <c r="AX462" i="1"/>
  <c r="AX455" i="1"/>
  <c r="AW455" i="1"/>
  <c r="BP429" i="1"/>
  <c r="BQ429" i="1" s="1"/>
  <c r="BT429" i="1"/>
  <c r="AW404" i="1"/>
  <c r="AX404" i="1"/>
  <c r="BT397" i="1"/>
  <c r="BO397" i="1"/>
  <c r="BQ397" i="1" s="1"/>
  <c r="AX526" i="1"/>
  <c r="AW526" i="1"/>
  <c r="AX504" i="1"/>
  <c r="AW504" i="1"/>
  <c r="AX475" i="1"/>
  <c r="AW475" i="1"/>
  <c r="BT507" i="1"/>
  <c r="BO507" i="1"/>
  <c r="BQ507" i="1" s="1"/>
  <c r="AX502" i="1"/>
  <c r="AW502" i="1"/>
  <c r="AX518" i="1"/>
  <c r="AW518" i="1"/>
  <c r="AS513" i="1"/>
  <c r="BJ513" i="1"/>
  <c r="AL510" i="1"/>
  <c r="AW506" i="1"/>
  <c r="AX506" i="1"/>
  <c r="BT494" i="1"/>
  <c r="BO494" i="1"/>
  <c r="BQ494" i="1" s="1"/>
  <c r="AW492" i="1"/>
  <c r="AX492" i="1"/>
  <c r="AS488" i="1"/>
  <c r="BJ488" i="1"/>
  <c r="BT484" i="1"/>
  <c r="BO484" i="1"/>
  <c r="BQ484" i="1" s="1"/>
  <c r="AW483" i="1"/>
  <c r="AX483" i="1"/>
  <c r="AX456" i="1"/>
  <c r="AW456" i="1"/>
  <c r="AX444" i="1"/>
  <c r="AW444" i="1"/>
  <c r="AS489" i="1"/>
  <c r="BJ489" i="1"/>
  <c r="BT474" i="1"/>
  <c r="AS470" i="1"/>
  <c r="AS453" i="1"/>
  <c r="BJ453" i="1"/>
  <c r="BT451" i="1"/>
  <c r="BO451" i="1"/>
  <c r="BQ451" i="1" s="1"/>
  <c r="AW432" i="1"/>
  <c r="AX432" i="1"/>
  <c r="BI519" i="1"/>
  <c r="BJ519" i="1" s="1"/>
  <c r="BG516" i="1"/>
  <c r="BJ475" i="1"/>
  <c r="BJ473" i="1"/>
  <c r="AW412" i="1"/>
  <c r="AX412" i="1"/>
  <c r="BT405" i="1"/>
  <c r="BO405" i="1"/>
  <c r="BQ405" i="1" s="1"/>
  <c r="AV201" i="1"/>
  <c r="AV193" i="1" s="1"/>
  <c r="BA193" i="1"/>
  <c r="BJ468" i="1"/>
  <c r="BT454" i="1"/>
  <c r="BT447" i="1"/>
  <c r="BO447" i="1"/>
  <c r="BQ447" i="1" s="1"/>
  <c r="AW429" i="1"/>
  <c r="AX429" i="1"/>
  <c r="AW416" i="1"/>
  <c r="AX416" i="1"/>
  <c r="BT409" i="1"/>
  <c r="BO409" i="1"/>
  <c r="BQ409" i="1" s="1"/>
  <c r="AW408" i="1"/>
  <c r="AX408" i="1"/>
  <c r="BT401" i="1"/>
  <c r="BO401" i="1"/>
  <c r="BQ401" i="1" s="1"/>
  <c r="AW400" i="1"/>
  <c r="AX400" i="1"/>
  <c r="BT393" i="1"/>
  <c r="BO393" i="1"/>
  <c r="BQ393" i="1" s="1"/>
  <c r="AW392" i="1"/>
  <c r="AX392" i="1"/>
  <c r="AX386" i="1"/>
  <c r="AW386" i="1"/>
  <c r="BT435" i="1"/>
  <c r="BO435" i="1"/>
  <c r="BQ435" i="1" s="1"/>
  <c r="AW420" i="1"/>
  <c r="AX420" i="1"/>
  <c r="BT417" i="1"/>
  <c r="BP417" i="1"/>
  <c r="BQ417" i="1" s="1"/>
  <c r="BT465" i="1"/>
  <c r="BQ450" i="1"/>
  <c r="AX443" i="1"/>
  <c r="AW443" i="1"/>
  <c r="AI370" i="1"/>
  <c r="AS370" i="1" s="1"/>
  <c r="AI362" i="1"/>
  <c r="AS362" i="1" s="1"/>
  <c r="AI354" i="1"/>
  <c r="AS354" i="1" s="1"/>
  <c r="AI346" i="1"/>
  <c r="AS346" i="1" s="1"/>
  <c r="BQ418" i="1"/>
  <c r="BJ408" i="1"/>
  <c r="BQ402" i="1"/>
  <c r="AS385" i="1"/>
  <c r="AX378" i="1"/>
  <c r="AW378" i="1"/>
  <c r="BO323" i="1"/>
  <c r="BQ323" i="1" s="1"/>
  <c r="BT323" i="1"/>
  <c r="AI319" i="1"/>
  <c r="AS319" i="1" s="1"/>
  <c r="AI301" i="1"/>
  <c r="AS301" i="1" s="1"/>
  <c r="AX411" i="1"/>
  <c r="AW411" i="1"/>
  <c r="AS407" i="1"/>
  <c r="BT403" i="1"/>
  <c r="BO403" i="1"/>
  <c r="BQ403" i="1" s="1"/>
  <c r="AX395" i="1"/>
  <c r="AW395" i="1"/>
  <c r="AS391" i="1"/>
  <c r="BJ374" i="1"/>
  <c r="BJ370" i="1"/>
  <c r="BJ366" i="1"/>
  <c r="BJ358" i="1"/>
  <c r="BJ350" i="1"/>
  <c r="BJ346" i="1"/>
  <c r="BJ329" i="1"/>
  <c r="BT380" i="1"/>
  <c r="BO380" i="1"/>
  <c r="BQ380" i="1" s="1"/>
  <c r="BJ376" i="1"/>
  <c r="AX369" i="1"/>
  <c r="AW369" i="1"/>
  <c r="BT361" i="1"/>
  <c r="BO361" i="1"/>
  <c r="BQ361" i="1" s="1"/>
  <c r="AI353" i="1"/>
  <c r="BJ344" i="1"/>
  <c r="BJ336" i="1"/>
  <c r="BJ323" i="1"/>
  <c r="AS209" i="1"/>
  <c r="BJ347" i="1"/>
  <c r="AW340" i="1"/>
  <c r="AX340" i="1"/>
  <c r="AS334" i="1"/>
  <c r="AI330" i="1"/>
  <c r="AS330" i="1" s="1"/>
  <c r="AW329" i="1"/>
  <c r="AX329" i="1"/>
  <c r="AX326" i="1"/>
  <c r="AW326" i="1"/>
  <c r="AI322" i="1"/>
  <c r="AS322" i="1" s="1"/>
  <c r="AW321" i="1"/>
  <c r="AX321" i="1"/>
  <c r="AX318" i="1"/>
  <c r="AW318" i="1"/>
  <c r="AX304" i="1"/>
  <c r="AW304" i="1"/>
  <c r="BP303" i="1"/>
  <c r="BQ303" i="1" s="1"/>
  <c r="BT303" i="1"/>
  <c r="BJ293" i="1"/>
  <c r="BO288" i="1"/>
  <c r="BQ288" i="1" s="1"/>
  <c r="BT288" i="1"/>
  <c r="AI284" i="1"/>
  <c r="AS284" i="1" s="1"/>
  <c r="BO263" i="1"/>
  <c r="BQ263" i="1" s="1"/>
  <c r="BT263" i="1"/>
  <c r="AI259" i="1"/>
  <c r="AS259" i="1" s="1"/>
  <c r="BO247" i="1"/>
  <c r="BQ247" i="1" s="1"/>
  <c r="BT247" i="1"/>
  <c r="AI243" i="1"/>
  <c r="AS243" i="1" s="1"/>
  <c r="BO231" i="1"/>
  <c r="BQ231" i="1" s="1"/>
  <c r="BT231" i="1"/>
  <c r="AI227" i="1"/>
  <c r="AS227" i="1" s="1"/>
  <c r="BO205" i="1"/>
  <c r="BQ205" i="1" s="1"/>
  <c r="BT205" i="1"/>
  <c r="AP193" i="1"/>
  <c r="AP30" i="1" s="1"/>
  <c r="AP8" i="1" s="1"/>
  <c r="AI190" i="1"/>
  <c r="AS190" i="1" s="1"/>
  <c r="BO379" i="1"/>
  <c r="BQ379" i="1" s="1"/>
  <c r="BT379" i="1"/>
  <c r="BJ372" i="1"/>
  <c r="AX365" i="1"/>
  <c r="AW365" i="1"/>
  <c r="BT357" i="1"/>
  <c r="BO357" i="1"/>
  <c r="BQ357" i="1" s="1"/>
  <c r="AI349" i="1"/>
  <c r="AI311" i="1"/>
  <c r="AS311" i="1" s="1"/>
  <c r="AW310" i="1"/>
  <c r="AX310" i="1"/>
  <c r="AX307" i="1"/>
  <c r="AW307" i="1"/>
  <c r="AI300" i="1"/>
  <c r="AS300" i="1" s="1"/>
  <c r="AW299" i="1"/>
  <c r="AX299" i="1"/>
  <c r="AX296" i="1"/>
  <c r="AW296" i="1"/>
  <c r="BT292" i="1"/>
  <c r="BO292" i="1"/>
  <c r="BQ292" i="1" s="1"/>
  <c r="BJ187" i="1"/>
  <c r="BJ328" i="1"/>
  <c r="BT321" i="1"/>
  <c r="BT314" i="1"/>
  <c r="BO314" i="1"/>
  <c r="BQ314" i="1" s="1"/>
  <c r="AX219" i="1"/>
  <c r="AW219" i="1"/>
  <c r="BH197" i="1"/>
  <c r="BI199" i="1"/>
  <c r="BH194" i="1"/>
  <c r="AW187" i="1"/>
  <c r="AX187" i="1"/>
  <c r="AX182" i="1"/>
  <c r="AW182" i="1"/>
  <c r="BJ351" i="1"/>
  <c r="BJ324" i="1"/>
  <c r="BT317" i="1"/>
  <c r="BJ267" i="1"/>
  <c r="BJ211" i="1"/>
  <c r="BT210" i="1"/>
  <c r="BO210" i="1"/>
  <c r="BQ210" i="1" s="1"/>
  <c r="AX186" i="1"/>
  <c r="AW186" i="1"/>
  <c r="AW181" i="1"/>
  <c r="AX181" i="1"/>
  <c r="BO148" i="1"/>
  <c r="BQ148" i="1" s="1"/>
  <c r="BT148" i="1"/>
  <c r="BO132" i="1"/>
  <c r="BQ132" i="1" s="1"/>
  <c r="BT132" i="1"/>
  <c r="BO116" i="1"/>
  <c r="BQ116" i="1" s="1"/>
  <c r="BT116" i="1"/>
  <c r="BO93" i="1"/>
  <c r="BQ93" i="1" s="1"/>
  <c r="BT93" i="1"/>
  <c r="BJ359" i="1"/>
  <c r="AI287" i="1"/>
  <c r="AS287" i="1" s="1"/>
  <c r="AW286" i="1"/>
  <c r="AX286" i="1"/>
  <c r="AX283" i="1"/>
  <c r="AW283" i="1"/>
  <c r="AI279" i="1"/>
  <c r="AS279" i="1" s="1"/>
  <c r="BI277" i="1"/>
  <c r="BT262" i="1"/>
  <c r="BO262" i="1"/>
  <c r="BQ262" i="1" s="1"/>
  <c r="BT254" i="1"/>
  <c r="BO254" i="1"/>
  <c r="BQ254" i="1" s="1"/>
  <c r="BT246" i="1"/>
  <c r="BO246" i="1"/>
  <c r="BQ246" i="1" s="1"/>
  <c r="BT238" i="1"/>
  <c r="BO238" i="1"/>
  <c r="BQ238" i="1" s="1"/>
  <c r="BT230" i="1"/>
  <c r="BO230" i="1"/>
  <c r="BQ230" i="1" s="1"/>
  <c r="BT222" i="1"/>
  <c r="BO222" i="1"/>
  <c r="BQ222" i="1" s="1"/>
  <c r="AX215" i="1"/>
  <c r="AW215" i="1"/>
  <c r="BJ209" i="1"/>
  <c r="BT208" i="1"/>
  <c r="BO208" i="1"/>
  <c r="BQ208" i="1" s="1"/>
  <c r="BT204" i="1"/>
  <c r="BO204" i="1"/>
  <c r="BQ204" i="1" s="1"/>
  <c r="AW203" i="1"/>
  <c r="AX203" i="1"/>
  <c r="BQ189" i="1"/>
  <c r="AS184" i="1"/>
  <c r="AW92" i="1"/>
  <c r="AX92" i="1"/>
  <c r="AI213" i="1"/>
  <c r="AS213" i="1" s="1"/>
  <c r="I201" i="1"/>
  <c r="I193" i="1" s="1"/>
  <c r="BT199" i="1"/>
  <c r="BO199" i="1"/>
  <c r="BQ199" i="1" s="1"/>
  <c r="BJ186" i="1"/>
  <c r="BJ180" i="1"/>
  <c r="AX175" i="1"/>
  <c r="AW175" i="1"/>
  <c r="AX167" i="1"/>
  <c r="AW167" i="1"/>
  <c r="BH164" i="1"/>
  <c r="AQ67" i="1"/>
  <c r="AQ66" i="1" s="1"/>
  <c r="BJ160" i="1"/>
  <c r="BJ152" i="1"/>
  <c r="BJ144" i="1"/>
  <c r="AX119" i="1"/>
  <c r="AW119" i="1"/>
  <c r="BT104" i="1"/>
  <c r="BO104" i="1"/>
  <c r="BQ104" i="1" s="1"/>
  <c r="BP103" i="1"/>
  <c r="BT103" i="1"/>
  <c r="AS85" i="1"/>
  <c r="BJ85" i="1"/>
  <c r="AS24" i="1"/>
  <c r="BJ24" i="1"/>
  <c r="BJ332" i="1"/>
  <c r="AX276" i="1"/>
  <c r="AW276" i="1"/>
  <c r="AX196" i="1"/>
  <c r="AW196" i="1"/>
  <c r="BT179" i="1"/>
  <c r="BO179" i="1"/>
  <c r="BQ179" i="1" s="1"/>
  <c r="AI169" i="1"/>
  <c r="AS169" i="1" s="1"/>
  <c r="AX163" i="1"/>
  <c r="AW163" i="1"/>
  <c r="BT115" i="1"/>
  <c r="BO115" i="1"/>
  <c r="BQ115" i="1" s="1"/>
  <c r="AI107" i="1"/>
  <c r="AS107" i="1" s="1"/>
  <c r="AW106" i="1"/>
  <c r="AX106" i="1"/>
  <c r="AI100" i="1"/>
  <c r="BP99" i="1"/>
  <c r="BQ99" i="1" s="1"/>
  <c r="BT99" i="1"/>
  <c r="BT96" i="1"/>
  <c r="BO96" i="1"/>
  <c r="BQ96" i="1" s="1"/>
  <c r="BQ92" i="1"/>
  <c r="AI89" i="1"/>
  <c r="BP88" i="1"/>
  <c r="BT88" i="1"/>
  <c r="BO82" i="1"/>
  <c r="BQ82" i="1" s="1"/>
  <c r="BT82" i="1"/>
  <c r="AI75" i="1"/>
  <c r="AS75" i="1" s="1"/>
  <c r="BO71" i="1"/>
  <c r="BQ71" i="1" s="1"/>
  <c r="BT71" i="1"/>
  <c r="BO63" i="1"/>
  <c r="BQ63" i="1" s="1"/>
  <c r="BT63" i="1"/>
  <c r="AI54" i="1"/>
  <c r="AS51" i="1"/>
  <c r="BJ51" i="1"/>
  <c r="BJ256" i="1"/>
  <c r="BT114" i="1"/>
  <c r="BJ56" i="1"/>
  <c r="BG11" i="1"/>
  <c r="BG10" i="1" s="1"/>
  <c r="BG9" i="1" s="1"/>
  <c r="BI12" i="1"/>
  <c r="AH11" i="1"/>
  <c r="AH10" i="1" s="1"/>
  <c r="AH9" i="1" s="1"/>
  <c r="AS463" i="1"/>
  <c r="BT455" i="1"/>
  <c r="BO455" i="1"/>
  <c r="BQ455" i="1" s="1"/>
  <c r="AW454" i="1"/>
  <c r="AX454" i="1"/>
  <c r="AX447" i="1"/>
  <c r="AW447" i="1"/>
  <c r="AX428" i="1"/>
  <c r="AW428" i="1"/>
  <c r="BP425" i="1"/>
  <c r="BQ425" i="1" s="1"/>
  <c r="BT425" i="1"/>
  <c r="BP416" i="1"/>
  <c r="BQ416" i="1" s="1"/>
  <c r="BT416" i="1"/>
  <c r="BP408" i="1"/>
  <c r="BQ408" i="1" s="1"/>
  <c r="BT408" i="1"/>
  <c r="BP400" i="1"/>
  <c r="BQ400" i="1" s="1"/>
  <c r="BT400" i="1"/>
  <c r="BP392" i="1"/>
  <c r="BQ392" i="1" s="1"/>
  <c r="BT392" i="1"/>
  <c r="AX435" i="1"/>
  <c r="AW435" i="1"/>
  <c r="AS431" i="1"/>
  <c r="AW426" i="1"/>
  <c r="AX426" i="1"/>
  <c r="BO387" i="1"/>
  <c r="BQ387" i="1" s="1"/>
  <c r="BT387" i="1"/>
  <c r="BQ442" i="1"/>
  <c r="AX433" i="1"/>
  <c r="AW433" i="1"/>
  <c r="BO374" i="1"/>
  <c r="BQ374" i="1" s="1"/>
  <c r="BT374" i="1"/>
  <c r="BO370" i="1"/>
  <c r="BQ370" i="1" s="1"/>
  <c r="BT370" i="1"/>
  <c r="BO366" i="1"/>
  <c r="BQ366" i="1" s="1"/>
  <c r="BT366" i="1"/>
  <c r="BO362" i="1"/>
  <c r="BQ362" i="1" s="1"/>
  <c r="BT362" i="1"/>
  <c r="BO358" i="1"/>
  <c r="BQ358" i="1" s="1"/>
  <c r="BT358" i="1"/>
  <c r="BO354" i="1"/>
  <c r="BQ354" i="1" s="1"/>
  <c r="BT354" i="1"/>
  <c r="BO350" i="1"/>
  <c r="BQ350" i="1" s="1"/>
  <c r="BT350" i="1"/>
  <c r="BO346" i="1"/>
  <c r="BQ346" i="1" s="1"/>
  <c r="BT346" i="1"/>
  <c r="AX342" i="1"/>
  <c r="AW342" i="1"/>
  <c r="AX338" i="1"/>
  <c r="AW338" i="1"/>
  <c r="AX334" i="1"/>
  <c r="AW334" i="1"/>
  <c r="BJ420" i="1"/>
  <c r="BJ404" i="1"/>
  <c r="BJ388" i="1"/>
  <c r="BJ385" i="1"/>
  <c r="AS382" i="1"/>
  <c r="BT378" i="1"/>
  <c r="BO378" i="1"/>
  <c r="BQ378" i="1" s="1"/>
  <c r="BT335" i="1"/>
  <c r="BO335" i="1"/>
  <c r="BQ335" i="1" s="1"/>
  <c r="BO327" i="1"/>
  <c r="BQ327" i="1" s="1"/>
  <c r="BT327" i="1"/>
  <c r="BO293" i="1"/>
  <c r="BQ293" i="1" s="1"/>
  <c r="BT293" i="1"/>
  <c r="BQ424" i="1"/>
  <c r="AX419" i="1"/>
  <c r="AW419" i="1"/>
  <c r="AW418" i="1"/>
  <c r="AX418" i="1"/>
  <c r="AX415" i="1"/>
  <c r="AW415" i="1"/>
  <c r="AS411" i="1"/>
  <c r="BT407" i="1"/>
  <c r="BO407" i="1"/>
  <c r="BQ407" i="1" s="1"/>
  <c r="AX399" i="1"/>
  <c r="AW399" i="1"/>
  <c r="AS395" i="1"/>
  <c r="BT391" i="1"/>
  <c r="BO391" i="1"/>
  <c r="BQ391" i="1" s="1"/>
  <c r="BJ325" i="1"/>
  <c r="BJ310" i="1"/>
  <c r="BJ295" i="1"/>
  <c r="AI377" i="1"/>
  <c r="BJ368" i="1"/>
  <c r="AX361" i="1"/>
  <c r="AW361" i="1"/>
  <c r="BT353" i="1"/>
  <c r="BO353" i="1"/>
  <c r="BQ353" i="1" s="1"/>
  <c r="AI345" i="1"/>
  <c r="BJ327" i="1"/>
  <c r="AZ193" i="1"/>
  <c r="AZ30" i="1" s="1"/>
  <c r="AZ8" i="1" s="1"/>
  <c r="BJ371" i="1"/>
  <c r="BJ342" i="1"/>
  <c r="AW336" i="1"/>
  <c r="AX336" i="1"/>
  <c r="BT330" i="1"/>
  <c r="BO330" i="1"/>
  <c r="BQ330" i="1" s="1"/>
  <c r="BT322" i="1"/>
  <c r="BO322" i="1"/>
  <c r="BQ322" i="1" s="1"/>
  <c r="BJ315" i="1"/>
  <c r="BJ308" i="1"/>
  <c r="BO304" i="1"/>
  <c r="BQ304" i="1" s="1"/>
  <c r="BT304" i="1"/>
  <c r="AI288" i="1"/>
  <c r="AS288" i="1" s="1"/>
  <c r="BO273" i="1"/>
  <c r="BQ273" i="1" s="1"/>
  <c r="BT273" i="1"/>
  <c r="BO267" i="1"/>
  <c r="BQ267" i="1" s="1"/>
  <c r="BT267" i="1"/>
  <c r="AI263" i="1"/>
  <c r="AS263" i="1" s="1"/>
  <c r="BO251" i="1"/>
  <c r="BQ251" i="1" s="1"/>
  <c r="BT251" i="1"/>
  <c r="AI247" i="1"/>
  <c r="AS247" i="1" s="1"/>
  <c r="BO235" i="1"/>
  <c r="BQ235" i="1" s="1"/>
  <c r="BT235" i="1"/>
  <c r="AI231" i="1"/>
  <c r="AS231" i="1" s="1"/>
  <c r="AI205" i="1"/>
  <c r="AS205" i="1" s="1"/>
  <c r="BO188" i="1"/>
  <c r="BQ188" i="1" s="1"/>
  <c r="BT188" i="1"/>
  <c r="AI379" i="1"/>
  <c r="AI373" i="1"/>
  <c r="BJ364" i="1"/>
  <c r="AX357" i="1"/>
  <c r="AW357" i="1"/>
  <c r="BT349" i="1"/>
  <c r="BO349" i="1"/>
  <c r="BQ349" i="1" s="1"/>
  <c r="AX311" i="1"/>
  <c r="AW311" i="1"/>
  <c r="BT300" i="1"/>
  <c r="BO300" i="1"/>
  <c r="BQ300" i="1" s="1"/>
  <c r="AX292" i="1"/>
  <c r="AW292" i="1"/>
  <c r="BJ269" i="1"/>
  <c r="BJ253" i="1"/>
  <c r="BJ237" i="1"/>
  <c r="BJ221" i="1"/>
  <c r="BI198" i="1"/>
  <c r="BG197" i="1"/>
  <c r="AX314" i="1"/>
  <c r="AW314" i="1"/>
  <c r="BQ278" i="1"/>
  <c r="AL220" i="1"/>
  <c r="BS220" i="1"/>
  <c r="AH220" i="1"/>
  <c r="AI220" i="1" s="1"/>
  <c r="AS220" i="1" s="1"/>
  <c r="U193" i="1"/>
  <c r="U30" i="1" s="1"/>
  <c r="U8" i="1" s="1"/>
  <c r="AG197" i="1"/>
  <c r="BT338" i="1"/>
  <c r="BQ333" i="1"/>
  <c r="BH270" i="1"/>
  <c r="BI270" i="1" s="1"/>
  <c r="BJ270" i="1" s="1"/>
  <c r="AQ201" i="1"/>
  <c r="AQ193" i="1" s="1"/>
  <c r="AI217" i="1"/>
  <c r="AS217" i="1" s="1"/>
  <c r="AX210" i="1"/>
  <c r="AW210" i="1"/>
  <c r="K201" i="1"/>
  <c r="K193" i="1" s="1"/>
  <c r="AS195" i="1"/>
  <c r="BT186" i="1"/>
  <c r="BO186" i="1"/>
  <c r="BQ186" i="1" s="1"/>
  <c r="BO177" i="1"/>
  <c r="BQ177" i="1" s="1"/>
  <c r="BT177" i="1"/>
  <c r="BO152" i="1"/>
  <c r="BQ152" i="1" s="1"/>
  <c r="BT152" i="1"/>
  <c r="BO136" i="1"/>
  <c r="BQ136" i="1" s="1"/>
  <c r="BT136" i="1"/>
  <c r="AI132" i="1"/>
  <c r="AS132" i="1" s="1"/>
  <c r="BO120" i="1"/>
  <c r="BQ120" i="1" s="1"/>
  <c r="BT120" i="1"/>
  <c r="AI116" i="1"/>
  <c r="AS116" i="1" s="1"/>
  <c r="BO97" i="1"/>
  <c r="BQ97" i="1" s="1"/>
  <c r="BT97" i="1"/>
  <c r="BO86" i="1"/>
  <c r="BQ86" i="1" s="1"/>
  <c r="BT86" i="1"/>
  <c r="BJ320" i="1"/>
  <c r="BT287" i="1"/>
  <c r="BO287" i="1"/>
  <c r="BQ287" i="1" s="1"/>
  <c r="BT279" i="1"/>
  <c r="BO279" i="1"/>
  <c r="BQ279" i="1" s="1"/>
  <c r="AR270" i="1"/>
  <c r="AS270" i="1" s="1"/>
  <c r="AI266" i="1"/>
  <c r="AS266" i="1" s="1"/>
  <c r="AW265" i="1"/>
  <c r="AX265" i="1"/>
  <c r="AX262" i="1"/>
  <c r="AW262" i="1"/>
  <c r="AI258" i="1"/>
  <c r="AS258" i="1" s="1"/>
  <c r="AW257" i="1"/>
  <c r="AX257" i="1"/>
  <c r="AX254" i="1"/>
  <c r="AW254" i="1"/>
  <c r="AI250" i="1"/>
  <c r="AS250" i="1" s="1"/>
  <c r="AW249" i="1"/>
  <c r="AX249" i="1"/>
  <c r="AX246" i="1"/>
  <c r="AW246" i="1"/>
  <c r="AI242" i="1"/>
  <c r="AS242" i="1" s="1"/>
  <c r="AW241" i="1"/>
  <c r="AX241" i="1"/>
  <c r="AX238" i="1"/>
  <c r="AW238" i="1"/>
  <c r="AI234" i="1"/>
  <c r="AS234" i="1" s="1"/>
  <c r="AW233" i="1"/>
  <c r="AX233" i="1"/>
  <c r="AX230" i="1"/>
  <c r="AW230" i="1"/>
  <c r="AI226" i="1"/>
  <c r="AS226" i="1" s="1"/>
  <c r="AW225" i="1"/>
  <c r="AX225" i="1"/>
  <c r="AX222" i="1"/>
  <c r="AW222" i="1"/>
  <c r="AX208" i="1"/>
  <c r="AW208" i="1"/>
  <c r="AX204" i="1"/>
  <c r="AW204" i="1"/>
  <c r="K192" i="1"/>
  <c r="K67" i="1" s="1"/>
  <c r="K66" i="1" s="1"/>
  <c r="BT189" i="1"/>
  <c r="BQ187" i="1"/>
  <c r="AX184" i="1"/>
  <c r="AW184" i="1"/>
  <c r="BJ126" i="1"/>
  <c r="BJ294" i="1"/>
  <c r="BJ258" i="1"/>
  <c r="BJ250" i="1"/>
  <c r="BJ228" i="1"/>
  <c r="BT213" i="1"/>
  <c r="BO213" i="1"/>
  <c r="BQ213" i="1" s="1"/>
  <c r="BJ206" i="1"/>
  <c r="AX199" i="1"/>
  <c r="AW199" i="1"/>
  <c r="BJ177" i="1"/>
  <c r="AV67" i="1"/>
  <c r="AV66" i="1" s="1"/>
  <c r="AI127" i="1"/>
  <c r="AS127" i="1" s="1"/>
  <c r="AW126" i="1"/>
  <c r="AX126" i="1"/>
  <c r="AX104" i="1"/>
  <c r="AW104" i="1"/>
  <c r="AS72" i="1"/>
  <c r="BJ72" i="1"/>
  <c r="BJ287" i="1"/>
  <c r="BJ248" i="1"/>
  <c r="BJ200" i="1"/>
  <c r="AJ193" i="1"/>
  <c r="BT169" i="1"/>
  <c r="BO169" i="1"/>
  <c r="BQ169" i="1" s="1"/>
  <c r="AI135" i="1"/>
  <c r="AS135" i="1" s="1"/>
  <c r="AW134" i="1"/>
  <c r="AX134" i="1"/>
  <c r="AX115" i="1"/>
  <c r="AW115" i="1"/>
  <c r="BT107" i="1"/>
  <c r="BO107" i="1"/>
  <c r="BQ107" i="1" s="1"/>
  <c r="BP106" i="1"/>
  <c r="BT106" i="1"/>
  <c r="BT100" i="1"/>
  <c r="BO100" i="1"/>
  <c r="BQ100" i="1" s="1"/>
  <c r="AX96" i="1"/>
  <c r="AW96" i="1"/>
  <c r="BT92" i="1"/>
  <c r="BT89" i="1"/>
  <c r="BO89" i="1"/>
  <c r="BQ89" i="1" s="1"/>
  <c r="BO78" i="1"/>
  <c r="BQ78" i="1" s="1"/>
  <c r="BT78" i="1"/>
  <c r="I67" i="1"/>
  <c r="I66" i="1" s="1"/>
  <c r="BO49" i="1"/>
  <c r="BQ49" i="1" s="1"/>
  <c r="BT49" i="1"/>
  <c r="BO46" i="1"/>
  <c r="BQ46" i="1" s="1"/>
  <c r="BT46" i="1"/>
  <c r="AH548" i="1"/>
  <c r="AH547" i="1" s="1"/>
  <c r="AI549" i="1"/>
  <c r="BJ75" i="1"/>
  <c r="BT431" i="1"/>
  <c r="BO431" i="1"/>
  <c r="BQ431" i="1" s="1"/>
  <c r="BJ430" i="1"/>
  <c r="BT426" i="1"/>
  <c r="BP426" i="1"/>
  <c r="BQ426" i="1" s="1"/>
  <c r="BJ463" i="1"/>
  <c r="AS443" i="1"/>
  <c r="BT433" i="1"/>
  <c r="BO433" i="1"/>
  <c r="BQ433" i="1" s="1"/>
  <c r="BT428" i="1"/>
  <c r="BO428" i="1"/>
  <c r="BQ428" i="1" s="1"/>
  <c r="BT423" i="1"/>
  <c r="BO423" i="1"/>
  <c r="BQ423" i="1" s="1"/>
  <c r="BJ386" i="1"/>
  <c r="AX374" i="1"/>
  <c r="AW374" i="1"/>
  <c r="AX370" i="1"/>
  <c r="AW370" i="1"/>
  <c r="AX366" i="1"/>
  <c r="AW366" i="1"/>
  <c r="AX362" i="1"/>
  <c r="AW362" i="1"/>
  <c r="AX358" i="1"/>
  <c r="AW358" i="1"/>
  <c r="AX354" i="1"/>
  <c r="AW354" i="1"/>
  <c r="AX350" i="1"/>
  <c r="AW350" i="1"/>
  <c r="AX346" i="1"/>
  <c r="AW346" i="1"/>
  <c r="BJ429" i="1"/>
  <c r="BJ425" i="1"/>
  <c r="AX382" i="1"/>
  <c r="AW382" i="1"/>
  <c r="BT339" i="1"/>
  <c r="BO339" i="1"/>
  <c r="BQ339" i="1" s="1"/>
  <c r="BO331" i="1"/>
  <c r="BQ331" i="1" s="1"/>
  <c r="BT331" i="1"/>
  <c r="BO315" i="1"/>
  <c r="BQ315" i="1" s="1"/>
  <c r="BT315" i="1"/>
  <c r="BO297" i="1"/>
  <c r="BQ297" i="1" s="1"/>
  <c r="BT297" i="1"/>
  <c r="AS415" i="1"/>
  <c r="BT411" i="1"/>
  <c r="BO411" i="1"/>
  <c r="BQ411" i="1" s="1"/>
  <c r="AX403" i="1"/>
  <c r="AW403" i="1"/>
  <c r="AS399" i="1"/>
  <c r="BT395" i="1"/>
  <c r="BO395" i="1"/>
  <c r="BQ395" i="1" s="1"/>
  <c r="BJ387" i="1"/>
  <c r="BJ321" i="1"/>
  <c r="BJ431" i="1"/>
  <c r="AX380" i="1"/>
  <c r="AW380" i="1"/>
  <c r="BT377" i="1"/>
  <c r="BO377" i="1"/>
  <c r="BQ377" i="1" s="1"/>
  <c r="AX353" i="1"/>
  <c r="AW353" i="1"/>
  <c r="BT345" i="1"/>
  <c r="BO345" i="1"/>
  <c r="BQ345" i="1" s="1"/>
  <c r="AX270" i="1"/>
  <c r="AW270" i="1"/>
  <c r="BJ363" i="1"/>
  <c r="AS342" i="1"/>
  <c r="AW333" i="1"/>
  <c r="AX333" i="1"/>
  <c r="AX330" i="1"/>
  <c r="AW330" i="1"/>
  <c r="AI326" i="1"/>
  <c r="AS326" i="1" s="1"/>
  <c r="AW325" i="1"/>
  <c r="AX325" i="1"/>
  <c r="AX322" i="1"/>
  <c r="AW322" i="1"/>
  <c r="AI318" i="1"/>
  <c r="AS318" i="1" s="1"/>
  <c r="AW317" i="1"/>
  <c r="AX317" i="1"/>
  <c r="BO280" i="1"/>
  <c r="BQ280" i="1" s="1"/>
  <c r="BT280" i="1"/>
  <c r="BO277" i="1"/>
  <c r="BQ277" i="1" s="1"/>
  <c r="BT277" i="1"/>
  <c r="BO255" i="1"/>
  <c r="BQ255" i="1" s="1"/>
  <c r="BT255" i="1"/>
  <c r="BO239" i="1"/>
  <c r="BQ239" i="1" s="1"/>
  <c r="BT239" i="1"/>
  <c r="BO223" i="1"/>
  <c r="BQ223" i="1" s="1"/>
  <c r="BT223" i="1"/>
  <c r="BJ381" i="1"/>
  <c r="AW379" i="1"/>
  <c r="AX379" i="1"/>
  <c r="BT373" i="1"/>
  <c r="BO373" i="1"/>
  <c r="BQ373" i="1" s="1"/>
  <c r="AI365" i="1"/>
  <c r="BJ356" i="1"/>
  <c r="AX349" i="1"/>
  <c r="AW349" i="1"/>
  <c r="BO311" i="1"/>
  <c r="BQ311" i="1" s="1"/>
  <c r="BT311" i="1"/>
  <c r="AI307" i="1"/>
  <c r="AS307" i="1" s="1"/>
  <c r="AW306" i="1"/>
  <c r="AX306" i="1"/>
  <c r="AX300" i="1"/>
  <c r="AW300" i="1"/>
  <c r="AI296" i="1"/>
  <c r="AS296" i="1" s="1"/>
  <c r="AW295" i="1"/>
  <c r="AX295" i="1"/>
  <c r="BI195" i="1"/>
  <c r="BG194" i="1"/>
  <c r="BJ343" i="1"/>
  <c r="AI219" i="1"/>
  <c r="AS219" i="1" s="1"/>
  <c r="BJ188" i="1"/>
  <c r="AX185" i="1"/>
  <c r="AW185" i="1"/>
  <c r="AI182" i="1"/>
  <c r="AS182" i="1" s="1"/>
  <c r="AX164" i="1"/>
  <c r="AW164" i="1"/>
  <c r="BQ338" i="1"/>
  <c r="BT333" i="1"/>
  <c r="BJ274" i="1"/>
  <c r="BJ259" i="1"/>
  <c r="BJ243" i="1"/>
  <c r="BJ218" i="1"/>
  <c r="BT217" i="1"/>
  <c r="BO217" i="1"/>
  <c r="BQ217" i="1" s="1"/>
  <c r="AL192" i="1"/>
  <c r="BS192" i="1"/>
  <c r="AH192" i="1"/>
  <c r="AH67" i="1" s="1"/>
  <c r="AH66" i="1" s="1"/>
  <c r="AK67" i="1"/>
  <c r="AK66" i="1" s="1"/>
  <c r="AS185" i="1"/>
  <c r="BJ185" i="1"/>
  <c r="BO180" i="1"/>
  <c r="BQ180" i="1" s="1"/>
  <c r="BT180" i="1"/>
  <c r="BO156" i="1"/>
  <c r="BQ156" i="1" s="1"/>
  <c r="BT156" i="1"/>
  <c r="BO140" i="1"/>
  <c r="BQ140" i="1" s="1"/>
  <c r="BT140" i="1"/>
  <c r="BO124" i="1"/>
  <c r="BQ124" i="1" s="1"/>
  <c r="BT124" i="1"/>
  <c r="BO108" i="1"/>
  <c r="BQ108" i="1" s="1"/>
  <c r="BT108" i="1"/>
  <c r="BO101" i="1"/>
  <c r="BQ101" i="1" s="1"/>
  <c r="BT101" i="1"/>
  <c r="BO90" i="1"/>
  <c r="BQ90" i="1" s="1"/>
  <c r="BT90" i="1"/>
  <c r="BT334" i="1"/>
  <c r="BQ329" i="1"/>
  <c r="AW313" i="1"/>
  <c r="AX313" i="1"/>
  <c r="AW290" i="1"/>
  <c r="AX290" i="1"/>
  <c r="AX287" i="1"/>
  <c r="AW287" i="1"/>
  <c r="AI283" i="1"/>
  <c r="AS283" i="1" s="1"/>
  <c r="AW282" i="1"/>
  <c r="AX282" i="1"/>
  <c r="AX279" i="1"/>
  <c r="AW279" i="1"/>
  <c r="BT266" i="1"/>
  <c r="BO266" i="1"/>
  <c r="BQ266" i="1" s="1"/>
  <c r="BT258" i="1"/>
  <c r="BO258" i="1"/>
  <c r="BQ258" i="1" s="1"/>
  <c r="BT250" i="1"/>
  <c r="BO250" i="1"/>
  <c r="BQ250" i="1" s="1"/>
  <c r="BT242" i="1"/>
  <c r="BO242" i="1"/>
  <c r="BQ242" i="1" s="1"/>
  <c r="BT234" i="1"/>
  <c r="BO234" i="1"/>
  <c r="BQ234" i="1" s="1"/>
  <c r="BT226" i="1"/>
  <c r="BO226" i="1"/>
  <c r="BQ226" i="1" s="1"/>
  <c r="AI215" i="1"/>
  <c r="AS215" i="1" s="1"/>
  <c r="AK201" i="1"/>
  <c r="BR201" i="1"/>
  <c r="BR193" i="1" s="1"/>
  <c r="BT187" i="1"/>
  <c r="BT184" i="1"/>
  <c r="BO184" i="1"/>
  <c r="BQ184" i="1" s="1"/>
  <c r="BJ367" i="1"/>
  <c r="BJ285" i="1"/>
  <c r="BJ244" i="1"/>
  <c r="AX213" i="1"/>
  <c r="AW213" i="1"/>
  <c r="BJ184" i="1"/>
  <c r="AI175" i="1"/>
  <c r="AS175" i="1" s="1"/>
  <c r="AI167" i="1"/>
  <c r="AS167" i="1" s="1"/>
  <c r="BJ156" i="1"/>
  <c r="BJ148" i="1"/>
  <c r="BJ140" i="1"/>
  <c r="BT127" i="1"/>
  <c r="BO127" i="1"/>
  <c r="BQ127" i="1" s="1"/>
  <c r="BP126" i="1"/>
  <c r="BQ126" i="1" s="1"/>
  <c r="BT126" i="1"/>
  <c r="AI119" i="1"/>
  <c r="AS119" i="1" s="1"/>
  <c r="AW118" i="1"/>
  <c r="AX118" i="1"/>
  <c r="BJ93" i="1"/>
  <c r="BJ86" i="1"/>
  <c r="AS84" i="1"/>
  <c r="BJ84" i="1"/>
  <c r="BH58" i="1"/>
  <c r="BI58" i="1" s="1"/>
  <c r="BJ58" i="1" s="1"/>
  <c r="AR58" i="1"/>
  <c r="AQ32" i="1"/>
  <c r="AQ31" i="1" s="1"/>
  <c r="AG11" i="1"/>
  <c r="AG10" i="1" s="1"/>
  <c r="AG9" i="1" s="1"/>
  <c r="AI12" i="1"/>
  <c r="AI276" i="1"/>
  <c r="AS276" i="1" s="1"/>
  <c r="BJ264" i="1"/>
  <c r="BS198" i="1"/>
  <c r="AL198" i="1"/>
  <c r="AH198" i="1"/>
  <c r="AK197" i="1"/>
  <c r="AI196" i="1"/>
  <c r="AS196" i="1" s="1"/>
  <c r="AW176" i="1"/>
  <c r="AX176" i="1"/>
  <c r="AX169" i="1"/>
  <c r="AW169" i="1"/>
  <c r="AR164" i="1"/>
  <c r="AR67" i="1" s="1"/>
  <c r="AR66" i="1" s="1"/>
  <c r="BT135" i="1"/>
  <c r="BO135" i="1"/>
  <c r="BQ135" i="1" s="1"/>
  <c r="BP134" i="1"/>
  <c r="BQ134" i="1" s="1"/>
  <c r="BT134" i="1"/>
  <c r="BJ112" i="1"/>
  <c r="AX107" i="1"/>
  <c r="AW107" i="1"/>
  <c r="AX100" i="1"/>
  <c r="AW100" i="1"/>
  <c r="AX89" i="1"/>
  <c r="AW89" i="1"/>
  <c r="AI82" i="1"/>
  <c r="AS82" i="1" s="1"/>
  <c r="BO75" i="1"/>
  <c r="BQ75" i="1" s="1"/>
  <c r="BT75" i="1"/>
  <c r="AI71" i="1"/>
  <c r="AI63" i="1"/>
  <c r="BO54" i="1"/>
  <c r="BQ54" i="1" s="1"/>
  <c r="BT54" i="1"/>
  <c r="BO51" i="1"/>
  <c r="BQ51" i="1" s="1"/>
  <c r="BT51" i="1"/>
  <c r="AW195" i="1"/>
  <c r="AL194" i="1"/>
  <c r="AX195" i="1"/>
  <c r="BJ169" i="1"/>
  <c r="AR11" i="1"/>
  <c r="AR10" i="1" s="1"/>
  <c r="AR9" i="1" s="1"/>
  <c r="AX489" i="1"/>
  <c r="AW489" i="1"/>
  <c r="BS477" i="1"/>
  <c r="AL477" i="1"/>
  <c r="AH477" i="1"/>
  <c r="AI477" i="1" s="1"/>
  <c r="BT471" i="1"/>
  <c r="BO471" i="1"/>
  <c r="BQ471" i="1" s="1"/>
  <c r="AH516" i="1"/>
  <c r="BQ506" i="1"/>
  <c r="BJ483" i="1"/>
  <c r="BQ474" i="1"/>
  <c r="BJ462" i="1"/>
  <c r="AX459" i="1"/>
  <c r="AW459" i="1"/>
  <c r="AS451" i="1"/>
  <c r="AI434" i="1"/>
  <c r="AS434" i="1" s="1"/>
  <c r="AX486" i="1"/>
  <c r="AW486" i="1"/>
  <c r="BQ446" i="1"/>
  <c r="BT439" i="1"/>
  <c r="BO439" i="1"/>
  <c r="BQ439" i="1" s="1"/>
  <c r="AX463" i="1"/>
  <c r="AW463" i="1"/>
  <c r="BQ454" i="1"/>
  <c r="AS447" i="1"/>
  <c r="AW430" i="1"/>
  <c r="AX430" i="1"/>
  <c r="BJ434" i="1"/>
  <c r="AX423" i="1"/>
  <c r="AW423" i="1"/>
  <c r="BT421" i="1"/>
  <c r="BO421" i="1"/>
  <c r="BQ421" i="1" s="1"/>
  <c r="BP412" i="1"/>
  <c r="BQ412" i="1" s="1"/>
  <c r="BT412" i="1"/>
  <c r="AS409" i="1"/>
  <c r="BP404" i="1"/>
  <c r="BQ404" i="1" s="1"/>
  <c r="BT404" i="1"/>
  <c r="AS401" i="1"/>
  <c r="BP396" i="1"/>
  <c r="BQ396" i="1" s="1"/>
  <c r="BT396" i="1"/>
  <c r="AS393" i="1"/>
  <c r="BP388" i="1"/>
  <c r="BQ388" i="1" s="1"/>
  <c r="BT388" i="1"/>
  <c r="AW381" i="1"/>
  <c r="AX381" i="1"/>
  <c r="AS435" i="1"/>
  <c r="BJ432" i="1"/>
  <c r="AW425" i="1"/>
  <c r="AX425" i="1"/>
  <c r="BT383" i="1"/>
  <c r="BO383" i="1"/>
  <c r="BQ383" i="1" s="1"/>
  <c r="BQ465" i="1"/>
  <c r="BJ455" i="1"/>
  <c r="BJ447" i="1"/>
  <c r="BT443" i="1"/>
  <c r="BO443" i="1"/>
  <c r="BQ443" i="1" s="1"/>
  <c r="BI449" i="1"/>
  <c r="BJ449" i="1" s="1"/>
  <c r="BT418" i="1"/>
  <c r="BJ415" i="1"/>
  <c r="BJ412" i="1"/>
  <c r="BT402" i="1"/>
  <c r="BJ399" i="1"/>
  <c r="BJ396" i="1"/>
  <c r="BJ382" i="1"/>
  <c r="BT382" i="1"/>
  <c r="BO382" i="1"/>
  <c r="BQ382" i="1" s="1"/>
  <c r="AS378" i="1"/>
  <c r="BO343" i="1"/>
  <c r="BQ343" i="1" s="1"/>
  <c r="BT343" i="1"/>
  <c r="AI331" i="1"/>
  <c r="AS331" i="1" s="1"/>
  <c r="BO319" i="1"/>
  <c r="BQ319" i="1" s="1"/>
  <c r="BT319" i="1"/>
  <c r="BO308" i="1"/>
  <c r="BQ308" i="1" s="1"/>
  <c r="BT308" i="1"/>
  <c r="BO301" i="1"/>
  <c r="BQ301" i="1" s="1"/>
  <c r="BT301" i="1"/>
  <c r="AI297" i="1"/>
  <c r="AS297" i="1" s="1"/>
  <c r="AW424" i="1"/>
  <c r="AX424" i="1"/>
  <c r="BT419" i="1"/>
  <c r="BO419" i="1"/>
  <c r="BQ419" i="1" s="1"/>
  <c r="BT415" i="1"/>
  <c r="BO415" i="1"/>
  <c r="BQ415" i="1" s="1"/>
  <c r="AX407" i="1"/>
  <c r="AW407" i="1"/>
  <c r="AS403" i="1"/>
  <c r="BT399" i="1"/>
  <c r="BO399" i="1"/>
  <c r="BQ399" i="1" s="1"/>
  <c r="AX391" i="1"/>
  <c r="AW391" i="1"/>
  <c r="BJ303" i="1"/>
  <c r="AS380" i="1"/>
  <c r="AX377" i="1"/>
  <c r="AW377" i="1"/>
  <c r="BT369" i="1"/>
  <c r="BO369" i="1"/>
  <c r="BQ369" i="1" s="1"/>
  <c r="AI361" i="1"/>
  <c r="BJ352" i="1"/>
  <c r="AX345" i="1"/>
  <c r="AW345" i="1"/>
  <c r="BT336" i="1"/>
  <c r="BJ319" i="1"/>
  <c r="BJ311" i="1"/>
  <c r="AG201" i="1"/>
  <c r="AG193" i="1" s="1"/>
  <c r="AI202" i="1"/>
  <c r="BJ355" i="1"/>
  <c r="AS338" i="1"/>
  <c r="BJ334" i="1"/>
  <c r="BT326" i="1"/>
  <c r="BO326" i="1"/>
  <c r="BQ326" i="1" s="1"/>
  <c r="BP325" i="1"/>
  <c r="BT325" i="1"/>
  <c r="BT318" i="1"/>
  <c r="BO318" i="1"/>
  <c r="BQ318" i="1" s="1"/>
  <c r="AI304" i="1"/>
  <c r="AS304" i="1" s="1"/>
  <c r="AW303" i="1"/>
  <c r="AX303" i="1"/>
  <c r="BO284" i="1"/>
  <c r="BQ284" i="1" s="1"/>
  <c r="BT284" i="1"/>
  <c r="AI280" i="1"/>
  <c r="AS280" i="1" s="1"/>
  <c r="AI277" i="1"/>
  <c r="AS277" i="1" s="1"/>
  <c r="BO259" i="1"/>
  <c r="BQ259" i="1" s="1"/>
  <c r="BT259" i="1"/>
  <c r="AI255" i="1"/>
  <c r="AS255" i="1" s="1"/>
  <c r="BO243" i="1"/>
  <c r="BQ243" i="1" s="1"/>
  <c r="BT243" i="1"/>
  <c r="AI239" i="1"/>
  <c r="AS239" i="1" s="1"/>
  <c r="BO227" i="1"/>
  <c r="BQ227" i="1" s="1"/>
  <c r="BT227" i="1"/>
  <c r="AI223" i="1"/>
  <c r="AS223" i="1" s="1"/>
  <c r="BO190" i="1"/>
  <c r="BQ190" i="1" s="1"/>
  <c r="BT190" i="1"/>
  <c r="AX373" i="1"/>
  <c r="AW373" i="1"/>
  <c r="BT365" i="1"/>
  <c r="BO365" i="1"/>
  <c r="BQ365" i="1" s="1"/>
  <c r="AI357" i="1"/>
  <c r="BT307" i="1"/>
  <c r="BO307" i="1"/>
  <c r="BQ307" i="1" s="1"/>
  <c r="BT296" i="1"/>
  <c r="BO296" i="1"/>
  <c r="BQ296" i="1" s="1"/>
  <c r="BJ261" i="1"/>
  <c r="BJ189" i="1"/>
  <c r="BQ321" i="1"/>
  <c r="AI314" i="1"/>
  <c r="AS314" i="1" s="1"/>
  <c r="BJ298" i="1"/>
  <c r="AR278" i="1"/>
  <c r="AS278" i="1" s="1"/>
  <c r="AE201" i="1"/>
  <c r="AE193" i="1" s="1"/>
  <c r="BT219" i="1"/>
  <c r="BO219" i="1"/>
  <c r="BQ219" i="1" s="1"/>
  <c r="BJ213" i="1"/>
  <c r="AW189" i="1"/>
  <c r="AX189" i="1"/>
  <c r="BO182" i="1"/>
  <c r="BQ182" i="1" s="1"/>
  <c r="BT182" i="1"/>
  <c r="BJ181" i="1"/>
  <c r="BQ317" i="1"/>
  <c r="BJ263" i="1"/>
  <c r="BJ247" i="1"/>
  <c r="AX217" i="1"/>
  <c r="AW217" i="1"/>
  <c r="AI210" i="1"/>
  <c r="AS210" i="1" s="1"/>
  <c r="BJ205" i="1"/>
  <c r="BO160" i="1"/>
  <c r="BQ160" i="1" s="1"/>
  <c r="BT160" i="1"/>
  <c r="BO144" i="1"/>
  <c r="BQ144" i="1" s="1"/>
  <c r="BT144" i="1"/>
  <c r="BO128" i="1"/>
  <c r="BQ128" i="1" s="1"/>
  <c r="BT128" i="1"/>
  <c r="BO112" i="1"/>
  <c r="BQ112" i="1" s="1"/>
  <c r="BT112" i="1"/>
  <c r="AI101" i="1"/>
  <c r="AS101" i="1" s="1"/>
  <c r="BQ334" i="1"/>
  <c r="BT329" i="1"/>
  <c r="BT290" i="1"/>
  <c r="BP290" i="1"/>
  <c r="BQ290" i="1" s="1"/>
  <c r="BT283" i="1"/>
  <c r="BO283" i="1"/>
  <c r="BQ283" i="1" s="1"/>
  <c r="BI273" i="1"/>
  <c r="BJ273" i="1" s="1"/>
  <c r="AW269" i="1"/>
  <c r="AX269" i="1"/>
  <c r="AX266" i="1"/>
  <c r="AW266" i="1"/>
  <c r="AI262" i="1"/>
  <c r="AS262" i="1" s="1"/>
  <c r="AW261" i="1"/>
  <c r="AX261" i="1"/>
  <c r="AX258" i="1"/>
  <c r="AW258" i="1"/>
  <c r="AI254" i="1"/>
  <c r="AS254" i="1" s="1"/>
  <c r="AW253" i="1"/>
  <c r="AX253" i="1"/>
  <c r="AX250" i="1"/>
  <c r="AW250" i="1"/>
  <c r="AI246" i="1"/>
  <c r="AS246" i="1" s="1"/>
  <c r="AW245" i="1"/>
  <c r="AX245" i="1"/>
  <c r="AX242" i="1"/>
  <c r="AW242" i="1"/>
  <c r="AI238" i="1"/>
  <c r="AS238" i="1" s="1"/>
  <c r="AW237" i="1"/>
  <c r="AX237" i="1"/>
  <c r="AX234" i="1"/>
  <c r="AW234" i="1"/>
  <c r="AI230" i="1"/>
  <c r="AS230" i="1" s="1"/>
  <c r="AW229" i="1"/>
  <c r="AX229" i="1"/>
  <c r="AX226" i="1"/>
  <c r="AW226" i="1"/>
  <c r="AI222" i="1"/>
  <c r="AS222" i="1" s="1"/>
  <c r="AW221" i="1"/>
  <c r="AX221" i="1"/>
  <c r="BJ216" i="1"/>
  <c r="BT215" i="1"/>
  <c r="BO215" i="1"/>
  <c r="BQ215" i="1" s="1"/>
  <c r="AI208" i="1"/>
  <c r="AS208" i="1" s="1"/>
  <c r="AW207" i="1"/>
  <c r="AX207" i="1"/>
  <c r="AI204" i="1"/>
  <c r="AS204" i="1" s="1"/>
  <c r="BJ176" i="1"/>
  <c r="BJ134" i="1"/>
  <c r="AW271" i="1"/>
  <c r="AX271" i="1"/>
  <c r="BJ260" i="1"/>
  <c r="AI199" i="1"/>
  <c r="AS199" i="1" s="1"/>
  <c r="BJ191" i="1"/>
  <c r="BJ183" i="1"/>
  <c r="BT175" i="1"/>
  <c r="BO175" i="1"/>
  <c r="BQ175" i="1" s="1"/>
  <c r="BT167" i="1"/>
  <c r="BO167" i="1"/>
  <c r="BQ167" i="1" s="1"/>
  <c r="BI164" i="1"/>
  <c r="BJ164" i="1" s="1"/>
  <c r="AX127" i="1"/>
  <c r="AW127" i="1"/>
  <c r="BT119" i="1"/>
  <c r="BO119" i="1"/>
  <c r="BQ119" i="1" s="1"/>
  <c r="BP118" i="1"/>
  <c r="BT118" i="1"/>
  <c r="AI104" i="1"/>
  <c r="AS104" i="1" s="1"/>
  <c r="AW103" i="1"/>
  <c r="AX103" i="1"/>
  <c r="AS98" i="1"/>
  <c r="BJ98" i="1"/>
  <c r="AS91" i="1"/>
  <c r="BJ91" i="1"/>
  <c r="BO85" i="1"/>
  <c r="BQ85" i="1" s="1"/>
  <c r="BT85" i="1"/>
  <c r="AG67" i="1"/>
  <c r="AG66" i="1" s="1"/>
  <c r="AI68" i="1"/>
  <c r="AS62" i="1"/>
  <c r="BJ62" i="1"/>
  <c r="BJ289" i="1"/>
  <c r="BT276" i="1"/>
  <c r="BO276" i="1"/>
  <c r="BQ276" i="1" s="1"/>
  <c r="BJ246" i="1"/>
  <c r="BJ214" i="1"/>
  <c r="AS163" i="1"/>
  <c r="N67" i="1"/>
  <c r="N66" i="1" s="1"/>
  <c r="N30" i="1" s="1"/>
  <c r="N8" i="1" s="1"/>
  <c r="BJ92" i="1"/>
  <c r="AI19" i="1"/>
  <c r="AS19" i="1" s="1"/>
  <c r="BO15" i="1"/>
  <c r="BQ15" i="1" s="1"/>
  <c r="BT15" i="1"/>
  <c r="BB201" i="1"/>
  <c r="BB193" i="1" s="1"/>
  <c r="BT173" i="1"/>
  <c r="BO173" i="1"/>
  <c r="BQ173" i="1" s="1"/>
  <c r="BT272" i="1"/>
  <c r="BO272" i="1"/>
  <c r="BQ272" i="1" s="1"/>
  <c r="AJ30" i="1"/>
  <c r="AJ8" i="1" s="1"/>
  <c r="AS58" i="1"/>
  <c r="BO34" i="1"/>
  <c r="BQ34" i="1" s="1"/>
  <c r="BT34" i="1"/>
  <c r="AH32" i="1"/>
  <c r="AH31" i="1" s="1"/>
  <c r="BO19" i="1"/>
  <c r="BQ19" i="1" s="1"/>
  <c r="BT19" i="1"/>
  <c r="AI15" i="1"/>
  <c r="BJ281" i="1"/>
  <c r="AW275" i="1"/>
  <c r="AX275" i="1"/>
  <c r="BJ224" i="1"/>
  <c r="BQ176" i="1"/>
  <c r="BT165" i="1"/>
  <c r="BO165" i="1"/>
  <c r="BQ165" i="1" s="1"/>
  <c r="BT111" i="1"/>
  <c r="BO111" i="1"/>
  <c r="BQ111" i="1" s="1"/>
  <c r="BQ88" i="1"/>
  <c r="BG67" i="1"/>
  <c r="BG66" i="1" s="1"/>
  <c r="BI68" i="1"/>
  <c r="BJ35" i="1"/>
  <c r="BQ325" i="1"/>
  <c r="BJ268" i="1"/>
  <c r="BT164" i="1"/>
  <c r="AI159" i="1"/>
  <c r="AS159" i="1" s="1"/>
  <c r="AW158" i="1"/>
  <c r="AX158" i="1"/>
  <c r="AX155" i="1"/>
  <c r="AW155" i="1"/>
  <c r="AI151" i="1"/>
  <c r="AS151" i="1" s="1"/>
  <c r="AW150" i="1"/>
  <c r="AX150" i="1"/>
  <c r="AX147" i="1"/>
  <c r="AW147" i="1"/>
  <c r="AI143" i="1"/>
  <c r="AS143" i="1" s="1"/>
  <c r="AW142" i="1"/>
  <c r="AX142" i="1"/>
  <c r="AX139" i="1"/>
  <c r="AW139" i="1"/>
  <c r="AI131" i="1"/>
  <c r="AS131" i="1" s="1"/>
  <c r="AW130" i="1"/>
  <c r="AX130" i="1"/>
  <c r="BT123" i="1"/>
  <c r="BO123" i="1"/>
  <c r="BQ123" i="1" s="1"/>
  <c r="AI81" i="1"/>
  <c r="AS81" i="1" s="1"/>
  <c r="AI77" i="1"/>
  <c r="AS77" i="1" s="1"/>
  <c r="AW73" i="1"/>
  <c r="AX73" i="1"/>
  <c r="AW64" i="1"/>
  <c r="AX64" i="1"/>
  <c r="AI53" i="1"/>
  <c r="AW50" i="1"/>
  <c r="AX50" i="1"/>
  <c r="BJ48" i="1"/>
  <c r="AI42" i="1"/>
  <c r="AS42" i="1" s="1"/>
  <c r="BT37" i="1"/>
  <c r="BO37" i="1"/>
  <c r="BQ37" i="1" s="1"/>
  <c r="AR32" i="1"/>
  <c r="AR31" i="1" s="1"/>
  <c r="BT18" i="1"/>
  <c r="BO18" i="1"/>
  <c r="BQ18" i="1" s="1"/>
  <c r="BJ17" i="1"/>
  <c r="BT14" i="1"/>
  <c r="BO14" i="1"/>
  <c r="BQ14" i="1" s="1"/>
  <c r="BQ13" i="1"/>
  <c r="BP11" i="1"/>
  <c r="BP10" i="1" s="1"/>
  <c r="BP9" i="1" s="1"/>
  <c r="BT95" i="1"/>
  <c r="BJ20" i="1"/>
  <c r="BJ16" i="1"/>
  <c r="BH67" i="1"/>
  <c r="BH66" i="1" s="1"/>
  <c r="BT13" i="1"/>
  <c r="BI19" i="1"/>
  <c r="BJ19" i="1" s="1"/>
  <c r="BR11" i="1"/>
  <c r="BR10" i="1" s="1"/>
  <c r="BR9" i="1" s="1"/>
  <c r="BG32" i="1"/>
  <c r="BG31" i="1" s="1"/>
  <c r="BT196" i="1"/>
  <c r="BT194" i="1" s="1"/>
  <c r="BO196" i="1"/>
  <c r="BQ196" i="1" s="1"/>
  <c r="AX179" i="1"/>
  <c r="AW179" i="1"/>
  <c r="AX135" i="1"/>
  <c r="AW135" i="1"/>
  <c r="AI115" i="1"/>
  <c r="AS115" i="1" s="1"/>
  <c r="AW114" i="1"/>
  <c r="AX114" i="1"/>
  <c r="AI96" i="1"/>
  <c r="AI78" i="1"/>
  <c r="AI49" i="1"/>
  <c r="AI46" i="1"/>
  <c r="AS46" i="1" s="1"/>
  <c r="I32" i="1"/>
  <c r="I31" i="1" s="1"/>
  <c r="K37" i="1"/>
  <c r="K32" i="1" s="1"/>
  <c r="K31" i="1" s="1"/>
  <c r="BO27" i="1"/>
  <c r="BQ27" i="1" s="1"/>
  <c r="BT27" i="1"/>
  <c r="AI23" i="1"/>
  <c r="BJ240" i="1"/>
  <c r="BG201" i="1"/>
  <c r="BI202" i="1"/>
  <c r="AH194" i="1"/>
  <c r="BQ185" i="1"/>
  <c r="BT176" i="1"/>
  <c r="AI173" i="1"/>
  <c r="AS173" i="1" s="1"/>
  <c r="AX165" i="1"/>
  <c r="AW165" i="1"/>
  <c r="BI136" i="1"/>
  <c r="BJ136" i="1" s="1"/>
  <c r="BQ114" i="1"/>
  <c r="AX111" i="1"/>
  <c r="AW111" i="1"/>
  <c r="BJ60" i="1"/>
  <c r="BJ28" i="1"/>
  <c r="AI272" i="1"/>
  <c r="AS272" i="1" s="1"/>
  <c r="AW212" i="1"/>
  <c r="AX212" i="1"/>
  <c r="AI171" i="1"/>
  <c r="AS171" i="1" s="1"/>
  <c r="BT159" i="1"/>
  <c r="BO159" i="1"/>
  <c r="BQ159" i="1" s="1"/>
  <c r="BT151" i="1"/>
  <c r="BO151" i="1"/>
  <c r="BQ151" i="1" s="1"/>
  <c r="BT143" i="1"/>
  <c r="BO143" i="1"/>
  <c r="BQ143" i="1" s="1"/>
  <c r="BT131" i="1"/>
  <c r="BO131" i="1"/>
  <c r="BQ131" i="1" s="1"/>
  <c r="AX123" i="1"/>
  <c r="AW123" i="1"/>
  <c r="BB92" i="1"/>
  <c r="BB67" i="1" s="1"/>
  <c r="BB66" i="1" s="1"/>
  <c r="AI74" i="1"/>
  <c r="AI70" i="1"/>
  <c r="AW69" i="1"/>
  <c r="AX69" i="1"/>
  <c r="BA67" i="1"/>
  <c r="BA66" i="1" s="1"/>
  <c r="AI65" i="1"/>
  <c r="BJ61" i="1"/>
  <c r="AX58" i="1"/>
  <c r="AW58" i="1"/>
  <c r="AI57" i="1"/>
  <c r="AW48" i="1"/>
  <c r="AX48" i="1"/>
  <c r="AI47" i="1"/>
  <c r="AS47" i="1" s="1"/>
  <c r="BT40" i="1"/>
  <c r="BO40" i="1"/>
  <c r="BQ40" i="1" s="1"/>
  <c r="BJ39" i="1"/>
  <c r="AI36" i="1"/>
  <c r="AI33" i="1"/>
  <c r="BJ33" i="1" s="1"/>
  <c r="AG32" i="1"/>
  <c r="AG31" i="1" s="1"/>
  <c r="BT26" i="1"/>
  <c r="BO26" i="1"/>
  <c r="BQ26" i="1" s="1"/>
  <c r="BJ25" i="1"/>
  <c r="BT22" i="1"/>
  <c r="BO22" i="1"/>
  <c r="BQ22" i="1" s="1"/>
  <c r="BJ21" i="1"/>
  <c r="AW17" i="1"/>
  <c r="AX17" i="1"/>
  <c r="BI108" i="1"/>
  <c r="BJ108" i="1" s="1"/>
  <c r="BJ38" i="1"/>
  <c r="BJ43" i="1"/>
  <c r="BQ68" i="1"/>
  <c r="BQ62" i="1"/>
  <c r="BT69" i="1"/>
  <c r="AX45" i="1"/>
  <c r="AW45" i="1"/>
  <c r="BI34" i="1"/>
  <c r="BI32" i="1" s="1"/>
  <c r="AI13" i="1"/>
  <c r="AS13" i="1" s="1"/>
  <c r="BJ236" i="1"/>
  <c r="BT171" i="1"/>
  <c r="BO171" i="1"/>
  <c r="BQ171" i="1" s="1"/>
  <c r="AW162" i="1"/>
  <c r="AX162" i="1"/>
  <c r="AX159" i="1"/>
  <c r="AW159" i="1"/>
  <c r="AI155" i="1"/>
  <c r="AS155" i="1" s="1"/>
  <c r="AW154" i="1"/>
  <c r="AX154" i="1"/>
  <c r="AX151" i="1"/>
  <c r="AW151" i="1"/>
  <c r="AI147" i="1"/>
  <c r="AS147" i="1" s="1"/>
  <c r="AW146" i="1"/>
  <c r="AX146" i="1"/>
  <c r="AX143" i="1"/>
  <c r="AW143" i="1"/>
  <c r="AI139" i="1"/>
  <c r="AS139" i="1" s="1"/>
  <c r="AW138" i="1"/>
  <c r="AX138" i="1"/>
  <c r="AX131" i="1"/>
  <c r="AW131" i="1"/>
  <c r="BI120" i="1"/>
  <c r="BJ120" i="1" s="1"/>
  <c r="BT81" i="1"/>
  <c r="BO81" i="1"/>
  <c r="BQ81" i="1" s="1"/>
  <c r="BJ80" i="1"/>
  <c r="BT77" i="1"/>
  <c r="BO77" i="1"/>
  <c r="BQ77" i="1" s="1"/>
  <c r="AW61" i="1"/>
  <c r="AX61" i="1"/>
  <c r="BT53" i="1"/>
  <c r="BO53" i="1"/>
  <c r="BQ53" i="1" s="1"/>
  <c r="BJ52" i="1"/>
  <c r="AW44" i="1"/>
  <c r="AX44" i="1"/>
  <c r="BT42" i="1"/>
  <c r="BO42" i="1"/>
  <c r="BQ42" i="1" s="1"/>
  <c r="AW39" i="1"/>
  <c r="AX39" i="1"/>
  <c r="AI37" i="1"/>
  <c r="BJ37" i="1" s="1"/>
  <c r="BB32" i="1"/>
  <c r="BB31" i="1" s="1"/>
  <c r="BJ29" i="1"/>
  <c r="AW25" i="1"/>
  <c r="AX25" i="1"/>
  <c r="AW21" i="1"/>
  <c r="AX21" i="1"/>
  <c r="AI18" i="1"/>
  <c r="AS18" i="1" s="1"/>
  <c r="AI14" i="1"/>
  <c r="AS14" i="1" s="1"/>
  <c r="AW13" i="1"/>
  <c r="AX13" i="1"/>
  <c r="AW110" i="1"/>
  <c r="AX110" i="1"/>
  <c r="BQ106" i="1"/>
  <c r="BJ97" i="1"/>
  <c r="AX62" i="1"/>
  <c r="AW62" i="1"/>
  <c r="AX43" i="1"/>
  <c r="AW43" i="1"/>
  <c r="AI69" i="1"/>
  <c r="AS69" i="1" s="1"/>
  <c r="BS11" i="1"/>
  <c r="BS10" i="1" s="1"/>
  <c r="BS9" i="1" s="1"/>
  <c r="BQ12" i="1"/>
  <c r="BT62" i="1"/>
  <c r="BQ43" i="1"/>
  <c r="BS32" i="1"/>
  <c r="BS31" i="1" s="1"/>
  <c r="AX33" i="1"/>
  <c r="AL32" i="1"/>
  <c r="AW33" i="1"/>
  <c r="AI27" i="1"/>
  <c r="AS27" i="1" s="1"/>
  <c r="BO23" i="1"/>
  <c r="BQ23" i="1" s="1"/>
  <c r="BT23" i="1"/>
  <c r="BS548" i="1"/>
  <c r="BS547" i="1" s="1"/>
  <c r="BP549" i="1"/>
  <c r="BP548" i="1" s="1"/>
  <c r="BP547" i="1" s="1"/>
  <c r="BP195" i="1"/>
  <c r="BP194" i="1" s="1"/>
  <c r="BS194" i="1"/>
  <c r="BJ179" i="1"/>
  <c r="AX173" i="1"/>
  <c r="AW173" i="1"/>
  <c r="AI165" i="1"/>
  <c r="AS165" i="1" s="1"/>
  <c r="AI111" i="1"/>
  <c r="AS111" i="1" s="1"/>
  <c r="BJ90" i="1"/>
  <c r="BJ79" i="1"/>
  <c r="BJ41" i="1"/>
  <c r="AX272" i="1"/>
  <c r="AW272" i="1"/>
  <c r="BJ252" i="1"/>
  <c r="AW178" i="1"/>
  <c r="AX178" i="1"/>
  <c r="AX171" i="1"/>
  <c r="AW171" i="1"/>
  <c r="BT155" i="1"/>
  <c r="BO155" i="1"/>
  <c r="BQ155" i="1" s="1"/>
  <c r="BT147" i="1"/>
  <c r="BO147" i="1"/>
  <c r="BQ147" i="1" s="1"/>
  <c r="BT139" i="1"/>
  <c r="BO139" i="1"/>
  <c r="BQ139" i="1" s="1"/>
  <c r="BI128" i="1"/>
  <c r="BJ128" i="1" s="1"/>
  <c r="AI123" i="1"/>
  <c r="AS123" i="1" s="1"/>
  <c r="AW122" i="1"/>
  <c r="AX122" i="1"/>
  <c r="BQ118" i="1"/>
  <c r="BQ103" i="1"/>
  <c r="AW80" i="1"/>
  <c r="AX80" i="1"/>
  <c r="BT74" i="1"/>
  <c r="BO74" i="1"/>
  <c r="BQ74" i="1" s="1"/>
  <c r="BT70" i="1"/>
  <c r="BO70" i="1"/>
  <c r="BQ70" i="1" s="1"/>
  <c r="BQ69" i="1"/>
  <c r="BT65" i="1"/>
  <c r="BO65" i="1"/>
  <c r="BQ65" i="1" s="1"/>
  <c r="BJ64" i="1"/>
  <c r="BT57" i="1"/>
  <c r="BO57" i="1"/>
  <c r="BQ57" i="1" s="1"/>
  <c r="AW55" i="1"/>
  <c r="AX55" i="1"/>
  <c r="AW52" i="1"/>
  <c r="AX52" i="1"/>
  <c r="BJ50" i="1"/>
  <c r="BT47" i="1"/>
  <c r="BO47" i="1"/>
  <c r="BQ47" i="1" s="1"/>
  <c r="AI40" i="1"/>
  <c r="BT36" i="1"/>
  <c r="BO36" i="1"/>
  <c r="BQ36" i="1" s="1"/>
  <c r="BT33" i="1"/>
  <c r="BO33" i="1"/>
  <c r="BR32" i="1"/>
  <c r="BR31" i="1" s="1"/>
  <c r="AD30" i="1"/>
  <c r="AD8" i="1" s="1"/>
  <c r="AW29" i="1"/>
  <c r="AX29" i="1"/>
  <c r="AI26" i="1"/>
  <c r="AS26" i="1" s="1"/>
  <c r="AI22" i="1"/>
  <c r="AS22" i="1" s="1"/>
  <c r="BQ95" i="1"/>
  <c r="BR67" i="1"/>
  <c r="BR66" i="1" s="1"/>
  <c r="BJ55" i="1"/>
  <c r="BJ45" i="1"/>
  <c r="AV30" i="1"/>
  <c r="BT43" i="1"/>
  <c r="BS67" i="1"/>
  <c r="BS66" i="1" s="1"/>
  <c r="BP32" i="1"/>
  <c r="BP31" i="1" s="1"/>
  <c r="BT510" i="1" l="1"/>
  <c r="BJ87" i="1"/>
  <c r="AX46" i="1"/>
  <c r="AW46" i="1"/>
  <c r="BJ138" i="1"/>
  <c r="AS464" i="1"/>
  <c r="AK193" i="1"/>
  <c r="AK30" i="1" s="1"/>
  <c r="AK8" i="1" s="1"/>
  <c r="BJ326" i="1"/>
  <c r="BG530" i="1"/>
  <c r="BJ499" i="1"/>
  <c r="BJ441" i="1"/>
  <c r="BJ300" i="1"/>
  <c r="J8" i="1"/>
  <c r="K530" i="1"/>
  <c r="BJ301" i="1"/>
  <c r="AS405" i="1"/>
  <c r="BJ491" i="1"/>
  <c r="BI532" i="1"/>
  <c r="BJ484" i="1"/>
  <c r="BJ291" i="1"/>
  <c r="BP163" i="1"/>
  <c r="BQ163" i="1" s="1"/>
  <c r="BT163" i="1"/>
  <c r="BJ190" i="1"/>
  <c r="BJ288" i="1"/>
  <c r="BT516" i="1"/>
  <c r="BJ545" i="1"/>
  <c r="AE30" i="1"/>
  <c r="AE8" i="1" s="1"/>
  <c r="BJ330" i="1"/>
  <c r="BJ238" i="1"/>
  <c r="AW47" i="1"/>
  <c r="AX47" i="1"/>
  <c r="BJ147" i="1"/>
  <c r="BJ22" i="1"/>
  <c r="AV8" i="1"/>
  <c r="BJ77" i="1"/>
  <c r="BJ44" i="1"/>
  <c r="BJ83" i="1"/>
  <c r="BJ107" i="1"/>
  <c r="BJ340" i="1"/>
  <c r="BJ262" i="1"/>
  <c r="AL10" i="1"/>
  <c r="BJ124" i="1"/>
  <c r="BJ234" i="1"/>
  <c r="BJ539" i="1"/>
  <c r="BJ410" i="1"/>
  <c r="BJ226" i="1"/>
  <c r="BJ135" i="1"/>
  <c r="BJ217" i="1"/>
  <c r="BJ284" i="1"/>
  <c r="BJ116" i="1"/>
  <c r="BJ235" i="1"/>
  <c r="BJ538" i="1"/>
  <c r="AS521" i="1"/>
  <c r="BJ175" i="1"/>
  <c r="BJ34" i="1"/>
  <c r="BJ14" i="1"/>
  <c r="BT11" i="1"/>
  <c r="BT10" i="1" s="1"/>
  <c r="BT9" i="1" s="1"/>
  <c r="BJ155" i="1"/>
  <c r="BJ104" i="1"/>
  <c r="BJ27" i="1"/>
  <c r="AI192" i="1"/>
  <c r="AS192" i="1" s="1"/>
  <c r="BJ478" i="1"/>
  <c r="BJ527" i="1"/>
  <c r="BJ444" i="1"/>
  <c r="BJ543" i="1"/>
  <c r="BJ131" i="1"/>
  <c r="BQ11" i="1"/>
  <c r="BQ10" i="1" s="1"/>
  <c r="BQ9" i="1" s="1"/>
  <c r="BJ18" i="1"/>
  <c r="BJ46" i="1"/>
  <c r="BJ127" i="1"/>
  <c r="AH201" i="1"/>
  <c r="BJ335" i="1"/>
  <c r="BJ215" i="1"/>
  <c r="BJ165" i="1"/>
  <c r="BO197" i="1"/>
  <c r="BJ277" i="1"/>
  <c r="BJ369" i="1"/>
  <c r="BJ392" i="1"/>
  <c r="AI516" i="1"/>
  <c r="AS516" i="1" s="1"/>
  <c r="BJ440" i="1"/>
  <c r="BO11" i="1"/>
  <c r="BO10" i="1" s="1"/>
  <c r="BO9" i="1" s="1"/>
  <c r="BJ13" i="1"/>
  <c r="BA30" i="1"/>
  <c r="BA8" i="1" s="1"/>
  <c r="BJ210" i="1"/>
  <c r="BJ231" i="1"/>
  <c r="BJ171" i="1"/>
  <c r="BJ230" i="1"/>
  <c r="BJ101" i="1"/>
  <c r="AI194" i="1"/>
  <c r="AS194" i="1" s="1"/>
  <c r="BJ251" i="1"/>
  <c r="BJ362" i="1"/>
  <c r="BJ504" i="1"/>
  <c r="BJ542" i="1"/>
  <c r="BR530" i="1"/>
  <c r="AS341" i="1"/>
  <c r="K30" i="1"/>
  <c r="K8" i="1" s="1"/>
  <c r="AS361" i="1"/>
  <c r="BJ361" i="1"/>
  <c r="AW477" i="1"/>
  <c r="AX477" i="1"/>
  <c r="BJ115" i="1"/>
  <c r="AS63" i="1"/>
  <c r="BJ63" i="1"/>
  <c r="AS12" i="1"/>
  <c r="AI11" i="1"/>
  <c r="BP192" i="1"/>
  <c r="BQ192" i="1" s="1"/>
  <c r="BT192" i="1"/>
  <c r="BT67" i="1" s="1"/>
  <c r="BT66" i="1" s="1"/>
  <c r="BI194" i="1"/>
  <c r="BJ195" i="1"/>
  <c r="BJ331" i="1"/>
  <c r="BJ151" i="1"/>
  <c r="AR201" i="1"/>
  <c r="AR193" i="1" s="1"/>
  <c r="BJ219" i="1"/>
  <c r="BP220" i="1"/>
  <c r="BT220" i="1"/>
  <c r="AS379" i="1"/>
  <c r="BJ379" i="1"/>
  <c r="BJ297" i="1"/>
  <c r="AS345" i="1"/>
  <c r="BJ345" i="1"/>
  <c r="BJ12" i="1"/>
  <c r="BI11" i="1"/>
  <c r="AS89" i="1"/>
  <c r="BJ89" i="1"/>
  <c r="BJ132" i="1"/>
  <c r="BJ254" i="1"/>
  <c r="BJ283" i="1"/>
  <c r="AS349" i="1"/>
  <c r="BJ349" i="1"/>
  <c r="DP6" i="1"/>
  <c r="BJ354" i="1"/>
  <c r="BJ266" i="1"/>
  <c r="BJ307" i="1"/>
  <c r="AS507" i="1"/>
  <c r="BJ507" i="1"/>
  <c r="BQ517" i="1"/>
  <c r="BQ516" i="1" s="1"/>
  <c r="AX548" i="1"/>
  <c r="AL547" i="1"/>
  <c r="AX547" i="1" s="1"/>
  <c r="AG530" i="1"/>
  <c r="BH530" i="1"/>
  <c r="BS532" i="1"/>
  <c r="BS531" i="1" s="1"/>
  <c r="BS530" i="1" s="1"/>
  <c r="BP533" i="1"/>
  <c r="BT533" i="1"/>
  <c r="BT532" i="1" s="1"/>
  <c r="BT531" i="1" s="1"/>
  <c r="BI550" i="1"/>
  <c r="BJ550" i="1" s="1"/>
  <c r="BR30" i="1"/>
  <c r="AX32" i="1"/>
  <c r="AL31" i="1"/>
  <c r="BJ42" i="1"/>
  <c r="BO67" i="1"/>
  <c r="BO66" i="1" s="1"/>
  <c r="AS57" i="1"/>
  <c r="BJ57" i="1"/>
  <c r="AS23" i="1"/>
  <c r="BJ23" i="1"/>
  <c r="AS71" i="1"/>
  <c r="BJ71" i="1"/>
  <c r="BJ119" i="1"/>
  <c r="AH197" i="1"/>
  <c r="AH193" i="1" s="1"/>
  <c r="AH30" i="1" s="1"/>
  <c r="AI198" i="1"/>
  <c r="BJ198" i="1" s="1"/>
  <c r="AX192" i="1"/>
  <c r="AW192" i="1"/>
  <c r="AS365" i="1"/>
  <c r="BJ365" i="1"/>
  <c r="BJ159" i="1"/>
  <c r="BO194" i="1"/>
  <c r="BJ223" i="1"/>
  <c r="AX220" i="1"/>
  <c r="AW220" i="1"/>
  <c r="BH201" i="1"/>
  <c r="BH193" i="1" s="1"/>
  <c r="AL9" i="1"/>
  <c r="AX10" i="1"/>
  <c r="DO6" i="1"/>
  <c r="AS353" i="1"/>
  <c r="BJ353" i="1"/>
  <c r="BJ272" i="1"/>
  <c r="AX510" i="1"/>
  <c r="AW510" i="1"/>
  <c r="BO532" i="1"/>
  <c r="BO531" i="1" s="1"/>
  <c r="BO548" i="1"/>
  <c r="BO547" i="1" s="1"/>
  <c r="BQ549" i="1"/>
  <c r="BQ548" i="1" s="1"/>
  <c r="BQ547" i="1" s="1"/>
  <c r="BI516" i="1"/>
  <c r="BJ516" i="1" s="1"/>
  <c r="BJ517" i="1"/>
  <c r="BJ549" i="1"/>
  <c r="BJ498" i="1"/>
  <c r="BQ67" i="1"/>
  <c r="BQ66" i="1" s="1"/>
  <c r="AS33" i="1"/>
  <c r="AI32" i="1"/>
  <c r="AS78" i="1"/>
  <c r="BJ78" i="1"/>
  <c r="AS53" i="1"/>
  <c r="BJ53" i="1"/>
  <c r="BJ69" i="1"/>
  <c r="BO32" i="1"/>
  <c r="BO31" i="1" s="1"/>
  <c r="BQ33" i="1"/>
  <c r="BQ32" i="1" s="1"/>
  <c r="BQ31" i="1" s="1"/>
  <c r="BI31" i="1"/>
  <c r="AS36" i="1"/>
  <c r="BJ36" i="1"/>
  <c r="AS65" i="1"/>
  <c r="BJ65" i="1"/>
  <c r="AS70" i="1"/>
  <c r="BJ70" i="1"/>
  <c r="I30" i="1"/>
  <c r="I8" i="1" s="1"/>
  <c r="AS96" i="1"/>
  <c r="BJ96" i="1"/>
  <c r="AR30" i="1"/>
  <c r="BO201" i="1"/>
  <c r="BT32" i="1"/>
  <c r="BT31" i="1" s="1"/>
  <c r="BB30" i="1"/>
  <c r="BB8" i="1" s="1"/>
  <c r="AS74" i="1"/>
  <c r="BJ74" i="1"/>
  <c r="BJ202" i="1"/>
  <c r="BI201" i="1"/>
  <c r="BJ68" i="1"/>
  <c r="BI67" i="1"/>
  <c r="BJ204" i="1"/>
  <c r="AX194" i="1"/>
  <c r="AW198" i="1"/>
  <c r="AL197" i="1"/>
  <c r="AX198" i="1"/>
  <c r="AQ30" i="1"/>
  <c r="AQ8" i="1" s="1"/>
  <c r="BJ173" i="1"/>
  <c r="BJ227" i="1"/>
  <c r="AS549" i="1"/>
  <c r="AI548" i="1"/>
  <c r="AS164" i="1"/>
  <c r="BQ195" i="1"/>
  <c r="BQ194" i="1" s="1"/>
  <c r="BJ239" i="1"/>
  <c r="AS377" i="1"/>
  <c r="BJ377" i="1"/>
  <c r="BJ82" i="1"/>
  <c r="BJ279" i="1"/>
  <c r="AS54" i="1"/>
  <c r="BJ54" i="1"/>
  <c r="AS100" i="1"/>
  <c r="BJ100" i="1"/>
  <c r="BJ208" i="1"/>
  <c r="BS201" i="1"/>
  <c r="BJ199" i="1"/>
  <c r="BJ276" i="1"/>
  <c r="AS536" i="1"/>
  <c r="BJ536" i="1"/>
  <c r="AS510" i="1"/>
  <c r="BJ510" i="1"/>
  <c r="AH530" i="1"/>
  <c r="AS68" i="1"/>
  <c r="AS40" i="1"/>
  <c r="BJ40" i="1"/>
  <c r="BP477" i="1"/>
  <c r="BQ477" i="1" s="1"/>
  <c r="BT477" i="1"/>
  <c r="BJ26" i="1"/>
  <c r="BJ81" i="1"/>
  <c r="AS37" i="1"/>
  <c r="BJ47" i="1"/>
  <c r="AG30" i="1"/>
  <c r="AG8" i="1" s="1"/>
  <c r="AS49" i="1"/>
  <c r="BJ49" i="1"/>
  <c r="AS15" i="1"/>
  <c r="BJ15" i="1"/>
  <c r="BJ139" i="1"/>
  <c r="BJ220" i="1"/>
  <c r="AL201" i="1"/>
  <c r="AX201" i="1" s="1"/>
  <c r="AS357" i="1"/>
  <c r="BJ357" i="1"/>
  <c r="AS202" i="1"/>
  <c r="AI201" i="1"/>
  <c r="AS201" i="1" s="1"/>
  <c r="AS477" i="1"/>
  <c r="BJ477" i="1"/>
  <c r="BS197" i="1"/>
  <c r="BS193" i="1" s="1"/>
  <c r="BS30" i="1" s="1"/>
  <c r="BS8" i="1" s="1"/>
  <c r="BP198" i="1"/>
  <c r="BT198" i="1"/>
  <c r="BT197" i="1" s="1"/>
  <c r="BG193" i="1"/>
  <c r="BG30" i="1" s="1"/>
  <c r="BG8" i="1" s="1"/>
  <c r="BJ318" i="1"/>
  <c r="BJ304" i="1"/>
  <c r="BH32" i="1"/>
  <c r="BH31" i="1" s="1"/>
  <c r="BJ143" i="1"/>
  <c r="AL67" i="1"/>
  <c r="BJ255" i="1"/>
  <c r="BJ296" i="1"/>
  <c r="BI197" i="1"/>
  <c r="AS373" i="1"/>
  <c r="BJ373" i="1"/>
  <c r="BJ123" i="1"/>
  <c r="BJ167" i="1"/>
  <c r="BJ111" i="1"/>
  <c r="BJ242" i="1"/>
  <c r="BJ182" i="1"/>
  <c r="BJ280" i="1"/>
  <c r="BJ222" i="1"/>
  <c r="BJ322" i="1"/>
  <c r="AS502" i="1"/>
  <c r="BJ502" i="1"/>
  <c r="BO516" i="1"/>
  <c r="AR530" i="1"/>
  <c r="AI533" i="1"/>
  <c r="BJ314" i="1"/>
  <c r="AX533" i="1"/>
  <c r="AW533" i="1"/>
  <c r="AL532" i="1"/>
  <c r="AS551" i="1"/>
  <c r="BJ551" i="1"/>
  <c r="BT548" i="1"/>
  <c r="BT547" i="1" s="1"/>
  <c r="BJ196" i="1"/>
  <c r="BI531" i="1"/>
  <c r="BI548" i="1" l="1"/>
  <c r="DP4" i="1"/>
  <c r="BT201" i="1"/>
  <c r="BT193" i="1" s="1"/>
  <c r="BT30" i="1" s="1"/>
  <c r="BT8" i="1" s="1"/>
  <c r="AR8" i="1"/>
  <c r="BO530" i="1"/>
  <c r="AH8" i="1"/>
  <c r="BR8" i="1"/>
  <c r="BP67" i="1"/>
  <c r="BP66" i="1" s="1"/>
  <c r="DP5" i="1"/>
  <c r="AI67" i="1"/>
  <c r="BJ67" i="1" s="1"/>
  <c r="BJ192" i="1"/>
  <c r="BT530" i="1"/>
  <c r="BP197" i="1"/>
  <c r="BQ198" i="1"/>
  <c r="BQ197" i="1" s="1"/>
  <c r="AX31" i="1"/>
  <c r="BJ201" i="1"/>
  <c r="AS32" i="1"/>
  <c r="AI31" i="1"/>
  <c r="BJ31" i="1" s="1"/>
  <c r="AX9" i="1"/>
  <c r="BP532" i="1"/>
  <c r="BP531" i="1" s="1"/>
  <c r="BP530" i="1" s="1"/>
  <c r="BQ533" i="1"/>
  <c r="BQ532" i="1" s="1"/>
  <c r="BQ531" i="1" s="1"/>
  <c r="BQ530" i="1" s="1"/>
  <c r="AL66" i="1"/>
  <c r="AX66" i="1" s="1"/>
  <c r="AX67" i="1"/>
  <c r="AL531" i="1"/>
  <c r="AX532" i="1"/>
  <c r="AI532" i="1"/>
  <c r="AS533" i="1"/>
  <c r="BJ533" i="1"/>
  <c r="BJ197" i="1"/>
  <c r="DN6" i="1"/>
  <c r="DN7" i="1" s="1"/>
  <c r="DO7" i="1"/>
  <c r="AI197" i="1"/>
  <c r="AS198" i="1"/>
  <c r="BI10" i="1"/>
  <c r="BJ11" i="1"/>
  <c r="AS11" i="1"/>
  <c r="AI10" i="1"/>
  <c r="AX197" i="1"/>
  <c r="AW197" i="1"/>
  <c r="AS548" i="1"/>
  <c r="AI547" i="1"/>
  <c r="AS547" i="1" s="1"/>
  <c r="AL193" i="1"/>
  <c r="AX193" i="1" s="1"/>
  <c r="BI66" i="1"/>
  <c r="BI547" i="1"/>
  <c r="BJ548" i="1"/>
  <c r="BH30" i="1"/>
  <c r="BH8" i="1" s="1"/>
  <c r="BJ32" i="1"/>
  <c r="BO193" i="1"/>
  <c r="BO30" i="1" s="1"/>
  <c r="BO8" i="1" s="1"/>
  <c r="BQ220" i="1"/>
  <c r="BQ201" i="1" s="1"/>
  <c r="BQ193" i="1" s="1"/>
  <c r="BQ30" i="1" s="1"/>
  <c r="BQ8" i="1" s="1"/>
  <c r="BP201" i="1"/>
  <c r="BI193" i="1"/>
  <c r="BJ194" i="1"/>
  <c r="BJ547" i="1" l="1"/>
  <c r="DP7" i="1"/>
  <c r="AI66" i="1"/>
  <c r="AS66" i="1" s="1"/>
  <c r="AS67" i="1"/>
  <c r="AI9" i="1"/>
  <c r="AS10" i="1"/>
  <c r="AS197" i="1"/>
  <c r="AI193" i="1"/>
  <c r="AS193" i="1" s="1"/>
  <c r="AL530" i="1"/>
  <c r="AX530" i="1" s="1"/>
  <c r="AX531" i="1"/>
  <c r="BI30" i="1"/>
  <c r="BI530" i="1"/>
  <c r="BI9" i="1"/>
  <c r="BJ10" i="1"/>
  <c r="AI531" i="1"/>
  <c r="AS532" i="1"/>
  <c r="BJ532" i="1"/>
  <c r="AS31" i="1"/>
  <c r="AL30" i="1"/>
  <c r="BP193" i="1"/>
  <c r="BP30" i="1" s="1"/>
  <c r="BP8" i="1" s="1"/>
  <c r="BJ193" i="1" l="1"/>
  <c r="AI30" i="1"/>
  <c r="AS30" i="1" s="1"/>
  <c r="BJ66" i="1"/>
  <c r="AI530" i="1"/>
  <c r="AS530" i="1" s="1"/>
  <c r="AS531" i="1"/>
  <c r="BJ531" i="1"/>
  <c r="BJ30" i="1"/>
  <c r="BI8" i="1"/>
  <c r="BJ9" i="1"/>
  <c r="AX30" i="1"/>
  <c r="AL8" i="1"/>
  <c r="AX8" i="1" s="1"/>
  <c r="AI8" i="1"/>
  <c r="AS8" i="1" s="1"/>
  <c r="AS9" i="1"/>
  <c r="BJ530" i="1" l="1"/>
  <c r="BJ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GateKeeper</author>
    <author>AEW-Plans</author>
  </authors>
  <commentList>
    <comment ref="Q4" authorId="0" shapeId="0" xr:uid="{EE85756D-3C71-471C-8BE3-BEB17AD56075}">
      <text>
        <r>
          <rPr>
            <b/>
            <sz val="8"/>
            <color indexed="81"/>
            <rFont val="Tahoma"/>
            <family val="2"/>
          </rPr>
          <t>โครงการ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6" authorId="0" shapeId="0" xr:uid="{D92852DF-6663-4A9B-8BD4-0DA8DEE89D3C}">
      <text>
        <r>
          <rPr>
            <b/>
            <sz val="8"/>
            <color indexed="81"/>
            <rFont val="Tahoma"/>
            <family val="2"/>
          </rPr>
          <t>รวม โครงการและอนุ6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6" authorId="0" shapeId="0" xr:uid="{0D6009EA-5F8C-4635-818D-CF5D4C606642}">
      <text>
        <r>
          <rPr>
            <b/>
            <sz val="8"/>
            <color indexed="81"/>
            <rFont val="Tahoma"/>
            <family val="2"/>
          </rPr>
          <t>โครงการ</t>
        </r>
      </text>
    </comment>
    <comment ref="AO6" authorId="0" shapeId="0" xr:uid="{7BA31905-7FE4-4317-AE45-C2F5B12FFA5B}">
      <text>
        <r>
          <rPr>
            <b/>
            <sz val="8"/>
            <color indexed="81"/>
            <rFont val="Tahoma"/>
            <family val="2"/>
          </rPr>
          <t>อนุ 6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D37" authorId="1" shapeId="0" xr:uid="{95B9B453-18A4-413D-AB57-3663F6E3E7D3}">
      <text>
        <r>
          <rPr>
            <b/>
            <sz val="9"/>
            <color indexed="81"/>
            <rFont val="Tahoma"/>
            <family val="2"/>
          </rPr>
          <t>โอนครั้งที่ 2340 -55,818.-</t>
        </r>
      </text>
    </comment>
    <comment ref="AD43" authorId="1" shapeId="0" xr:uid="{2DCAC0AD-EC98-479B-B4AB-34AECC214280}">
      <text>
        <r>
          <rPr>
            <b/>
            <sz val="9"/>
            <color indexed="81"/>
            <rFont val="Tahoma"/>
            <family val="2"/>
          </rPr>
          <t>โอนครั้งที่ 1079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44" authorId="1" shapeId="0" xr:uid="{23DCE939-A16F-451C-B699-7D43B4D6CC74}">
      <text>
        <r>
          <rPr>
            <b/>
            <sz val="9"/>
            <color indexed="81"/>
            <rFont val="Tahoma"/>
            <family val="2"/>
          </rPr>
          <t>โอนครั้งที่ 1511</t>
        </r>
      </text>
    </comment>
    <comment ref="AD45" authorId="1" shapeId="0" xr:uid="{E508812C-7947-4812-ABD8-A3F4438611BA}">
      <text>
        <r>
          <rPr>
            <b/>
            <sz val="9"/>
            <color indexed="81"/>
            <rFont val="Tahoma"/>
            <family val="2"/>
          </rPr>
          <t>โอนครั้งที่ 1079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46" authorId="1" shapeId="0" xr:uid="{24273F7B-B70D-49A8-A802-71491F9461E0}">
      <text>
        <r>
          <rPr>
            <b/>
            <sz val="9"/>
            <color indexed="81"/>
            <rFont val="Tahoma"/>
            <family val="2"/>
          </rPr>
          <t>โอนครั้งที่ 1133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47" authorId="1" shapeId="0" xr:uid="{D71046F3-E6CE-407F-9086-4F407FCAFD82}">
      <text>
        <r>
          <rPr>
            <b/>
            <sz val="9"/>
            <color indexed="81"/>
            <rFont val="Tahoma"/>
            <family val="2"/>
          </rPr>
          <t>โอนครั้งที่ 1133</t>
        </r>
      </text>
    </comment>
    <comment ref="AD48" authorId="1" shapeId="0" xr:uid="{040D8864-202B-4270-808E-7FB2A636F9CA}">
      <text>
        <r>
          <rPr>
            <b/>
            <sz val="9"/>
            <color indexed="81"/>
            <rFont val="Tahoma"/>
            <family val="2"/>
          </rPr>
          <t>โอนครั้งที่ 1133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50" authorId="1" shapeId="0" xr:uid="{D5BB6E09-80E3-4C69-BA8A-B9E65E53BE98}">
      <text>
        <r>
          <rPr>
            <b/>
            <sz val="9"/>
            <color indexed="81"/>
            <rFont val="Tahoma"/>
            <family val="2"/>
          </rPr>
          <t>โอนครั้งที่ 1206</t>
        </r>
        <r>
          <rPr>
            <sz val="9"/>
            <color indexed="81"/>
            <rFont val="Tahoma"/>
            <family val="2"/>
          </rPr>
          <t xml:space="preserve">
โอนครั้งที่ 1716</t>
        </r>
      </text>
    </comment>
    <comment ref="AD55" authorId="1" shapeId="0" xr:uid="{3BF58663-4165-4D78-869A-ED0E05955FA2}">
      <text>
        <r>
          <rPr>
            <b/>
            <sz val="9"/>
            <color indexed="81"/>
            <rFont val="Tahoma"/>
            <family val="2"/>
          </rPr>
          <t>โอนครั้งที่ 2067
-10501.50.-</t>
        </r>
      </text>
    </comment>
    <comment ref="AD62" authorId="1" shapeId="0" xr:uid="{CF460598-B2F3-408A-B538-A999D9F617F3}">
      <text>
        <r>
          <rPr>
            <b/>
            <sz val="9"/>
            <color indexed="81"/>
            <rFont val="Tahoma"/>
            <family val="2"/>
          </rPr>
          <t>โอนครั้งที่ 1079</t>
        </r>
      </text>
    </comment>
    <comment ref="AD63" authorId="1" shapeId="0" xr:uid="{C2D0E368-1401-4E7E-AC7E-E0155D931D9F}">
      <text>
        <r>
          <rPr>
            <b/>
            <sz val="9"/>
            <color indexed="81"/>
            <rFont val="Tahoma"/>
            <family val="2"/>
          </rPr>
          <t>โอนครั้งที่ 1033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65" authorId="1" shapeId="0" xr:uid="{25263EE6-C5F2-413E-8FAA-BC7963A1694D}">
      <text>
        <r>
          <rPr>
            <b/>
            <sz val="9"/>
            <color indexed="81"/>
            <rFont val="Tahoma"/>
            <family val="2"/>
          </rPr>
          <t>ครั้งที่ 1079</t>
        </r>
        <r>
          <rPr>
            <sz val="9"/>
            <color indexed="81"/>
            <rFont val="Tahoma"/>
            <family val="2"/>
          </rPr>
          <t xml:space="preserve">
ครั้งที่ 1511</t>
        </r>
      </text>
    </comment>
    <comment ref="AD163" authorId="1" shapeId="0" xr:uid="{B7E4079B-98E1-4E28-96CB-A2933580E1E8}">
      <text>
        <r>
          <rPr>
            <b/>
            <sz val="9"/>
            <color indexed="81"/>
            <rFont val="Tahoma"/>
            <family val="2"/>
          </rPr>
          <t>ครั้งที่  1716</t>
        </r>
        <r>
          <rPr>
            <sz val="9"/>
            <color indexed="81"/>
            <rFont val="Tahoma"/>
            <family val="2"/>
          </rPr>
          <t xml:space="preserve">
ครั้งที่ 2399  -6436.16</t>
        </r>
      </text>
    </comment>
    <comment ref="AD164" authorId="1" shapeId="0" xr:uid="{04779344-2A61-41F5-8C42-A3B8A3B1BBB7}">
      <text>
        <r>
          <rPr>
            <b/>
            <sz val="9"/>
            <color indexed="81"/>
            <rFont val="Tahoma"/>
            <family val="2"/>
          </rPr>
          <t>1716</t>
        </r>
        <r>
          <rPr>
            <sz val="9"/>
            <color indexed="81"/>
            <rFont val="Tahoma"/>
            <family val="2"/>
          </rPr>
          <t xml:space="preserve">
2399</t>
        </r>
      </text>
    </comment>
    <comment ref="AD175" authorId="1" shapeId="0" xr:uid="{B8926C97-8B30-4E17-AE8B-1D6FDF85E00E}">
      <text>
        <r>
          <rPr>
            <b/>
            <sz val="9"/>
            <color indexed="81"/>
            <rFont val="Tahoma"/>
            <family val="2"/>
          </rPr>
          <t>2399  -1603.60.-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76" authorId="1" shapeId="0" xr:uid="{6A7810A7-F75E-4781-AC9F-5B5578BA670E}">
      <text>
        <r>
          <rPr>
            <b/>
            <sz val="9"/>
            <color indexed="81"/>
            <rFont val="Tahoma"/>
            <family val="2"/>
          </rPr>
          <t>โอนครั้งที่ 1716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84" authorId="1" shapeId="0" xr:uid="{8DC7ACA8-D1CC-48D8-9EE9-3C6571C0D959}">
      <text>
        <r>
          <rPr>
            <b/>
            <sz val="9"/>
            <color indexed="81"/>
            <rFont val="Tahoma"/>
            <family val="2"/>
          </rPr>
          <t>โอนครั้งที่ 1511 -</t>
        </r>
      </text>
    </comment>
    <comment ref="AC192" authorId="1" shapeId="0" xr:uid="{C9538A1B-2785-4276-AD0B-A6954C8FBFAC}">
      <text>
        <r>
          <rPr>
            <b/>
            <sz val="9"/>
            <color indexed="81"/>
            <rFont val="Tahoma"/>
            <family val="2"/>
          </rPr>
          <t>โอนครั้งที่ 1099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92" authorId="1" shapeId="0" xr:uid="{7667B9C1-353D-466B-921C-723A815418A7}">
      <text>
        <r>
          <rPr>
            <b/>
            <sz val="9"/>
            <color indexed="81"/>
            <rFont val="Tahoma"/>
            <family val="2"/>
          </rPr>
          <t xml:space="preserve">โอนครั้งที่ 1099
โอนครั้งที่ 1206
</t>
        </r>
        <r>
          <rPr>
            <sz val="9"/>
            <color indexed="81"/>
            <rFont val="Tahoma"/>
            <family val="2"/>
          </rPr>
          <t xml:space="preserve">
โอนครั้งที่ 1716
โอนครั้งที่ 1716 2 รอบ
โอนครั้งที่ 2344
11,920.-</t>
        </r>
      </text>
    </comment>
    <comment ref="Y199" authorId="1" shapeId="0" xr:uid="{43BE59C7-17A4-4CE4-853C-5EACBE50CFED}">
      <text>
        <r>
          <rPr>
            <b/>
            <sz val="9"/>
            <color indexed="81"/>
            <rFont val="Tahoma"/>
            <family val="2"/>
          </rPr>
          <t>โอนคร้งที่ 336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00" authorId="1" shapeId="0" xr:uid="{47A0E507-38CE-4945-9399-9E66C59AD7CF}">
      <text>
        <r>
          <rPr>
            <b/>
            <sz val="9"/>
            <color indexed="81"/>
            <rFont val="Tahoma"/>
            <family val="2"/>
          </rPr>
          <t>โอนครั้งที่ 336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00" authorId="1" shapeId="0" xr:uid="{B11FE529-1088-4C2D-950E-C2A3D8F6A6D7}">
      <text>
        <r>
          <rPr>
            <b/>
            <sz val="9"/>
            <color indexed="81"/>
            <rFont val="Tahoma"/>
            <family val="2"/>
          </rPr>
          <t>โอนครั้งที่ 2109
325,000.-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20" authorId="1" shapeId="0" xr:uid="{085D132C-146F-4028-81F1-C039B432AF18}">
      <text>
        <r>
          <rPr>
            <sz val="9"/>
            <color indexed="81"/>
            <rFont val="Tahoma"/>
            <family val="2"/>
          </rPr>
          <t xml:space="preserve">ครั้งที่ 14
</t>
        </r>
      </text>
    </comment>
    <comment ref="AD220" authorId="1" shapeId="0" xr:uid="{5AEA663B-BDA9-459F-885D-FF3D1060482C}">
      <text>
        <r>
          <rPr>
            <b/>
            <sz val="9"/>
            <color indexed="81"/>
            <rFont val="Tahoma"/>
            <family val="2"/>
          </rPr>
          <t>โอนครั้งที่ 1058</t>
        </r>
        <r>
          <rPr>
            <sz val="9"/>
            <color indexed="81"/>
            <rFont val="Tahoma"/>
            <family val="2"/>
          </rPr>
          <t xml:space="preserve">
โอนครั้งที่ 1325</t>
        </r>
      </text>
    </comment>
    <comment ref="AD417" authorId="1" shapeId="0" xr:uid="{359DA799-01BD-404C-80C1-06452FB2E7A6}">
      <text>
        <r>
          <rPr>
            <b/>
            <sz val="9"/>
            <color indexed="81"/>
            <rFont val="Tahoma"/>
            <family val="2"/>
          </rPr>
          <t>โอนครั้งที่ 1716</t>
        </r>
      </text>
    </comment>
    <comment ref="AD424" authorId="1" shapeId="0" xr:uid="{32051C63-81D9-4019-9537-FEE45A44273C}">
      <text>
        <r>
          <rPr>
            <b/>
            <sz val="9"/>
            <color indexed="81"/>
            <rFont val="Tahoma"/>
            <family val="2"/>
          </rPr>
          <t>ครั้งที่ 1716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465" authorId="1" shapeId="0" xr:uid="{42BF85D4-8A30-4FC8-A037-DF9B8135DFF0}">
      <text>
        <r>
          <rPr>
            <b/>
            <sz val="9"/>
            <color indexed="81"/>
            <rFont val="Tahoma"/>
            <family val="2"/>
          </rPr>
          <t>2399  1600.35.-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477" authorId="1" shapeId="0" xr:uid="{569B38F5-D073-4C2F-9552-0C71D44D6BDE}">
      <text>
        <r>
          <rPr>
            <b/>
            <sz val="9"/>
            <color indexed="81"/>
            <rFont val="Tahoma"/>
            <family val="2"/>
          </rPr>
          <t>2399 -1072.34.-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510" authorId="1" shapeId="0" xr:uid="{8478F2E5-B3E3-4E2C-ACBF-D60B89B9C5F7}">
      <text>
        <r>
          <rPr>
            <b/>
            <sz val="9"/>
            <color indexed="81"/>
            <rFont val="Tahoma"/>
            <family val="2"/>
          </rPr>
          <t>โอนครั้งที่ 1133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511" authorId="1" shapeId="0" xr:uid="{D10060C8-6888-40E3-8461-D81AB3B73177}">
      <text>
        <r>
          <rPr>
            <b/>
            <sz val="9"/>
            <color indexed="81"/>
            <rFont val="Tahoma"/>
            <family val="2"/>
          </rPr>
          <t>โอนคร้งที่ 1133</t>
        </r>
      </text>
    </comment>
    <comment ref="AD515" authorId="1" shapeId="0" xr:uid="{7EB952E4-85B5-46FC-A1F4-D9DAF8046D92}">
      <text>
        <r>
          <rPr>
            <b/>
            <sz val="9"/>
            <color indexed="81"/>
            <rFont val="Tahoma"/>
            <family val="2"/>
          </rPr>
          <t>โอนครั้งที่ 690 -389332.86.-</t>
        </r>
        <r>
          <rPr>
            <sz val="9"/>
            <color indexed="81"/>
            <rFont val="Tahoma"/>
            <family val="2"/>
          </rPr>
          <t xml:space="preserve">
โอนครั้งที่ 1206
-8789.-
โอนครั้งที่ 1716</t>
        </r>
      </text>
    </comment>
    <comment ref="AD533" authorId="1" shapeId="0" xr:uid="{F7581E67-6073-4F4E-9E96-7B47E67C6C60}">
      <text>
        <r>
          <rPr>
            <b/>
            <sz val="9"/>
            <color indexed="81"/>
            <rFont val="Tahoma"/>
            <family val="2"/>
          </rPr>
          <t>โอนครั้งที่ 2068
-542087.-</t>
        </r>
      </text>
    </comment>
    <comment ref="AD537" authorId="1" shapeId="0" xr:uid="{B5C11A7C-0F94-4E0F-9D75-F7ACAFDA15F0}">
      <text>
        <r>
          <rPr>
            <b/>
            <sz val="9"/>
            <color indexed="81"/>
            <rFont val="Tahoma"/>
            <family val="2"/>
          </rPr>
          <t>โอนครั้งที่ 230
โอนครั้งที่ 691</t>
        </r>
      </text>
    </comment>
    <comment ref="BV537" authorId="1" shapeId="0" xr:uid="{CDB9A5AA-6774-4732-9B05-54CEDA1EE2FC}">
      <text>
        <r>
          <rPr>
            <b/>
            <sz val="9"/>
            <color indexed="81"/>
            <rFont val="Tahoma"/>
            <family val="2"/>
          </rPr>
          <t>โอนครั้งที่ 230
โอนครั้งที่ 691</t>
        </r>
      </text>
    </comment>
    <comment ref="AD538" authorId="1" shapeId="0" xr:uid="{1B0FFB6B-BD98-45CC-B567-BAB4CED2989F}">
      <text>
        <r>
          <rPr>
            <b/>
            <sz val="9"/>
            <color indexed="81"/>
            <rFont val="Tahoma"/>
            <family val="2"/>
          </rPr>
          <t>โอนครั้งที่ 230
โอนครั้งที่ 691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V538" authorId="1" shapeId="0" xr:uid="{1243C7A7-B316-4880-B95B-1D5C156E41ED}">
      <text>
        <r>
          <rPr>
            <b/>
            <sz val="9"/>
            <color indexed="81"/>
            <rFont val="Tahoma"/>
            <family val="2"/>
          </rPr>
          <t>โอนครั้งที่ 230
โอนครั้งที่ 691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539" authorId="1" shapeId="0" xr:uid="{70302539-2226-47B9-97DE-03DAAD9EDBDF}">
      <text>
        <r>
          <rPr>
            <b/>
            <sz val="9"/>
            <color indexed="81"/>
            <rFont val="Tahoma"/>
            <family val="2"/>
          </rPr>
          <t>โอนครั้งที่ 230
โอนครั้งที่ 691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V539" authorId="1" shapeId="0" xr:uid="{22A93DCA-F4DF-429B-A330-423A51AB5DE3}">
      <text>
        <r>
          <rPr>
            <b/>
            <sz val="9"/>
            <color indexed="81"/>
            <rFont val="Tahoma"/>
            <family val="2"/>
          </rPr>
          <t>โอนครั้งที่ 230
โอนครั้งที่ 691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545" authorId="1" shapeId="0" xr:uid="{EB9B9DF6-50BD-4080-BEAF-3C3E4B396289}">
      <text>
        <r>
          <rPr>
            <b/>
            <sz val="9"/>
            <color indexed="81"/>
            <rFont val="Tahoma"/>
            <family val="2"/>
          </rPr>
          <t>โอนครั้งที่ 1967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549" authorId="1" shapeId="0" xr:uid="{596A8411-4691-4EB1-BC49-9E10AC787C2A}">
      <text>
        <r>
          <rPr>
            <b/>
            <sz val="9"/>
            <color indexed="81"/>
            <rFont val="Tahoma"/>
            <family val="2"/>
          </rPr>
          <t>โอนครั้งที่ 785 -50,530.-</t>
        </r>
      </text>
    </comment>
    <comment ref="AD550" authorId="1" shapeId="0" xr:uid="{B25BEF6D-8884-48D1-9891-217CC7E38364}">
      <text>
        <r>
          <rPr>
            <b/>
            <sz val="9"/>
            <color indexed="81"/>
            <rFont val="Tahoma"/>
            <family val="2"/>
          </rPr>
          <t>โอนครั้งที่ 1294
โอนครั้งที่ 1717</t>
        </r>
      </text>
    </comment>
  </commentList>
</comments>
</file>

<file path=xl/sharedStrings.xml><?xml version="1.0" encoding="utf-8"?>
<sst xmlns="http://schemas.openxmlformats.org/spreadsheetml/2006/main" count="4417" uniqueCount="1364">
  <si>
    <t>สรุปผลการเบิกจ่ายงบประมาณรายจ่ายงบลงทุน ตาม พ.ร.บ. ปีงบประมาณ 2568</t>
  </si>
  <si>
    <t>สำนักงานชลประทานที่ 2</t>
  </si>
  <si>
    <t>ข้อมูล ณ วันที่ 13 มิ.ย. 68</t>
  </si>
  <si>
    <t>หน่วยงานดำเนินการ</t>
  </si>
  <si>
    <t>โครงการ / รายการ</t>
  </si>
  <si>
    <t>จำนวน
โครงการ</t>
  </si>
  <si>
    <t>งบประมาณ
ตาม พ.ร.บ.</t>
  </si>
  <si>
    <t>สถานที่ดำเนินการ</t>
  </si>
  <si>
    <t>ประมาณการตาม cash flow</t>
  </si>
  <si>
    <t>การโอนเปลี่ยนแปลง ครั้งที่ 1 (ค่าดำเนินงาน)</t>
  </si>
  <si>
    <t>การโอนเปลี่ยนแปลง ครั้งที่ 2 (ค่าดำเนินงาน)</t>
  </si>
  <si>
    <t>การโอนเปลี่ยนแปลง ครั้งที่ 3 (ค่าดำเนินงาน)</t>
  </si>
  <si>
    <t>อนุมัติเงินงวด</t>
  </si>
  <si>
    <t>ผลการเบิกจ่าย</t>
  </si>
  <si>
    <t>ข้อผูกพัน (PO)</t>
  </si>
  <si>
    <t>ผลการใช้จ่าย</t>
  </si>
  <si>
    <t>%
แผนงาน</t>
  </si>
  <si>
    <t>%
ผลงาน</t>
  </si>
  <si>
    <t>หมายเหตุ</t>
  </si>
  <si>
    <t>เกษตรจังหวัด</t>
  </si>
  <si>
    <t>ยอดเงินคงเหลือ</t>
  </si>
  <si>
    <t>คืนเงิน ข้อมูล ณ 23 มิ.ย. 68</t>
  </si>
  <si>
    <t>แผนเบิกจ่าย</t>
  </si>
  <si>
    <t>รหัสงบประมาณ</t>
  </si>
  <si>
    <t>รหัสกิจกรรมหลัก</t>
  </si>
  <si>
    <t>กิจกรรมย่อย</t>
  </si>
  <si>
    <t>พื้นที่ ชลประทาน
(ไร่)</t>
  </si>
  <si>
    <t>พื้นที่รับประโยชน์
(ไร่)</t>
  </si>
  <si>
    <t>จำนวน
ครัวเรือน</t>
  </si>
  <si>
    <t>ฝายสูง</t>
  </si>
  <si>
    <t>ขนาด ปตร. / ทรบ.</t>
  </si>
  <si>
    <t>ข้อมูลด้านวิศวกรรมเขื่อน/อ่างเก็บน้ำ</t>
  </si>
  <si>
    <t>ดำเนินการเอง</t>
  </si>
  <si>
    <t>รวม</t>
  </si>
  <si>
    <t>โครงการ</t>
  </si>
  <si>
    <t>ค่าอำนวยการ</t>
  </si>
  <si>
    <t>ส่วนกลาง</t>
  </si>
  <si>
    <t>ว/ด/ป</t>
  </si>
  <si>
    <t>อนุ 6</t>
  </si>
  <si>
    <t>จำนวน</t>
  </si>
  <si>
    <t>ยาว</t>
  </si>
  <si>
    <t>กว้าง</t>
  </si>
  <si>
    <t>สูง</t>
  </si>
  <si>
    <t>สันเขื่อนกว้าง</t>
  </si>
  <si>
    <t>ระดับสันเขื่อน</t>
  </si>
  <si>
    <t>ระดับน้ำสูงสุด</t>
  </si>
  <si>
    <t>ระดับน้ำเก็บกัก</t>
  </si>
  <si>
    <t>ระดับน้ำต่ำสุด</t>
  </si>
  <si>
    <t>ความจุที่ระดับน้ำสูงสุด</t>
  </si>
  <si>
    <t>ความจุที่ระดับน้ำเก็บกัก</t>
  </si>
  <si>
    <t>ความจุที่ระดับน้ำต่ำสุด</t>
  </si>
  <si>
    <t>อาคารระบายน้ำลงลำน้ำเดิม</t>
  </si>
  <si>
    <t>อาคารระบายน้ำล้น</t>
  </si>
  <si>
    <t>จ้างเหมาบางส่วน</t>
  </si>
  <si>
    <t>ตำบล</t>
  </si>
  <si>
    <t>อำเภอ</t>
  </si>
  <si>
    <t>จังหวัด</t>
  </si>
  <si>
    <t>จ้างเหมา</t>
  </si>
  <si>
    <t>ทำเอง</t>
  </si>
  <si>
    <t>ครั้งที่</t>
  </si>
  <si>
    <t>ว.ด.ป.</t>
  </si>
  <si>
    <t>วงเงิน</t>
  </si>
  <si>
    <t>%
เบิกจ่าย</t>
  </si>
  <si>
    <t>%</t>
  </si>
  <si>
    <t>ความสูง</t>
  </si>
  <si>
    <t>ขนาดท่อ (Æ)</t>
  </si>
  <si>
    <t>ระบายน้ำได้</t>
  </si>
  <si>
    <t>ชนิด</t>
  </si>
  <si>
    <t>ขนาด(ยาว)</t>
  </si>
  <si>
    <t>ประเภทงาน</t>
  </si>
  <si>
    <t>จ้างเหมาทั้งโครงการ</t>
  </si>
  <si>
    <t>เบิกจ่าย</t>
  </si>
  <si>
    <t>ต.ค.</t>
  </si>
  <si>
    <t>พ.ย.</t>
  </si>
  <si>
    <t>ธ.ค.</t>
  </si>
  <si>
    <t>ม.ค.</t>
  </si>
  <si>
    <t>ก.พ.</t>
  </si>
  <si>
    <t>มี.ค.</t>
  </si>
  <si>
    <t>เม.ย.</t>
  </si>
  <si>
    <t>พ.ค.</t>
  </si>
  <si>
    <t>มิ.ย.</t>
  </si>
  <si>
    <t>ก.ค.</t>
  </si>
  <si>
    <t>ส.ค.</t>
  </si>
  <si>
    <t>ก.ย.</t>
  </si>
  <si>
    <t>เมตร</t>
  </si>
  <si>
    <t>ช่อง</t>
  </si>
  <si>
    <t>(ม.รทก.)</t>
  </si>
  <si>
    <t>(ล้าน ลบ.ม.)</t>
  </si>
  <si>
    <t>(ลบ.ม./วินาที)</t>
  </si>
  <si>
    <t>รวมทั้งหมด</t>
  </si>
  <si>
    <t>หัวข้อ</t>
  </si>
  <si>
    <t>แผนงาน : พื้นฐานด้านการสร้างการเติบโตบนคุณภาพชีวิตที่เป็นมิตรต่อสิ่งแวดล้อม</t>
  </si>
  <si>
    <t>ผลผลิต : การจัดการงานชลประทาน</t>
  </si>
  <si>
    <t>ค่าก่อสร้างอื่นๆ</t>
  </si>
  <si>
    <t>คบ.แม่ลาว</t>
  </si>
  <si>
    <t>ซ่อมแซมที่ทำการฝ่ายส่งน้ำและบำรุงรักษาที่ 3 จำนวน 1 หลัง โครงการส่งน้ำและบำรุงรักษาแม่ลาว ตำบลแม่เย็น อำเภอพาน จังหวัดเชียงราย</t>
  </si>
  <si>
    <t>แม่เย็น</t>
  </si>
  <si>
    <t>พาน</t>
  </si>
  <si>
    <t>เชียงราย</t>
  </si>
  <si>
    <t>07003570001003210104</t>
  </si>
  <si>
    <t>07003688305300000</t>
  </si>
  <si>
    <t>ซ่อมแซมที่ทำการฝ่ายส่งน้ำและบำรุงรักษาที่ 1 จำนวน 1 หลัง โครงการส่งน้ำและบำรุงรักษาแม่ลาว ตำบลสันกลาง อำเภอพาน จังหวัดเชียงราย</t>
  </si>
  <si>
    <t>สันกลาง</t>
  </si>
  <si>
    <t>07003570001003210105</t>
  </si>
  <si>
    <t>ซ่อมแซมที่ทำการฝ่ายส่งน้ำและบำรุงรักษาที่ 4 โรงเก็บวัสดุและโรงจอดรถ โครงการส่งน้ำและบำรุงรักษาแม่ลาว ตำบลสันทราย อำเภอเมืองเชียงราย จังหวัดเชียงราย</t>
  </si>
  <si>
    <t>สันทราย</t>
  </si>
  <si>
    <t>เมืองเชียงราย</t>
  </si>
  <si>
    <t>07003570001003210106</t>
  </si>
  <si>
    <t>คป.เชียงราย</t>
  </si>
  <si>
    <t>ซ่อมแซมบ้านพักข้าราชการระดับ 3-4 ฝายถ้ำวอก จำนวน 1 หลัง โครงการชลประทานเชียงราย ตำบลจอมหมอกแก้ว อำเภอแม่ลาว จังหวัดเชียงราย</t>
  </si>
  <si>
    <t>จอมหมอกแก้ว</t>
  </si>
  <si>
    <t>แม่ลาว</t>
  </si>
  <si>
    <t>07003570001003210107</t>
  </si>
  <si>
    <t>คส.ชป.2</t>
  </si>
  <si>
    <t>ซ่อมแซมอาคารบ้านพัก 2 ชั้น แห่งที่ 1 โครงการก่อสร้าง สำนักงานชลประทานที่ 2 ตำบลแม่สรวย อำเภอแม่สรวย จังหวัดเชียงราย</t>
  </si>
  <si>
    <t>แม่สรวย</t>
  </si>
  <si>
    <t>07003570001003210109</t>
  </si>
  <si>
    <t>ซ่อมแซมอาคารบ้านพักข้าราชการระดับบริหาร 2 แห่ง โครงการก่อสร้าง สำนักงานชลประทานที่ 2 ตำบลแม่สรวย อำเภอแม่สรวย จังหวัดเชียงราย</t>
  </si>
  <si>
    <t>07003570001003210110</t>
  </si>
  <si>
    <t>คป.น่าน</t>
  </si>
  <si>
    <t>ซ่อมแซมอาคารที่ทำการฝ่ายส่งน้ำและบำรุงรักษาที่ 4 โครงการชลประทานน่าน ตำบลพญาแก้ว อำเภอเชียงกลาง จังหวัดน่าน</t>
  </si>
  <si>
    <t>พญาแก้ว</t>
  </si>
  <si>
    <t>เชียงกลาง</t>
  </si>
  <si>
    <t>น่าน</t>
  </si>
  <si>
    <t>07003570001003210243</t>
  </si>
  <si>
    <t>อาคารที่ทำการอเนกประสงค์ขนาดเล็ก พร้อมอาคารประกอบ ฝายน้ำย่าง (ขนาดกลาง) ฝ่ายส่งน้ำและบำรุงรักษาที่ 3 โครงการชลประทานน่าน ตำบลศิลาเพชร อำเภอปัว จังหวัดน่าน</t>
  </si>
  <si>
    <t>ศิลาเพชร</t>
  </si>
  <si>
    <t>ปัว</t>
  </si>
  <si>
    <t>07003570001003210244</t>
  </si>
  <si>
    <t>อาคารที่ทำการอเนกประสงค์ขนาดเล็ก พร้อมอาคารประกอบ ฝายน้ำปัว (ขนาดกลาง) ฝ่ายส่งน้ำและบำรุงรักษาที่ 3 โครงการชลประทานน่าน ตำบลสถาน อำเภอปัว จังหวัดน่าน</t>
  </si>
  <si>
    <t>สถาน</t>
  </si>
  <si>
    <t>07003570001003210245</t>
  </si>
  <si>
    <t>อาคารที่ทำการอเนกประสงค์ขนาดเล็ก พร้อมอาคารประกอบ อ่างเก็บน้ำน้ำพง (พรด.) ฝ่ายส่งน้ำและบำรุงรักษาที่ 3 โครงการชลประทานน่าน ตำบลพงษ์ อำเภอสันติสุข จังหวัดน่าน</t>
  </si>
  <si>
    <t>พงษ์</t>
  </si>
  <si>
    <t>สันติสุข</t>
  </si>
  <si>
    <t>07003570001003210246</t>
  </si>
  <si>
    <t>คป.พะเยา</t>
  </si>
  <si>
    <t>ซ่อมแซมบ้านพักข้าราชการ ระดับ 1-2 โครงการชลประทานพะเยา ตำบลดอกคำใต้ อำเภอดอกคำใต้ จังหวัดพะเยา</t>
  </si>
  <si>
    <t>ดอกคำใต้</t>
  </si>
  <si>
    <t>พะเยา</t>
  </si>
  <si>
    <t>07003570001003210286</t>
  </si>
  <si>
    <t>ซ่อมแซมห้องน้ำ ที่ทำการอ่างเก็บน้ำแม่ต๋ำ โครงการชลประทานพะเยา ตำบลแม่กา อำเภอเมืองพะเยา จังหวัดพะเยา</t>
  </si>
  <si>
    <t>แม่กา</t>
  </si>
  <si>
    <t>เมืองพะเยา</t>
  </si>
  <si>
    <t>07003570001003210287</t>
  </si>
  <si>
    <t>ซ่อมแซมสำนักงาน จำนวน 1 หลัง ที่ทำการอ่างเก็บน้ำแม่ต๋ำ โครงการชลประทานพะเยา ตำบลแม่กา อำเภอเมืองพะเยา จังหวัดพะเยา</t>
  </si>
  <si>
    <t>07003570001003210288</t>
  </si>
  <si>
    <t>รักษาบริเวณ</t>
  </si>
  <si>
    <t>ปรับปรุงบ้านพัก 10 ครอบครัว (ง.21-ง.30) บริเวณส่วนเครื่องจักรกล สำนักงานชลประทานที่ 2 ตำบลชมพู อำเภอเมืองลำปาง จังหวัดลำปาง</t>
  </si>
  <si>
    <t>ชมพู</t>
  </si>
  <si>
    <t>เมืองลำปาง</t>
  </si>
  <si>
    <t>ลำปาง</t>
  </si>
  <si>
    <t>0700300037</t>
  </si>
  <si>
    <t>07003570001003210370</t>
  </si>
  <si>
    <t>คป.ลำปาง</t>
  </si>
  <si>
    <t>อาคาร โรงงานซ่อมบำรุงและเก็บวัสดุ โครงการชลประทานลำปาง ตำบลบ่อแฮ้ว อำเภอเมืองลำปาง จังหวัดลำปาง</t>
  </si>
  <si>
    <t>บ่อแฮ้ว</t>
  </si>
  <si>
    <t>07003570001003210372</t>
  </si>
  <si>
    <t>ซ่อมแซมระบบไฟฟ้าและระบบประปา โครงการส่งน้ำและบำรุงรักษาแม่ลาว ตำบลดงมะดะ อำเภอแม่ลาว จังหวัดเชียงราย</t>
  </si>
  <si>
    <t>ดงมะดะ</t>
  </si>
  <si>
    <t>07003570001003210108</t>
  </si>
  <si>
    <t>ส่วนเครื่องจักรกล</t>
  </si>
  <si>
    <t>ซ่อมแซมท่อส่งน้ำประปาบ้านพักข้าราชการและเจ้าหน้าที่ สำนักงานชลประทานที่ 2 ตำบลชมพู อำเภอเมืองลำปาง จังหวัดลำปาง</t>
  </si>
  <si>
    <t>07003570001003210371</t>
  </si>
  <si>
    <t>ซ่อมแซมบำรุงรักษาระบบไฟฟ้า ระบประปา และโทรศัพท์ อาคารที่ทำการโครงการชลประทานลำปาง ตำบลบ่อแฮ้ว อำเภอเมืองลำปาง จังหวัดลำปาง</t>
  </si>
  <si>
    <t>07003570001003210374</t>
  </si>
  <si>
    <t>แผนงาน : ยุทธศาสตร์เสริมสร้างประสิทธิภาพการบริหารจัดการทรัพยากรน้ำ</t>
  </si>
  <si>
    <t>โครงการ : โครงการปรับปรุงงานชลประทาน</t>
  </si>
  <si>
    <t>ค่าปรับปรุงแหล่งน้ำ</t>
  </si>
  <si>
    <t>ปรับปรุงอาคารอัดน้ำพร้อมติดตั้งเกียร์มอเตอร์ โครงการส่งน้ำและบำรุงรักษาแม่ลาว ตำบลสันติสุข อำเภอพาน จังหวัดเชียงราย</t>
  </si>
  <si>
    <t>07003550036003210038</t>
  </si>
  <si>
    <t>07003680006200000</t>
  </si>
  <si>
    <t>ปรับปรุงเสริมขอบคอนกรีตดาดคันคลองสายใหญ่ฝั่งขวา RMC กม.29+668 -กม.30+618 โครงการส่งน้ำและบำรุงรักษาแม่ลาว ตำบลม่วงคำ อำเภอพาน จังหวัดเชียงราย</t>
  </si>
  <si>
    <t>ม่วงคำ</t>
  </si>
  <si>
    <t>07003550036003210039</t>
  </si>
  <si>
    <t>ปรับปรุงคลองแยกซอย 1L-RMC พร้อมอาคารประกอบ โครงการส่งน้ำและบำรุงรักษาแม่ลาว ตำบลธารทอง อำเภอพาน จังหวัดเชียงราย</t>
  </si>
  <si>
    <t>ธารทอง</t>
  </si>
  <si>
    <t>07003550036003210041</t>
  </si>
  <si>
    <t>ปรับปรุงคลองแยกซอย FTO.39L-RMC พร้อมอาคารประกอบ โครงการส่งน้ำและบำรุงรักษาแม่ลาว ตำบลม่วงคำ อำเภอพาน จังหวัดเชียงราย</t>
  </si>
  <si>
    <t>07003550036003210042</t>
  </si>
  <si>
    <t>ปรับปรุงคลองแยกซอย 9L-15L-RMC โครงการส่งน้ำและบำรุงรักษาแม่ลาว ตำบลทานตะวัน อำเภอพาน จังหวัดเชียงราย</t>
  </si>
  <si>
    <t>ทานตะวัน</t>
  </si>
  <si>
    <t>07003550036003210043</t>
  </si>
  <si>
    <t>ปรับปรุงคลองแยกซอย FTO 8 R-LMC พร้อมอาคารประกอบ โครงการส่งน้ำและบำรุงรักษาแม่ลาว ตำบลดงมะดะ อำเภอแม่ลาว จังหวัดเชียงราย</t>
  </si>
  <si>
    <t>07003550036003210044</t>
  </si>
  <si>
    <t>ปรับปรุงระบบส่งน้ำ 1R-MP อ่างเก็บน้ำห้วยน้ำฮิ(พรด.) โครงการชลประทานน่าน ตำบลปงสนุก อำเภอเวียงสา จังหวัดน่าน</t>
  </si>
  <si>
    <t>ปงสนุก</t>
  </si>
  <si>
    <t>เวียงสา</t>
  </si>
  <si>
    <t>07003550036003210099</t>
  </si>
  <si>
    <t>ปรับปรุงระบบกระจายน้ำอ่างเก็บน้ำน้ำสอด โครงการชลประทานน่าน ตำบลเรือง อำเภอเมืองน่าน จังหวัดน่าน</t>
  </si>
  <si>
    <t>เรือง</t>
  </si>
  <si>
    <t>เมืองน่าน</t>
  </si>
  <si>
    <t>07003550036003210100</t>
  </si>
  <si>
    <t>ปรับปรุงคลองแยกซอย 1R-17L-RMC โครงการส่งน้ำและบำรุงรักษาแม่ลาว ตำบลป่าแฝก อำเภอแม่ใจ จังหวัดพะเยา</t>
  </si>
  <si>
    <t>ป่าแฝก</t>
  </si>
  <si>
    <t>แม่ใจ</t>
  </si>
  <si>
    <t>07003550036003210130</t>
  </si>
  <si>
    <t>คบ.แม่วัง</t>
  </si>
  <si>
    <t>ปรับปรุงอาคารอัดน้ำ พร้อมติดตั้งเกียร์มอเตอร์ อาคารอัดน้ำกลางคลอง ซอย 9 LMC โครงการส่งน้ำและบำรุงรักษาแม่วัง ตำบลพระบาท อำเภอเมืองลำปาง จังหวัดลำปาง</t>
  </si>
  <si>
    <t>พระบาท</t>
  </si>
  <si>
    <t>07003550036003210166</t>
  </si>
  <si>
    <t>ปรับปรุงระบบส่งน้ำฝายลูกที่ 5 ห้วยแม่ปูน พร้อมอาคารประกอบ ระยะที่ 1 โครงการส่งน้ำและบำรุงรักษาแม่วัง ตำบลชมพู อำเภอเมืองลำปาง จังหวัดลำปาง</t>
  </si>
  <si>
    <t>07003550036003210167</t>
  </si>
  <si>
    <t>ปรับปรุงคลองซอย 10 LMC.แม่วัง กม.2+279 – กม.2+689 ความยาว 410 เมตร โครงการส่งน้ำและบำรุงรักษาแม่วัง ตำบลชมพู อำเภอเมืองลำปาง จังหวัดลำปาง</t>
  </si>
  <si>
    <t>07003550036003210168</t>
  </si>
  <si>
    <t>ปรับปรุงกำแพงกันดิน กม.3+675 - 4+390 คลองส่งน้ำสายใหญ่แม่วังฝั่งขวา ความยาว 715 เมตร โครงการส่งน้ำและบำรุงรักษาแม่วัง ตำบลบุญนาคพัฒนา อำเภอเมืองลำปาง จังหวัดลำปาง</t>
  </si>
  <si>
    <t>บุญนาคพัฒนา</t>
  </si>
  <si>
    <t>07003550036003210169</t>
  </si>
  <si>
    <t>คบ.กิ่วลม-กิ่วคอหมา</t>
  </si>
  <si>
    <t>ปรับปรุงอาคารทิ้งน้ำห้วยหลวง กม.16+990 โครงการส่งน้ำและบำรุงรักษากิ่วลม-กิ่วคอหมา ตำบลนิคมพัฒนา อำเภอเมืองลำปาง จังหวัดลำปาง</t>
  </si>
  <si>
    <t>นิคมพัฒนา</t>
  </si>
  <si>
    <t>07003550036003210170</t>
  </si>
  <si>
    <t>ปรับปรุงท่อลอดห้วยแม่ก๋ง-RMC.กิ่วลม พร้อมอาคารประกอบ โครงการส่งน้ำและบำรุงรักษากิ่วลม-กิ่วคอหมา ตำบลบ้านเป้า อำเภอเมืองลำปาง จังหวัดลำปาง</t>
  </si>
  <si>
    <t>บ้านเป้า</t>
  </si>
  <si>
    <t>07003550036003210171</t>
  </si>
  <si>
    <t>ปรับปรุงคลองซอย 38.8L-RMC.กิ่วลม พร้อมอาคารประกอบ โครงการส่งน้ำและบำรุงรักษากิ่วลม-กิ่วคอหมา ตำบลบ้านเป้า อำเภอเมืองลำปาง จังหวัดลำปาง</t>
  </si>
  <si>
    <t>07003550036003210172</t>
  </si>
  <si>
    <t>ปรับปรุง ปตร.คลองส่งน้ำสายใหญ่แม่ปุง กม.0+000 ระยะที่ 3 ความยาว 1,000 เมตร โครงการส่งน้ำและบำรุงรักษาแม่วัง ตำบลชมพู อำเภอเมืองลำปาง จังหวัดลำปาง</t>
  </si>
  <si>
    <t>07003550036003210173</t>
  </si>
  <si>
    <t>ปรับปรุงระบบส่งน้ำสายนาเดือน (อ่างเก็บน้ำแม่ต๋ำตอนล่าง) ความยาว 800 เมตร โครงการชลประทานลำปาง ตำบลเสริมซ้าย อำเภอเสริมงาม จังหวัดลำปาง</t>
  </si>
  <si>
    <t>เสริมซ้าย</t>
  </si>
  <si>
    <t>เสริมงาม</t>
  </si>
  <si>
    <t>231,680.10</t>
  </si>
  <si>
    <t>07003550036003210174</t>
  </si>
  <si>
    <t>ปรับปรุงบ่อพักน้ำ LMC กม.18+000 โครงการส่งน้ำและบำรุงรักษาแม่ลาว ตำบลบัวสลี อำเภอแม่ลาว จังหวัดเชียงราย</t>
  </si>
  <si>
    <t>บัวสลี</t>
  </si>
  <si>
    <t>07003550036003220053</t>
  </si>
  <si>
    <t>ส่วนบริหารจัดการน้ำฯ</t>
  </si>
  <si>
    <t>ปรับปรุงทำนบดินอ่างเก็บน้ำห้วยเอียน อันเนื่องมาจากพระราชดำริ ตำบลหงาว อำเภอเทิง จังหวัดเชียงราย</t>
  </si>
  <si>
    <t>หงาว</t>
  </si>
  <si>
    <t>เทิง</t>
  </si>
  <si>
    <t>07003550036003220054</t>
  </si>
  <si>
    <t>ปรับปรุงทำนบดินพร้อมอาคารประกอบอ่างเก็บน้ำห้วยขี้เหล็ก อันเนื่องมาจากพระราชดำริ ตำบลครึ่ง อำเภอเชียงของ จังหวัดเชียงราย</t>
  </si>
  <si>
    <t>ครึ่ง</t>
  </si>
  <si>
    <t>เชียงของ</t>
  </si>
  <si>
    <t>07003550036003220055</t>
  </si>
  <si>
    <t>ปรับปรุงระบบคลองส่งน้ำ RMC ฝายโป่งนก พื้นที่ชลประทาน 100 ไร่ โครงการชลประทานเชียงราย ตำบลสันสลี อำเภอเวียงป่าเป้า จังหวัดเชียงราย</t>
  </si>
  <si>
    <t>สันสลี</t>
  </si>
  <si>
    <t>เวียงป่าเป้า</t>
  </si>
  <si>
    <t>07003550036003220056</t>
  </si>
  <si>
    <t>ปรับปรุงคลองส่งน้ำสาย RMC.2 โครงการพัฒนาการเกษตรแม่สาย กม.0+000 ถึง กม.12+780 โครงการชลประทานเชียงราย ตำบลแม่สาย อำเภอแม่สาย จังหวัดเชียงราย</t>
  </si>
  <si>
    <t>แม่สาย</t>
  </si>
  <si>
    <t>07003550036003220057</t>
  </si>
  <si>
    <t>ปรับปรุงอาคารระบายน้ำล้นอ่างเก็บน้ำห้วยหมากเมี่ยง โครงการชลประทานเชียงราย ตำบลบ้านแซว อำเภอเชียงแสน จังหวัดเชียงราย</t>
  </si>
  <si>
    <t>บ้านแซว</t>
  </si>
  <si>
    <t>เชียงแสน</t>
  </si>
  <si>
    <t>07003550036003220058</t>
  </si>
  <si>
    <t>ปรับปรุงระบบส่งน้ำสาย 4R-LMC ฝายสา (ขนาดกลาง) ตำบลปงสนุก อำเภอเวียงสา จังหวัดน่าน</t>
  </si>
  <si>
    <t>07003550036003220113</t>
  </si>
  <si>
    <t>ปรับปรุงอ่างเก็บน้ำห้วยหมูโอ่ อันเนื่องมาจากพระราชดำริ ตำบลภูซาง อำเภอภูซาง จังหวัดพะเยา</t>
  </si>
  <si>
    <t>ภูซาง</t>
  </si>
  <si>
    <t>07003550036003220148</t>
  </si>
  <si>
    <t>ปรับปรุงคลองส่งน้ำสายใหญ่แม่วังฝั่งขวา กม.4+390 - กม.5+400 พร้อมอาคารประกอบ ตำบลบุญนาคพัฒนา อำเภอเมืองลำปาง จังหวัดลำปาง</t>
  </si>
  <si>
    <t>07003550036003220199</t>
  </si>
  <si>
    <t>ปรับปรุงทำนบดินปิดเขาช่องต่ำ เขื่อนกิ่วคอหมา ตำบลปงดอน อำเภอแจ้ห่ม จังหวัดลำปาง</t>
  </si>
  <si>
    <t>ปงดอน</t>
  </si>
  <si>
    <t>แจ้ห่ม</t>
  </si>
  <si>
    <t>07003550036003220200</t>
  </si>
  <si>
    <t>ปรับปรุงคลองส่งน้ำสายใหญ่แม่วังฝั่งซ้าย กม.14+500-กม.16+000 ความยาว 1.50 กิโลเมตร โครงการส่งน้ำและบำรุงรักษาแม่วัง ตำบลพิชัย อำเภอเมืองลำปาง จังหวัดลำปาง</t>
  </si>
  <si>
    <t>พิชัย</t>
  </si>
  <si>
    <t>07003550036003220201</t>
  </si>
  <si>
    <t>ปรับปรุงคลองส่งน้ำสายใหญ่แม่วังฝั่งขวา กม.2+280 - 3+390 คลองส่งน้ำสายใหญ่แม่วังฝั่งขวา ระยะที่ 1 พร้อมอาคารประกอบ โครงการส่งน้ำและบำรุงรักษาแม่วัง ตำบลบุญนาคพัฒนา อำเภอเมืองลำปาง จังหวัดลำปาง</t>
  </si>
  <si>
    <t>07003550036003220202</t>
  </si>
  <si>
    <t>ปรับปรุงคลองส่งน้ำสายใหญ่แม่วังฝั่งขวา กม.28+450 ความยาว 750 เมตร ระยะที่ 2 โครงการส่งน้ำและบำรุงรักษาแม่วัง โครงการส่งน้ำและบำรุงรักษาแม่วัง ตำบลต้นธงชัย อำเภอเมืองลำปาง จังหวัดลำปาง</t>
  </si>
  <si>
    <t>ต้นธงชัย</t>
  </si>
  <si>
    <t>07003550036003220203</t>
  </si>
  <si>
    <t>ปรับปรุงคลองส่งน้ำสายใหญ่แม่วังฝั่งซ้าย กม.0+244 - กม.1+250 ความยาว 1.006 กิโลเมตร ตำบลบ้านเสด็จ อำเภอเมืองลำปาง จังหวัดลำปาง</t>
  </si>
  <si>
    <t>บ้านเสด็จ</t>
  </si>
  <si>
    <t>07003550036003220204</t>
  </si>
  <si>
    <t>ปรับปรุงฝายลูกที่ 16 ห้วยแม่ปุง พร้อมอาคารประกอบ โครงการส่งน้ำและบำรุงรักษาแม่วัง ตำบลวังพร้าว อำเภอเกาะคา จังหวัดลำปาง</t>
  </si>
  <si>
    <t>วังพร้าว</t>
  </si>
  <si>
    <t>เกาะคา</t>
  </si>
  <si>
    <t>07003550036003220205</t>
  </si>
  <si>
    <t>โครงการ : โครงการส่งเสริมการดำเนินงานอันเนื่องมาจากพระราชดำริ</t>
  </si>
  <si>
    <t>ซ่อมแซมโครงการชลประทานอันเนื่องมาจากพระราชดำริตามข้อเสนอเกษตรกร (ในเขตจังหวัดเชียงราย) โครงการชลประทานเชียงราย จังหวัดเชียงราย</t>
  </si>
  <si>
    <t>07003550060003210054</t>
  </si>
  <si>
    <t>07003688305500000</t>
  </si>
  <si>
    <t>ซ่อมแซมคอนกรีตดาดคลองส่งน้ำฝั่งซ้าย พร้อมรางระบายน้ำฝน อ่างเก็บน้ำห้วยหมากเอียก โครงการอันเนื่องมาจากพระราชดำริ กม.0+100 ถึง กม.0+355 โครงการชลประทานเชียงราย ตำบลป่าซาง อำเภอเวียงเชียงรุ้ง จังหวัดเชียงราย</t>
  </si>
  <si>
    <t>ป่าซาง</t>
  </si>
  <si>
    <t>เวียงเชียงรุ้ง</t>
  </si>
  <si>
    <t>07003550060003210055</t>
  </si>
  <si>
    <t>ซ่อมแซมหินเรียงท้ายทางระบายน้ำล้นอ่างเก็บน้ำห้วยต้นงุ้น โครงการอันเนื่องมาจากพระราชดำริ จำนวน 420 ตารางเมตร โครงการชลประทานเชียงราย ตำบลป่าซาง อำเภอเวียงเชียงรุ้ง จังหวัดเชียงราย</t>
  </si>
  <si>
    <t>07003550060003210056</t>
  </si>
  <si>
    <t>ซ่อมแซมระบบท่อส่งน้ำฝายห้วยแล้ง 2 โครงการจัดหาน้ำสนับสนุนศูนย์พัฒนาโครงการหลวงห้วยแล้ง กม.0+000 ถึง กม.1+300 โครงการชลประทานเชียงราย ตำบลท่าข้าม อำเภอเวียงแก่น จังหวัดเชียงราย</t>
  </si>
  <si>
    <t>ท่าข้าม</t>
  </si>
  <si>
    <t>เวียงแก่น</t>
  </si>
  <si>
    <t>07003550060003210057</t>
  </si>
  <si>
    <t>ซ่อมแซมระบบท่อส่งน้ำฝายบ้านปอกลาง โครงการจัดหาน้ำสนับสนุนศูนย์พัฒนาโครงการหลวงห้วยแล้ง กม.0+000 ถึง 2+300 โครงการชลประทานเชียงราย ตำบลปอ อำเภอเวียงแก่น จังหวัดเชียงราย</t>
  </si>
  <si>
    <t>ปอ</t>
  </si>
  <si>
    <t>07003550060003210058</t>
  </si>
  <si>
    <t>ซ่อมแซมระบบท่อส่งน้ำฝายบ้านฟ้าไทยงาม จัดหาน้ำสนับสนุนศูนย์การเรียนรู้ตำรวจตระเวนชายแดนบ้านฟ้าไทยงาม กม.0+000 ถึง กม.1+800 โครงการชลประทานเชียงราย ตำบลปอ อำเภอเวียงแก่น จังหวัดเชียงราย</t>
  </si>
  <si>
    <t>07003550060003210059</t>
  </si>
  <si>
    <t>ซ่อมแซมระบบท่อส่งน้ำฝายบ้านศิลาแดง โครงการจัดหาน้ำสนับสนุนศูนย์พัฒนาโครงการหลวงผาตั้ง กม.0+000 ถึง กม.2+400 โครงการชลประทานเชียงราย ตำบลปอ อำเภอเวียงแก่น จังหวัดเชียงราย</t>
  </si>
  <si>
    <t>07003550060003210060</t>
  </si>
  <si>
    <t>ซ่อมแซมระบบท่อส่งน้ำฝายบ้านสันติพัฒนา โครงการอันเนื่องมาจากพระราชดำริ กม.0+000 ถึง กม.3+000 โครงการชลประทานเชียงราย ตำบลปอ อำเภอเวียงแก่น จังหวัดเชียงราย</t>
  </si>
  <si>
    <t>07003550060003210061</t>
  </si>
  <si>
    <t>ซ่อมแซมสันทำนบดินอ่างเก็บน้ำห้วยลึกใหญ่ โครงการอันเนื่องมาจากพระราชดำริ ความยาว 350 เมตร โครงการชลประทานเชียงราย ตำบลม่วงยาย อำเภอเวียงแก่น จังหวัดเชียงราย</t>
  </si>
  <si>
    <t>ม่วงยาย</t>
  </si>
  <si>
    <t>07003550060003210062</t>
  </si>
  <si>
    <t>ซ่อมแซมระบบท่อส่งน้ำอ่างเก็บน้ำห้วยสละ โครงการอันเนื่องมาจากพระราชดำริ กม.0+000 ถึง กม.1+900 โครงการชลประทานเชียงราย ตำบลม่วงยาย อำเภอเวียงแก่น จังหวัดเชียงราย</t>
  </si>
  <si>
    <t>07003550060003210063</t>
  </si>
  <si>
    <t>ซ่อมแซมระบบท่อส่งน้ำฝายห้วยโป่ง โครงการจัดหาน้ำสนับสนุนบ้านห้วยลึก กม.0+000 ถึง กม.2+000 โครงการชลประทานเชียงราย ตำบลม่วงยาย อำเภอเวียงแก่น จังหวัดเชียงราย</t>
  </si>
  <si>
    <t>07003550060003210064</t>
  </si>
  <si>
    <t>ซ่อมแซมคอนกรีตดาดคลองส่งน้ำ RMC อ่างเก็บน้ำแม่มอญ โครงการอันเนื่องมาจากพระราชดำริ กม.0+500 ถึง กม.3+000 โครงการชลประทานเชียงราย ตำบลโป่งแพร่ อำเภอแม่ลาว จังหวัดเชียงราย</t>
  </si>
  <si>
    <t>โป่งแพร่</t>
  </si>
  <si>
    <t>07003550060003210065</t>
  </si>
  <si>
    <t>ซ่อมแซมคอนกรีตดาดคลอง LMC ฝายห้วยบ่อส้ม โครงการอันเนื่องมาจากพระราชดำริ กม.1+000 ถึง กม.3+000 โครงการชลประทานเชียงราย ตำบลป่าแดด อำเภอแม่สรวย จังหวัดเชียงราย</t>
  </si>
  <si>
    <t>ป่าแดด</t>
  </si>
  <si>
    <t>07003550060003210066</t>
  </si>
  <si>
    <t>ซ่อมแซมคลองส่งน้ำฝายห้วยแม่เจดีย์ สาย LMC กม.0+000 ถึง กม.1+000 โครงการชลประทานเชียงราย ตำบลป่าตาล อำเภอขุนตาล จังหวัดเชียงราย</t>
  </si>
  <si>
    <t>ป่าตาล</t>
  </si>
  <si>
    <t>ขุนตาล</t>
  </si>
  <si>
    <t>07003550060003210067</t>
  </si>
  <si>
    <t>ซ่อมแซมคอนกรีตดาดคลองส่งน้ำสาย LMC อ่างเก็บน้ำห้วยตาควนความยาว 252 เมตร โครงการชลประทานเชียงราย ตำบลตาดควัน อำเภอพญาเม็งราย จังหวัดเชียงราย</t>
  </si>
  <si>
    <t>ตาดควัน</t>
  </si>
  <si>
    <t>พญาเม็งราย</t>
  </si>
  <si>
    <t>07003550060003210068</t>
  </si>
  <si>
    <t>ซ่อมแซมระบบท่อส่งน้ำ อ่างเก็บน้ำบ้านจะลอ โครงการพัฒนาดอยตุงอันเนื่องมาจากพระราชดำริ โครงการชลประทานเชียงราย ตำบลแม่ฟ้าหลวง อำเภอแม่ฟ้าหลวง จังหวัดเชียงราย</t>
  </si>
  <si>
    <t>แม่ฟ้าหลวง</t>
  </si>
  <si>
    <t>07003550060003210069</t>
  </si>
  <si>
    <t>ซ่อมแซมคอนกรีตดาดคลอง LMC อ่างเก็บน้ำแม่อ้อ โครงการอันเนื่องมาจากพระราชดำริ กม.0+000 ถึง กม.2+000 โครงการชลประทานเชียงราย ตำบลห้วยสัก อำเภอเมืองเชียงราย จังหวัดเชียงราย</t>
  </si>
  <si>
    <t>ห้วยสัก</t>
  </si>
  <si>
    <t>07003550060003210070</t>
  </si>
  <si>
    <t>ซ่อมแซมหินเรียงท้าย Spill way อ่างเก็บน้ำห้วยป่าตาล โครงการชลประทานเชียงราย ตำบลป่าตาล อำเภอขุนตาล จังหวัดเชียงราย</t>
  </si>
  <si>
    <t>07003550060003210071</t>
  </si>
  <si>
    <t>ซ่อมแซมคอนกรีตดาดคลองส่งน้ำสาย LMC ฝายจะพือ ความยาว 261 เมตร โครงการชลประทานเชียงราย ตำบลป่าตึง อำเภอแม่จัน จังหวัดเชียงราย</t>
  </si>
  <si>
    <t>ป่าตึง</t>
  </si>
  <si>
    <t>แม่จัน</t>
  </si>
  <si>
    <t>07003550060003210072</t>
  </si>
  <si>
    <t>ซ่อมแซมระบบท่อส่งน้ำอ่างเก็บน้ำห้วยตอง กม.0+200 ถึง กม.1+200 โครงการชลประทานเชียงราย ตำบลครึ่ง อำเภอเชียงของ จังหวัดเชียงราย</t>
  </si>
  <si>
    <t>07003550060003210073</t>
  </si>
  <si>
    <t>ซ่อมแซมระบบท่อส่งน้ำฝายห้วยน้ำฮาก โครงการอันเนื่องมาจากพระราชดำริ กม.0+000 ถึง กม.3+000 โครงการชลประทานเชียงราย ตำบลป่างิ้ว อำเภอเวียงป่าเป้า จังหวัดเชียงราย</t>
  </si>
  <si>
    <t>ป่างิ้ว</t>
  </si>
  <si>
    <t>07003550060003210074</t>
  </si>
  <si>
    <t>ซ่อมแซมคลองส่งน้ำอ่างเก็บห้วยฝาย กม.0+400 ถึง กม.1+200 โครงการชลประทานเชียงราย ตำบลครึ่ง อำเภอเชียงของ จังหวัดเชียงราย</t>
  </si>
  <si>
    <t>07003550060003210075</t>
  </si>
  <si>
    <t>ซ่อมแซมระบบท่อส่งน้ำฝายกิ่วกาญ กม.0+000 ถึง 1+500 โครงการชลประทานเชียงราย ตำบลริมโขง อำเภอเชียงของ จังหวัดเชียงราย</t>
  </si>
  <si>
    <t>ริมโขง</t>
  </si>
  <si>
    <t>07003550060003210076</t>
  </si>
  <si>
    <t>ซ่อมแซมระบบคลองส่งน้ำฝายทุ่งนอกพร้อมระบบส่งน้ำ กม.0+000 ถึง กม.1+000 โครงการชลประทานเชียงราย ตำบลเวียง อำเภอเชียงของ จังหวัดเชียงราย</t>
  </si>
  <si>
    <t>เวียง</t>
  </si>
  <si>
    <t>07003550060003210077</t>
  </si>
  <si>
    <t>ซ่อมแซมสันทำนบดินอ่างเก็บน้ำห้วยลุง โครงการชลประทานเชียงราย ตำบลศรีดอนชัย อำเภอเชียงของ จังหวัดเชียงราย</t>
  </si>
  <si>
    <t>ศรีดอนชัย</t>
  </si>
  <si>
    <t>07003550060003210078</t>
  </si>
  <si>
    <t>ซ่อมแซมคลองส่งน้ำอ่างเก็บน้ำห้วยซ้อ สาย1L-RMC กม.0+800 ถึง กม.1+700 โครงการชลประทานเชียงราย ตำบลห้วยซ้อ อำเภอเชียงของ จังหวัดเชียงราย</t>
  </si>
  <si>
    <t>ห้วยซ้อ</t>
  </si>
  <si>
    <t>07003550060003210079</t>
  </si>
  <si>
    <t>ซ่อมแซมคลองส่งน้ำอ่างเก็บน้ำห้วยซ้อ สาย1L-1L-RMC กม.2+500 ถึง กม.3+000 โครงการชลประทานเชียงราย ตำบลห้วยซ้อ อำเภอเชียงของ จังหวัดเชียงราย</t>
  </si>
  <si>
    <t>07003550060003210080</t>
  </si>
  <si>
    <t>ซ่อมแซมคลองส่งน้ำอ่างเก็บน้ำห้วยบ้าน สายRMC กม.0+500 ถึง กม.1+500 โครงการชลประทานเชียงราย ตำบลตับเต่า อำเภอเทิง จังหวัดเชียงราย</t>
  </si>
  <si>
    <t>ตับเต่า</t>
  </si>
  <si>
    <t>07003550060003210081</t>
  </si>
  <si>
    <t>ซ่อมแซมระบบท่อส่งน้ำฝายห้วยโป่ง โครงการชลประทานเชียงราย ตำบลตับเต่า อำเภอเทิง จังหวัดเชียงราย</t>
  </si>
  <si>
    <t>07003550060003210082</t>
  </si>
  <si>
    <t>ซ่อมแซมคลองส่งน้ำอ่างเก็บน้ำห้วยปล้อง กม.1+500 ถึง 3+000 โครงการชลประทานเชียงราย ตำบลปล้อง อำเภอเทิง จังหวัดเชียงราย</t>
  </si>
  <si>
    <t>ปล้อง</t>
  </si>
  <si>
    <t>07003550060003210083</t>
  </si>
  <si>
    <t>ซ่อมแซมคลองส่งน้ำอ่างเก็บน้ำห้วยน่าน กม.2+500 ถึง 4+000 โครงการชลประทานเชียงราย ตำบลแม่ลอย อำเภอเทิง จังหวัดเชียงราย</t>
  </si>
  <si>
    <t>แม่ลอย</t>
  </si>
  <si>
    <t>07003550060003210084</t>
  </si>
  <si>
    <t>ซ่อมแซมฝายห้วยเอียน โครงการชลประทานเชียงราย ตำบลหงาว อำเภอเทิง จังหวัดเชียงราย</t>
  </si>
  <si>
    <t>07003550060003210085</t>
  </si>
  <si>
    <t>ซ่อมแซมระบบท่อส่งน้ำ โครงการจัดหาน้ำสนับสนุนฟาร์มตัวอย่าง และพื้นที่ข้างเคียงบ้านร่มฟ้าทอง กม.0+000 ถึง กม.1+500 โครงการชลประทานเชียงราย ตำบลปอ อำเภอเวียงแก่น จังหวัดเชียงราย</t>
  </si>
  <si>
    <t>07003550060003210086</t>
  </si>
  <si>
    <t>ซ่อมแซมฝายและระบบท่อส่งน้ำ ฝายบ้านห้วยคุ กม.0+000 ถึง กม.1+500 โครงการชลประทานเชียงราย ตำบลปอ อำเภอเวียงแก่น จังหวัดเชียงราย</t>
  </si>
  <si>
    <t>07003550060003210087</t>
  </si>
  <si>
    <t>ซ่อมแซมระบบท่อส่งน้ำฝายบ้านผาตั้ง กม.0+000 ถึง กม.1+700 โครงการชลประทานเชียงราย ตำบลปอ อำเภอเวียงแก่น จังหวัดเชียงราย</t>
  </si>
  <si>
    <t>07003550060003210088</t>
  </si>
  <si>
    <t>ซ่อมแซมฝายและระบบส่งน้ำ โครงการพัฒนาแหล่งน้ำเพื่อการเกษตรและอุปโภค-บริโภค บ้านห้วยหาน กม.0+000 ถึง กม.1+000 โครงการชลประทานเชียงราย ตำบลปอ อำเภอเวียงแก่น จังหวัดเชียงราย</t>
  </si>
  <si>
    <t>07003550060003210089</t>
  </si>
  <si>
    <t>ฝายห้วยเต๋ยพร้อมระบบส่งน้ำ จัดหาน้ำสนับสนุนโครงการรักษ์น้ำเพื่อพระแม่ของแผ่นดินลุ่มน้ำขุนน่าน (บ้านห้วยเต๋ย) พื้นที่ชลประทาน 200 ไร่ โครงการชลประทานน่าน ตำบลขุนน่าน อำเภอเฉลิมพระเกียรติ จังหวัดน่าน</t>
  </si>
  <si>
    <t>ขุนน่าน</t>
  </si>
  <si>
    <t>เฉลิมพระเกียรติ</t>
  </si>
  <si>
    <t>07003550060003210281</t>
  </si>
  <si>
    <t>ฝายน้ำจูนพร้อมระบบส่งน้ำ จัดหาน้ำสนับสนุนโครงการพัฒนาพื้นที่สูงแบบโครงการหลวงบ่อเกลือ โครงการชลประทานน่าน ตำบลบ่อเกลือเหนือ อำเภอบ่อเกลือ จังหวัดน่าน</t>
  </si>
  <si>
    <t>บ่อเกลือเหนือ</t>
  </si>
  <si>
    <t>บ่อเกลือ</t>
  </si>
  <si>
    <t>07003550060003210282</t>
  </si>
  <si>
    <t>คศ.ภูฟ้าพัฒนาฯ</t>
  </si>
  <si>
    <t>ซ่อมแซมบำรุงรักษาหัวงานฝายห้วยฮี (พมพ.) ศูนย์ภูฟ้าพัฒนาอันเนื่องมาจากพระราชดำริ ตำบลบ่อเกลือใต้ อำเภอบ่อเกลือ จังหวัดน่าน</t>
  </si>
  <si>
    <t>บ่อเกลือใต้</t>
  </si>
  <si>
    <t>07003550060003210283</t>
  </si>
  <si>
    <t>ซ่อมแซมบำรุงรักษาหัวงานฝายนาตึ๊ด (พมพ.) ศูนย์ภูฟ้าพัฒนาอันเนื่องมาจากพระราชดำริ ตำบลบ่อเกลือใต้ อำเภอบ่อเกลือ จังหวัดน่าน</t>
  </si>
  <si>
    <t>07003550060003210284</t>
  </si>
  <si>
    <t>ซ่อมแซมบำรุงรักษาหัวงานและระบบส่งน้ำฝายน้ำปัน ศูนย์ภูฟ้าพัฒนาอันเนื่องมาจากพระราชดำริ ตำบลภูฟ้า อำเภอบ่อเกลือ จังหวัดน่าน</t>
  </si>
  <si>
    <t>ภูฟ้า</t>
  </si>
  <si>
    <t>07003550060003210285</t>
  </si>
  <si>
    <t>ซ่อมแซมบำรุงรักษาหัวงานและระบบส่งน้ำฝายน้ำสาง ศูนย์ภูฟ้าพัฒนาอันเนื่องมาจากพระราชดำริ ตำบลภูฟ้า อำเภอบ่อเกลือ จังหวัดน่าน</t>
  </si>
  <si>
    <t>07003550060003210286</t>
  </si>
  <si>
    <t>ซ่อมแซมบำรุงรักษาหัวงานและระบบส่งน้ำฝายห้วยอาม ศูนย์ภูฟ้าพัฒนาอันเนื่องมาจากพระราชดำริ ตำบลภูฟ้า อำเภอบ่อเกลือ จังหวัดน่าน</t>
  </si>
  <si>
    <t>07003550060003210287</t>
  </si>
  <si>
    <t>ซ่อมแซมบำรุงรักษาหัวงานและระบบส่งน้ำฝายนาบง (พมพ.) ศูนย์ภูฟ้าพัฒนาอันเนื่องมาจากพระราชดำริ ตำบลบ่อเกลือใต้ อำเภอบ่อเกลือ จังหวัดน่าน</t>
  </si>
  <si>
    <t>07003550060003210288</t>
  </si>
  <si>
    <t>ซ่อมแซมบำรุงรักษาหัวงานและระบบส่งน้ำฝายห้วยหวะ (พรด.) ศูนย์ภูฟ้าพัฒนาอันเนื่องมาจากพระราชดำริ ตำบลภูฟ้า อำเภอบ่อเกลือ จังหวัดน่าน</t>
  </si>
  <si>
    <t>07003550060003210289</t>
  </si>
  <si>
    <t>ซ่อมแซมบำรุงรักษาหัวงานและระบบส่งน้ำฝายภูพยัคฆ์ (พรด.) ศูนย์ภูฟ้าพัฒนาอันเนื่องมาจากพระราชดำริ ตำบลขุนน่าน อำเภอเฉลิมพระเกียรติ จังหวัดน่าน</t>
  </si>
  <si>
    <t>07003550060003210290</t>
  </si>
  <si>
    <t>ซ่อมแซมโครงการชลประทานอันเนื่องมาจากพระราชดำริ ตามข้อเสนอของเกษตรกร ในจังหวัดน่าน โครงการชลประทานน่าน จังหวัดน่าน</t>
  </si>
  <si>
    <t>07003550060003210291</t>
  </si>
  <si>
    <t>ซ่อมแซมระบบส่งน้ำสาย 1R-LMC (ไซฟอน) กม.0+050 อ่างเก็บน้ำห้วยมัด (พรด.) โครงการชลประทานน่าน ตำบลอวน อำเภอปัว จังหวัดน่าน</t>
  </si>
  <si>
    <t>อวน</t>
  </si>
  <si>
    <t>07003550060003210292</t>
  </si>
  <si>
    <t>ซ่อมแซมคลองส่งน้ำ LMC อ่างเก็บน้ำน้ำแหง (พรด.) ความยาว 0.300 กิโลเมตร ตำบลศรีษะเกษ อำเภอนาน้อย จังหวัดน่าน</t>
  </si>
  <si>
    <t>ศรีษะเกษ</t>
  </si>
  <si>
    <t>นาน้อย</t>
  </si>
  <si>
    <t>07003550060003210293</t>
  </si>
  <si>
    <t>ซ่อมแซมคลองส่งน้ำ 3L-RMC อ่างเก็บน้ำน้ำแก่น (พรด.) ความยาว 0.350 กิโลเมตร โครงการชลประทานน่าน ตำบลน้ำแก่น อำเภอภูเพียง จังหวัดน่าน</t>
  </si>
  <si>
    <t>น้ำแก่น</t>
  </si>
  <si>
    <t>ภูเพียง</t>
  </si>
  <si>
    <t>07003550060003210294</t>
  </si>
  <si>
    <t>ซ่อมแซมท่อลอดคลองส่งน้ำ กม.2+130 ระบบส่งน้ำฝั่งขวาฝายน้ำอวน (พรด.) โครงการชลประทานน่าน ตำบลอวน อำเภอปัว จังหวัดน่าน</t>
  </si>
  <si>
    <t>07003550060003210295</t>
  </si>
  <si>
    <t>ซ่อมแซมบานระบาย ทรบ.ปากคลองส่งน้ำ 3R-LMC อ่างเก็บน้ำน้ำแหง (พรด.) ตำบลนาน้อย อำเภอนาน้อย จังหวัดน่าน</t>
  </si>
  <si>
    <t>07003550060003210296</t>
  </si>
  <si>
    <t>ซ่อมแซมคลองส่งน้ำ LMC ฝายบ้านตอง (พรด.) ความยาว 0.150 กิโลเมตร โครงการชลประทานน่าน ตำบลแม่จริม อำเภอแม่จริม จังหวัดน่าน</t>
  </si>
  <si>
    <t>แม่จริม</t>
  </si>
  <si>
    <t>07003550060003210297</t>
  </si>
  <si>
    <t>ซ่อมแซมระบบส่งน้ำอ่างเก็บน้ำห้วยข้าวหลาม (พรด.) ความยาวรวม 0.200 กิโลเมตร โครงการชลประทานน่าน ตำบลป่าแลวหลวง อำเภอสันติสุข จังหวัดน่าน</t>
  </si>
  <si>
    <t>ป่าแลวหลวง</t>
  </si>
  <si>
    <t>07003550060003210298</t>
  </si>
  <si>
    <t>ซ่อมแซมคลองส่งน้ำ RMC อ่างเก็บน้ำน้ำแหง (พรด.) ความยาว 0.300 กิโลเมตร ตำบลนาน้อย อำเภอนาน้อย จังหวัดน่าน</t>
  </si>
  <si>
    <t>ซ่อมแซมคลองส่งน้ำ 2L-RMC อ่างเก็บน้ำน้ำงอบ (พรด.) โครงการชลประทานน่าน ตำบลงอบ อำเภอทุ่งช้าง จังหวัดน่าน</t>
  </si>
  <si>
    <t>งอบ</t>
  </si>
  <si>
    <t>ทุ่งช้าง</t>
  </si>
  <si>
    <t>07003550060003210300</t>
  </si>
  <si>
    <t>ซ่อมแซมบานระบายอาคารอัดน้ำกลางคลอง LMC อ่างเก็บน้ำน้ำแหง (พรด.) ตำบลนาน้อย อำเภอนาน้อย จังหวัดน่าน</t>
  </si>
  <si>
    <t>07003550060003210301</t>
  </si>
  <si>
    <t>ซ่อมแซมคลองส่งน้ำพร้อมอาคารประกอบลำเหมืองมหัศจรรย์ (พรด.) ความยาวรวม 0.500 กิโลเมตร โครงการชลประทานน่าน ตำบลป่าคา อำเภอท่าวังผา จังหวัดน่าน</t>
  </si>
  <si>
    <t>ป่าคา</t>
  </si>
  <si>
    <t>ท่าวังผา</t>
  </si>
  <si>
    <t>07003550060003210302</t>
  </si>
  <si>
    <t>ซ่อมแซมคลองส่งน้ำ 1L-RMC อ่างเก็บน้ำน้ำงอบ (พรด.) โครงการชลประทานน่าน ตำบลงอบ อำเภอทุ่งช้าง จังหวัดน่าน</t>
  </si>
  <si>
    <t>07003550060003210303</t>
  </si>
  <si>
    <t>ซ่อมแซมบานระบายอาคารอัดน้ำกลางคลอง RMC อ่างเก็บน้ำน้ำแหง (พรด.) ตำบลนาน้อย อำเภอนาน้อย จังหวัดน่าน</t>
  </si>
  <si>
    <t>07003550060003210304</t>
  </si>
  <si>
    <t>ซ่อมแซมคลองส่งน้ำ ฝายน้ำปี้เหนือ (พรด.) ความยาว 0.200 กิโลเมตร โครงการชลประทานน่าน ตำบลบ้านพี้ อำเภอบ้านหลวง จังหวัดน่าน</t>
  </si>
  <si>
    <t>บ้านพี้</t>
  </si>
  <si>
    <t>บ้านหลวง</t>
  </si>
  <si>
    <t>ซ่อมแซมระบบท่อส่งน้ำฝายห้วยมืดพร้อมระบบส่งน้ำ สนับสนุนโครงการพัฒนาพื้นที่สูงแบบโครงการหลวงน้ำแป่ง พื้นที่รับประโยชน์ 500 ไร่ โครงการชลประทานน่าน ตำบลผาทอง อำเภอท่าวังผา จังหวัดน่าน</t>
  </si>
  <si>
    <t>ผาทอง</t>
  </si>
  <si>
    <t>07003550060003210306</t>
  </si>
  <si>
    <t>ซ่อมแซมบานระบายท่อส่งน้ำเข้านาคลอง LMC อ่างเก็บน้ำน้ำแหง (พรด.) ตำบลนาน้อย อำเภอนาน้อย จังหวัดน่าน</t>
  </si>
  <si>
    <t>07003550060003210307</t>
  </si>
  <si>
    <t>ซ่อมแซมระบบท่อส่งน้ำพร้อมอาคารประกอบฝายห้วยสะกาด (พรด.) พื้นที่รับประโยชน์ 400 ไร่ โครงการชลประทานน่าน ตำบลภูคา อำเภอปัว จังหวัดน่าน</t>
  </si>
  <si>
    <t>ภูคา</t>
  </si>
  <si>
    <t>07003550060003210308</t>
  </si>
  <si>
    <t>ซ่อมแซมระบบส่งน้ำฝายห้วยจำม่อนพร้อมระบบส่งน้ำ (จัดหาน้ำสนับสนุนโครงการพัฒนาพื้นที่สูงแบบโครงการหลวงน้ำแขว่ง) ตำบลเมืองลี อำเภอนาหมื่น จังหวัดน่าน</t>
  </si>
  <si>
    <t>เมืองลี</t>
  </si>
  <si>
    <t>นาหมื่น</t>
  </si>
  <si>
    <t>07003550060003210309</t>
  </si>
  <si>
    <t>ซ่อมแซมระบบท่อส่งน้ำพร้อมอาคารประกอบฝายห้วยไท (พรด.) พื้นที่รับประโยชน์ 1,400 ไร่ โครงการชลประทานน่าน ตำบลภูคา อำเภอปัว จังหวัดน่าน</t>
  </si>
  <si>
    <t>07003550060003210310</t>
  </si>
  <si>
    <t>ซ่อมแซมทางระบายน้ำล้นอ่างเก็บน้ำห้วยลากปืน (พรด.) ความยาว 0.050 กิโลเมตร โครงการชลประทานน่าน ตำบลป่าแลวหลวง อำเภอสันติสุข จังหวัดน่าน</t>
  </si>
  <si>
    <t>07003550060003210311</t>
  </si>
  <si>
    <t>ซ่อมแซมโครงการชลประทานอันเนื่องมาจากพระราชดำริตามข้อเสนอเกษตรกร (ในเขตจังหวัดพะเยา) โครงการชลประทานพะเยา จังหวัดพะเยา</t>
  </si>
  <si>
    <t>07003550060003210331</t>
  </si>
  <si>
    <t>ซ่อมแซมคลองส่งน้ำสาย RMC-แม่สุก อ่างเก็บน้ำแม่ปืม กม.9+500 ถึง 10+500 ตำบลบ้านเหล่า อำเภอแม่ใจ จังหวัดพะเยา</t>
  </si>
  <si>
    <t>บ้านเหล่า</t>
  </si>
  <si>
    <t>07003550060003210332</t>
  </si>
  <si>
    <t>ซ่อมแซมคอนกรีตดาดคลองส่งน้ำสาย LMC อ่างเก็บน้ำห้วยเคียน ระยะทาง 0.650 กิโลเมตร ตำบลห้วยข้าวก่ำ อำเภอจุน จังหวัดพะเยา</t>
  </si>
  <si>
    <t>ห้วยข้าวก่ำ</t>
  </si>
  <si>
    <t>จุน</t>
  </si>
  <si>
    <t>07003550060003210333</t>
  </si>
  <si>
    <t>ซ่อมแซมคลองส่งน้ำสายทุ่งกลาง อ่างเก็บน้ำห้วยไฟ ระยะทาง 600 เมตร ตำบลภูซาง อำเภอภูซาง จังหวัดพะเยา</t>
  </si>
  <si>
    <t>07003550060003210334</t>
  </si>
  <si>
    <t>ซ่อมแซมคอนกรีตดาดคลองส่งน้ำ สาย 4R-RMC กม.0+350-1+100 อ่างเก็บน้ำแม่ต๋ำ โครงการชลประทานพะเยา ตำบลจำป่าหวาย อำเภอเมืองพะเยา จังหวัดพะเยา</t>
  </si>
  <si>
    <t>จำป่าหวาย</t>
  </si>
  <si>
    <t>07003550060003210335</t>
  </si>
  <si>
    <t>ซ่อมแซมคอนกรีตดาดคลองส่งน้ำสาย RMC อ่างเก็บน้ำน้ำจุน ระยะทาง 0.510 กิโลเมตร ตำบลจุน อำเภอจุน จังหวัดพะเยา</t>
  </si>
  <si>
    <t>07003550060003210336</t>
  </si>
  <si>
    <t>ซ่อมแซมคลองส่งน้ำ อ่างเก็บน้ำห้วยสา ระยะทาง 1,000 เมตร ตำบลร่มเย็น อำเภอเชียงคำ จังหวัดพะเยา</t>
  </si>
  <si>
    <t>ร่มเย็น</t>
  </si>
  <si>
    <t>เชียงคำ</t>
  </si>
  <si>
    <t>07003550060003210337</t>
  </si>
  <si>
    <t>ซ่อมแซมถนนหัวงานอ่างเก็บน้ำห้วยตุ่น ระยะทาง 0.700 กิโลเมตร ตำบลบ้านตุ่น อำเภอเมืองพะเยา จังหวัดพะเยา</t>
  </si>
  <si>
    <t>บ้านตุ่น</t>
  </si>
  <si>
    <t>07003550060003210338</t>
  </si>
  <si>
    <t>ซ่อมแซมสะพานข้ามคลองส่งน้ำสาย RMC อ่างเก็บน้ำแม่ปืม กม.2+400 ตำบลบ้านเหล่า อำเภอแม่ใจ จังหวัดพะเยา</t>
  </si>
  <si>
    <t>07003550060003210339</t>
  </si>
  <si>
    <t>ซ่อมแซมคลองส่งน้ำสายทุ่งขาม อ่างเก็บน้ำห้วยไฟ ระยะทาง 600 เมตร ตำบลป่าสัก อำเภอภูซาง จังหวัดพะเยา</t>
  </si>
  <si>
    <t>ป่าสัก</t>
  </si>
  <si>
    <t>07003550060003210340</t>
  </si>
  <si>
    <t>ซ่อมแซมฝายร่องสัก อันเนื่องมาจากพระราชดำริ ตำบลบ้านปิน อำเภอดอกคำใต้ จังหวัดพะเยา</t>
  </si>
  <si>
    <t>บ้านปิน</t>
  </si>
  <si>
    <t>07003550060003210341</t>
  </si>
  <si>
    <t>ซ่อมแซมท่อลอดถนนท้ายทำนบดินบนอ่างเก็บน้ำแม่ใจ ตำบลเจริญราษฎร์ อำเภอแม่ใจ จังหวัดพะเยา</t>
  </si>
  <si>
    <t>เจริญราษฎร์</t>
  </si>
  <si>
    <t>07003550060003210342</t>
  </si>
  <si>
    <t>ซ่อมแซมระบบส่งน้ำ สาย RMC กม.0+100-0+900 อ่างเก็บน้ำร่องสัก โครงการชลประทานพะเยา ตำบลบ้านปิน อำเภอดอกคำใต้ จังหวัดพะเยา</t>
  </si>
  <si>
    <t>07003550060003210343</t>
  </si>
  <si>
    <t>ซ่อมแซมคอนกรีตดาดคลองส่งน้ำสาย RMC ฝายน้ำม่าว ระยะทาง 0.600 กิโลเมตร ตำบลปง อำเภอปง จังหวัดพะเยา</t>
  </si>
  <si>
    <t>ปง</t>
  </si>
  <si>
    <t>07003550060003210344</t>
  </si>
  <si>
    <t>ซ่อมแซมระบบส่งน้ำ สาย 1R-RMC กม.1+500-3+800 อ่างเก็บน้ำร่องสัก โครงการชลประทานพะเยา ตำบลบ้านปิน อำเภอดอกคำใต้ จังหวัดพะเยา</t>
  </si>
  <si>
    <t>07003550060003210345</t>
  </si>
  <si>
    <t>ซ่อมแซมรางระบายน้ำท้ายอ่างเก็บน้ำแม่ต๋อม ระยะทาง 0.900 กิโลเมตร ตำบลบ้านต๋อม อำเภอเมืองพะเยา จังหวัดพะเยา</t>
  </si>
  <si>
    <t>บ้านต๋อม</t>
  </si>
  <si>
    <t>07003550060003210346</t>
  </si>
  <si>
    <t>ซ่อมแซมคอนกรีตดาดคลองส่งน้ำ สาย 2R-RMC กม.0+000 -0+540 อ่างเก็บน้ำแม่ต๋ำ โครงการชลประทานพะเยา ตำบลจำป่าหวาย อำเภอเมืองพะเยา จังหวัดพะเยา</t>
  </si>
  <si>
    <t>07003550060003210347</t>
  </si>
  <si>
    <t>ซ่อมแซมคอนกรีตดาดคลองส่งน้ำสาย LMC อ่างเก็บน้ำน้ำจุน ระยะทาง 0.450 กิโลเมตร ตำบลจุน อำเภอจุน จังหวัดพะเยา</t>
  </si>
  <si>
    <t>07003550060003210348</t>
  </si>
  <si>
    <t>ซ่อมแซมคลองส่งน้ำ อ่างเก็บน้ำห้วยยัด ระยะทาง 900 เมตร ตำบลแม่ลาว อำเภอเชียงคำ จังหวัดพะเยา</t>
  </si>
  <si>
    <t>07003550060003210349</t>
  </si>
  <si>
    <t>ซ่อมแซมคอนกรีตดาดคลองส่งน้ำ สาย 6R-RMC กม.2+000-3+000 อ่างเก็บน้ำแม่ต๋ำ ตำบลแม่กา อำเภอเมืองพะเยา จังหวัดพะเยา</t>
  </si>
  <si>
    <t>07003550060003210350</t>
  </si>
  <si>
    <t>ซ่อมแซมคลองส่งน้ำ อ่างเก็บน้ำร่องส้าน ระยะทาง 800 เมตร ตำบลร่มเย็น อำเภอเชียงคำ จังหวัดพะเยา</t>
  </si>
  <si>
    <t>07003550060003210351</t>
  </si>
  <si>
    <t>ซ่อมแซมรางส่งน้ำท้ายอ่างเก็บห้วยเฮือก ระยะทาง 0.180 กิโลเมตร ตำบลบ้านต๊ำ อำเภอเมืองพะเยา จังหวัดพะเยา</t>
  </si>
  <si>
    <t>บ้านต๊ำ</t>
  </si>
  <si>
    <t>07003550060003210352</t>
  </si>
  <si>
    <t>ซ่อมแซมถนนหัวงานอ่างเก็บน้ำแม่ต๋อม ระยะทาง 0.650 กิโลเมตร ตำบลบ้านต๋อม อำเภอเมืองพะเยา จังหวัดพะเยา</t>
  </si>
  <si>
    <t>07003550060003210353</t>
  </si>
  <si>
    <t>ซ่อมแซมอาคารแบ่งน้ำ สาย RMC จำนวน 3 แห่ง อ่างเก็บน้ำแม่ต๋ำ โครงการชลประทานพะเยา ตำบลแม่กา อำเภอเมืองพะเยา จังหวัดพะเยา</t>
  </si>
  <si>
    <t>07003550060003210354</t>
  </si>
  <si>
    <t>ซ่อมแซมคันหน้าฝายร่องขุย โครงการชลประทานพะเยา ตำบลดอกคำใต้ อำเภอดอกคำใต้ จังหวัดพะเยา</t>
  </si>
  <si>
    <t>07003550060003210355</t>
  </si>
  <si>
    <t>ซ่อมแซมหินคลุกถนนคันคลองชลประทาน สาย 1R-RMC กม.0+000 - 8+356 อ่างเก็บน้ำแม่ต๋ำ โครงการชลประทานพะเยา ตำบลจำป่าหวาย อำเภอเมืองพะเยา จังหวัดพะเยา</t>
  </si>
  <si>
    <t>07003550060003210356</t>
  </si>
  <si>
    <t>ปรับปรุงท่อลอดถนนท้ายอ่างเก็บน้ำแม่สุก ตำบลแม่สุก อำเภอแม่ใจ จังหวัดพะเยา</t>
  </si>
  <si>
    <t>แม่สุก</t>
  </si>
  <si>
    <t>07003550060003210357</t>
  </si>
  <si>
    <t>ซ่อมแซมโครงการชลประทานอันเนื่องมาจากพระราชดำริ ตามข้อเสนอของเกษตรกร ในจังหวัดลำปาง โครงการชลประทานลำปาง จังหวัดลำปาง</t>
  </si>
  <si>
    <t>07003550060003210454</t>
  </si>
  <si>
    <t>ซ่อมแซมหินเรียงพร้อมขุดลอกตะกอนฝายแม่ยา อ่างเก็บน้ำแม่แก่ง โครงการอันเนื่องมาจากพระราชดำริ ปริมาตรเก็บกัก 1,000 ลูกบาศก์เมตร โครงการชลประทานลำปาง ตำบลแม่ถอด อำเภอเถิน จังหวัดลำปาง</t>
  </si>
  <si>
    <t>แม่ถอด</t>
  </si>
  <si>
    <t>เถิน</t>
  </si>
  <si>
    <t>07003550060003210455</t>
  </si>
  <si>
    <t>ซ่อมแซมหินเรียงพร้อมขุดลอกตะกอนฝายป่ารวก อ่างเก็บน้ำแม่แก่ง โครงการอันเนื่องมาจากพระราชดำริ ปริมาตรเก็บกัก 1,000 ลูกบาศก์เมตร โครงการชลประทานลำปาง ตำบลแม่ถอด อำเภอเถิน จังหวัดลำปาง</t>
  </si>
  <si>
    <t>07003550060003210456</t>
  </si>
  <si>
    <t>ซ่อมแซมคลองส่งน้ำฝั่งซ้าย (ทุ่งดง) ฝายแม่มอน อันเนื่องมาจากพระราชดำริ ความยาว 100 เมตร โครงการชลประทานลำปาง ตำบลวิเชตนคร อำเภอแจ้ห่ม จังหวัดลำปาง</t>
  </si>
  <si>
    <t>วิเชตนคร</t>
  </si>
  <si>
    <t>07003550060003210457</t>
  </si>
  <si>
    <t>ซ่อมแซมคลองส่งน้ำสายใหญ่ อ่างเก็บน้ำแม่แมะ (ปงดอน) อันเนื่องมาจากพระราชดำริ ความยาว 500 เมตร โครงการชลประทานลำปาง ตำบลปงดอน อำเภอแจ้ห่ม จังหวัดลำปาง</t>
  </si>
  <si>
    <t>07003550060003210458</t>
  </si>
  <si>
    <t>ซ่อมแซมคลองส่งน้ำฝั่งขวา อ่างเก็บน้ำห้วยปอบ อันเนื่องมาจากพระราชดำริ ความยาว 500 เมตร โครงการชลประทานลำปาง ตำบลปงดอน อำเภอแจ้ห่ม จังหวัดลำปาง</t>
  </si>
  <si>
    <t>07003550060003210459</t>
  </si>
  <si>
    <t>ซ่อมแซมคลองส่งน้ำฝั่งขวา อ่างเก็บน้ำแม่ตา อันเนื่องมาจากพระราชดำริ ความยาว 300 เมตร โครงการชลประทานลำปาง ตำบลปงดอน อำเภอแจ้ห่ม จังหวัดลำปาง</t>
  </si>
  <si>
    <t>07003550060003210460</t>
  </si>
  <si>
    <t>ซ่อมแซมคลองส่งน้ำฝั่งขวา อ่างเก็บน้ำแม่เรียง (สายแพะหมาหิว) อันเนื่องมาจากพระราชดำริ ความยาว 350 เมตร โครงการชลประทานลำปาง ตำบลสบปราบ อำเภอสบปราบ จังหวัดลำปาง</t>
  </si>
  <si>
    <t>สบปราบ</t>
  </si>
  <si>
    <t>07003550060003210461</t>
  </si>
  <si>
    <t>ซ่อมแซมสันทำนบอ่างเก็บน้ำห้วยลอย อันเนื่องมาจากพระราชดำริ โครงการชลประทานลำปาง ตำบลวังทอง อำเภอวังเหนือ จังหวัดลำปาง</t>
  </si>
  <si>
    <t>วังทอง</t>
  </si>
  <si>
    <t>วังเหนือ</t>
  </si>
  <si>
    <t>07003550060003210462</t>
  </si>
  <si>
    <t>ซ่อมแซมอาคารบังคับน้ำ อ่างเก็บน้ำแม่ค่อม โครงการชลประทานลำปาง ตำบลบ้านค่า อำเภอเมืองลำปาง จังหวัดลำปาง</t>
  </si>
  <si>
    <t>บ้านค่า</t>
  </si>
  <si>
    <t>07003550060003210463</t>
  </si>
  <si>
    <t>ซ่อมแซมอาคารบังคับน้ำ อ่างเก็บน้ำห้วยหลวง โครงการชลประทานลำปาง ตำบลสมัย อำเภอสบปราบ จังหวัดลำปาง</t>
  </si>
  <si>
    <t>สมัย</t>
  </si>
  <si>
    <t>07003550060003210464</t>
  </si>
  <si>
    <t>ซ่อมแซมอาคารบังคับน้ำ อ่างเก็บน้ำแม่ปอน โครงการชลประทานลำปาง ตำบลแม่สัน อำเภอห้างฉัตร จังหวัดลำปาง</t>
  </si>
  <si>
    <t>แม่สัน</t>
  </si>
  <si>
    <t>ห้างฉัตร</t>
  </si>
  <si>
    <t>07003550060003210465</t>
  </si>
  <si>
    <t>ซ่อมแซมอาคารบังคับน้ำ อ่างเก็บน้ำแม่สัน โครงการชลประทานลำปาง ตำบลเวียงตาล อำเภอห้างฉัตร จังหวัดลำปาง</t>
  </si>
  <si>
    <t>เวียงตาล</t>
  </si>
  <si>
    <t>07003550060003210466</t>
  </si>
  <si>
    <t>ซ่อมแซมระบบส่งน้ำสายทุ่งเหนือ อ่างเก็บน้ำแม่กาด อันเนื่องมาจากพระราชดำริ ความยาว 200 เมตร โครงการชลประทานลำปาง ตำบลนายาง อำเภอสบปราบ จังหวัดลำปาง</t>
  </si>
  <si>
    <t>นายาง</t>
  </si>
  <si>
    <t>07003550060003210467</t>
  </si>
  <si>
    <t>ซ่อมแซม blow off พร้อมระบบส่งน้ำอ่างเก็บน้ำห้วยแม่จอก อันเนื่องมาจากพระราชดำริ โครงการชลประทานลำปาง ตำบลเสริมซ้าย อำเภอเสริมงาม จังหวัดลำปาง</t>
  </si>
  <si>
    <t>07003550060003210468</t>
  </si>
  <si>
    <t>ซ่อมแซมระบบส่งน้ำอ่างเก็บน้ำแม่ล้อหัก อันเนื่องมาจากพระราชดำริ ความยาว 300 เมตร โครงการชลประทานลำปาง ตำบลแม่พริก อำเภอแม่พริก จังหวัดลำปาง</t>
  </si>
  <si>
    <t>แม่พริก</t>
  </si>
  <si>
    <t>07003550060003210469</t>
  </si>
  <si>
    <t>ซ่อมแซมระบบส่งน้ำ 1L-RMC อ่างเก็บน้ำแม่ต๋ำหลวง อันเนื่องมาจากพระราชดำริ ความยาว 323 เมตร โครงการชลประทานลำปาง ตำบลบ้านเอื้อม อำเภอเมืองลำปาง จังหวัดลำปาง</t>
  </si>
  <si>
    <t>บ้านเอื้อม</t>
  </si>
  <si>
    <t>07003550060003210470</t>
  </si>
  <si>
    <t>ซ่อมแซมระบบท่อส่งน้ำ อ่างเก็บน้ำห้วยแม่จอก โครงการชลประทานลำปาง ตำบลเสริมซ้าย อำเภอเสริมงาม จังหวัดลำปาง</t>
  </si>
  <si>
    <t>07003550060003210471</t>
  </si>
  <si>
    <t>ฝายพร้อมระบบส่งน้ำห้วยโป่งสะลำ จัดหาน้ำสนับสนุนโครงการขยายผลโครงการพัฒนาพื้นที่สูงแบบโครงการหลวงวาวี พื้นที่ชลประทาน 400 ไร่ โครงการชลประทานเชียงราย ตำบลวาวี อำเภอแม่สรวย จังหวัดเชียงราย</t>
  </si>
  <si>
    <t>วาวี</t>
  </si>
  <si>
    <t>07003550060003220006</t>
  </si>
  <si>
    <t>ปรับปรุงระบบส่งน้ำอ่างเก็บน้ำห้วยน้ำม้า อันเนื่องมาจากพระราชดำริ โครงการชลประทานเชียงราย ตำบลสถาน อำเภอเชียงของ จังหวัดเชียงราย</t>
  </si>
  <si>
    <t>07003550060003220007</t>
  </si>
  <si>
    <t>ปรับปรุงฝายแม่แก้วพร้อมระบบส่งน้ำ อันเนื่องมาจากพระราชดำริ โครงการชลประทานเชียงราย ตำบลแม่อ้อ อำเภอพาน จังหวัดเชียงราย</t>
  </si>
  <si>
    <t>แม่อ้อ</t>
  </si>
  <si>
    <t>07003550060003220008</t>
  </si>
  <si>
    <t>ปรับปรุงระบบส่งน้ำอ่างเก็บน้ำห้วยหลวง อันเนื่องมาจากพระราชดำริ ระยะที่ 2 พื้นที่ชลประทาน 500 ไร่ โครงการชลประทานเชียงราย ตำบลโรงช้าง อำเภอป่าแดด จังหวัดเชียงราย</t>
  </si>
  <si>
    <t>โรงช้าง</t>
  </si>
  <si>
    <t>07003550060003220009</t>
  </si>
  <si>
    <t>ปรับปรุงระบบส่งน้ำอ่างเก็บน้ำห้วยหม้ออุ่ง อันเนื่องมาจากพระราชดำริ ระยะที่ 2 พื้นที่ชลประทาน 600 ไร่ โครงการชลประทานเชียงราย ตำบลเจริญเมือง อำเภอพาน จังหวัดเชียงราย</t>
  </si>
  <si>
    <t>เจริญเมือง</t>
  </si>
  <si>
    <t>07003550060003220010</t>
  </si>
  <si>
    <t>ปรับปรุงระบบส่งน้ำอ่างเก็บน้ำห้วยมะแกงอันเนื่องมาจากพระราชดำริ ระยะที่ 2 พื้นที่ชลประทาน 1,200 ไร่ โครงการชลประทานเชียงราย ตำบลป่าแดด อำเภอแม่สรวย จังหวัดเชียงราย</t>
  </si>
  <si>
    <t>07003550060003220011</t>
  </si>
  <si>
    <t>ปรับปรุงระบบส่งน้ำอ่างเก็บน้ำแม่ตาแมว อันเนื่องมาจากพระราชดำริ โครงการชลประทานเชียงราย ตำบลเจดีย์หลวง อำเภอแม่สรวย จังหวัดเชียงราย</t>
  </si>
  <si>
    <t>เจดีย์หลวง</t>
  </si>
  <si>
    <t>07003550060003220012</t>
  </si>
  <si>
    <t>ระบบส่งน้ำฝายนาคาและอาคารป้องกันตลิ่งฝายนาคา จัดหาน้ำสนับสนุนโครงการพัฒนาพื้นที่สูงแบบโครงการหลวงน้ำแขว่ง โครงการชลประทานน่าน ตำบลเมืองลี อำเภอนาหมื่น จังหวัดน่าน</t>
  </si>
  <si>
    <t>07003550060003220029</t>
  </si>
  <si>
    <t>ฝายบ้านผักเฮือกพร้อมระบบส่งน้ำ จัดหาน้ำสนับสนุนศูนย์ภูฟ้าพัฒนาอันเนื่องมาจากพระราชดำริ ตำบลบ่อเกลือใต้ อำเภอบ่อเกลือ จังหวัดน่าน</t>
  </si>
  <si>
    <t>07003550060003220030</t>
  </si>
  <si>
    <t>ฝายห้วยเก๊าพร้อมระบบส่งน้ำ จัดหาน้ำสนับสนุนศูนย์ภูฟ้าพัฒนาอันเนื่องมาจากพระราชดำริ ตำบลบ่อเกลือใต้ อำเภอบ่อเกลือ จังหวัดน่าน</t>
  </si>
  <si>
    <t>07003550060003220031</t>
  </si>
  <si>
    <t>ปรับปรุงฝายห้วยสลีพร้อมระบบส่งน้ำ จัดหาน้ำสนับสนุนโครงการศูนย์ภูฟ้าพัฒนาอันเนื่องมาจากพระราชดำริ ระยะที่1 ตำบลภูฟ้า อำเภอบ่อเกลือ จังหวัดน่าน</t>
  </si>
  <si>
    <t>07003550060003220032</t>
  </si>
  <si>
    <t>โครงการจัดหาน้ำต้นทุนสนับสนุนโครงการทหารพันธุ์ดี ค่ายขุนเจืองธรรมิกราช มณฑลทหารบกที่ 34 โครงการชลประทานพะเยา ตำบลท่าวังทอง อำเภอเมืองพะเยา จังหวัดพะเยา</t>
  </si>
  <si>
    <t>ท่าวังทอง</t>
  </si>
  <si>
    <t>ยกเลิกรายการ</t>
  </si>
  <si>
    <t>ปรับปรุงระบบส่งน้ำอ่างเก็บน้ำห้วยต้อง อันเนื่องจากพระราชดำริ ความยาว 3,000 เมตร โครงการชลประทานลำปาง ตำบลผาปัง อำเภอแม่พริก จังหวัดลำปาง</t>
  </si>
  <si>
    <t>ผาปัง</t>
  </si>
  <si>
    <t>07003550060003220060</t>
  </si>
  <si>
    <t xml:space="preserve"> โครงการ : โครงการสนับสนุนการบริหารจัดการน้ำและงานชลประทาน</t>
  </si>
  <si>
    <t>ครุภัณฑ์เครื่องจักรกล</t>
  </si>
  <si>
    <t>ซ่อมใหญ่เครื่องสูบน้ำ พร้อมอุปกรณ์ท่อส่งน้ำ 12 เครื่อง</t>
  </si>
  <si>
    <t>07003550088003110003</t>
  </si>
  <si>
    <t>07003688272700000</t>
  </si>
  <si>
    <t>ซ่อมใหญ่เครื่องจักรเครื่องมือด้านบำรุงรักษา 2 คัน</t>
  </si>
  <si>
    <t>07003550088003110002</t>
  </si>
  <si>
    <t>ค่าศึกษา สำรวจ ออกแบบ งานชลประทาน</t>
  </si>
  <si>
    <t>ส่วนวิศวกรรม</t>
  </si>
  <si>
    <t>ค่าศึกษา สำรวจ ออกแบบ งานชลประทาน สำนักงานชลประทานที่ 2  จังหวัดลำปาง</t>
  </si>
  <si>
    <t>สวนดอก</t>
  </si>
  <si>
    <t>07003550088003220200</t>
  </si>
  <si>
    <t>ค่าสำรวจ งานชลประทาน สำนักงานชลประทานที่ 2  จังหวัดลำปาง</t>
  </si>
  <si>
    <t>ค่าออกแบบ งานชลประทาน สำนักงานชลประทานที่ 2  จังหวัดลำปาง</t>
  </si>
  <si>
    <t>กำจัดวัชพืช (โดยแรงคน) คลองส่งน้ำสาย RMC.1, RMC.2 และ RMC.3 โครงการพัฒนาการเกษตรแม่สาย ปริมาณ 300 ไร่ โครงการชลประทานเชียงราย ตำบลแม่สาย อำเภอแม่สาย จังหวัดเชียงราย</t>
  </si>
  <si>
    <t>07003550088003211452</t>
  </si>
  <si>
    <t>กำจัดวัชพืช (โดยแรงคน) อ่างเก็บน้ำห้วยตาดผาแดง จำนวน 55 ไร่ โครงการชลประทานเชียงราย ตำบลเม็งราย อำเภอพญาเม็งราย จังหวัดเชียงราย</t>
  </si>
  <si>
    <t>เม็งราย</t>
  </si>
  <si>
    <t>07003550088003211453</t>
  </si>
  <si>
    <t>กำจัดวัชพืช (โดยแรงคน) อ่างเก็บน้ำห้วยดีหมี จำนวน 65 ไร่ โครงการชลประทานเชียงราย ตำบลป่าซาง อำเภอเวียงเชียงรุ้ง จังหวัดเชียงราย</t>
  </si>
  <si>
    <t>07003550088003211454</t>
  </si>
  <si>
    <t>กำจัดวัชพืช โครงการส่งน้ำและบำรุงรักษาแม่ลาว จำนวน 140 ไร่ ตำบลดงมะดะ อำเภอแม่ลาว จังหวัดเชียงราย</t>
  </si>
  <si>
    <t>07003550088003211455</t>
  </si>
  <si>
    <t>กำจัดวัชพืชคลองส่งน้ำ RMC ฝายถ้ำวอก กม.2+000 ถึง กม.6+000 โครงการชลประทานเชียงราย ตำบลบัวสลี อำเภอแม่ลาว จังหวัดเชียงราย</t>
  </si>
  <si>
    <t>07003550088003211456</t>
  </si>
  <si>
    <t>ขุดลอกคลองโดยรถขุดดำเนินการเอง คลองส่งน้ำสาย RMC.1, RMC.2 และ RMC.3 โครงการพัฒนาการเกษตรแม่สาย โครงการชลประทานเชียงราย ปริมาณดิน 40,770 ลูกบาศก์เมตร ตำบลแม่สาย อำเภอแม่สาย จังหวัดเชียงราย</t>
  </si>
  <si>
    <t>07003550088003211457</t>
  </si>
  <si>
    <t>ขุดลอกคลองโดยรถขุดดำเนินการเอง ทางน้ำชลประทานในเขต โครงการส่งน้ำและบำรุงรักษาแม่ลาว ปริมาณดิน 90,000 ลบ.ม. ตำบลดงมะดะ อำเภอแม่ลาว จังหวัดเชียงราย</t>
  </si>
  <si>
    <t>07003550088003211458</t>
  </si>
  <si>
    <t>ขุดลอกคลองส่งน้ำ LMC อ่างเก็บน้ำดอยงู กม.0+500 ถึง กม.3+000 โครงการชลประทานเชียงราย ตำบลแม่เจดีย์ อำเภอเวียงป่าเป้า จังหวัดเชียงราย</t>
  </si>
  <si>
    <t>แม่เจดีย์</t>
  </si>
  <si>
    <t>ขุดลอกคลองส่งน้ำฝายโป่งนก RMC ฝายโป่งนก กม.0+728 ถึง กม.2+907 โครงการชลประทานเชียงราย ตำบลเวียงกาหลง อำเภอเวียงป่าเป้า จังหวัดเชียงราย</t>
  </si>
  <si>
    <t>เวียงกาหลง</t>
  </si>
  <si>
    <t>ขุดลอกตะกอนคลองส่งน้ำ LMC ฝายห้วยบ่อส้ม กม.0+800 ถึง 2+800 กม. โครงการอันเนื่องมาจากพระราชดำริ ตำบลป่าแดด อำเภอแม่สรวย จังหวัดเชียงราย</t>
  </si>
  <si>
    <t>ขุดลอกตะกอนอ่างเก็บน้ำแม่อ้อ โครงการอันเนื่องมาจากพระราชดำริ โครงการชลประทานเชียงราย ตำบลห้วยสัก อำเภอเมืองเชียงราย จังหวัดเชียงราย</t>
  </si>
  <si>
    <t>07003550088003211462</t>
  </si>
  <si>
    <t>ขุดลอกตะกอนอ่างเก็บน้ำห้วยหมอเฒ่า โครงการอันเนื่องมาจากพระราชดำริ โครงการชลประทานเชียงราย ตำบลเจดีย์หลวง อำเภอแม่สรวย จังหวัดเชียงราย</t>
  </si>
  <si>
    <t>07003550088003211463</t>
  </si>
  <si>
    <t>ขุดลอกอ่างเก็บน้ำจ้างเหมา อ่างเก็บน้ำทุ่งดุก โครงการชลประทานเชียงราย ปริมาณดินไม่น้อยกว่า 10,000 ลบ.ม. ตำบลเวียง อำเภอเชียงของ จังหวัดเชียงราย</t>
  </si>
  <si>
    <t>ขุดลอกอ่างเก็บน้ำจ้างเหมา อ่างเก็บน้ำห้วยน่าน โครงการชลประทานเชียงราย ปริมาณดินไม่น้อยกว่า 10,000 ลบ.ม. ตำบลแม่ลอย อำเภอเทิง จังหวัดเชียงราย</t>
  </si>
  <si>
    <t>ขุดลอกอ่างเก็บน้ำจ้างเหมา อ่างเก็บน้ำห้วยป่าตาล โครงการชลประทานเชียงราย ปริมาณดินไม่น้อยกว่า 10,000 ลบ.ม. ตำบลป่าตาล อำเภอขุนตาล จังหวัดเชียงราย</t>
  </si>
  <si>
    <t>ขุดลอกอ่างเก็บน้ำจ้างเหมา อ่างเก็บน้ำห้วยลุง โครงการชลประทานเชียงราย ปริมาณดินไม่น้อยกว่า 10,000 ลบ.ม. ตำบลศรีดอนชัย อำเภอเชียงของ จังหวัดเชียงราย</t>
  </si>
  <si>
    <t>ขุดลอกอ่างเก็บน้ำจ้างเหมา อ่างเก็บน้ำห้วยสละ โครงการชลประทานเชียงราย ปริมาณดินไม่น้อยกว่า 10,000 ลบ.ม. ตำบลม่วงยาย อำเภอเวียงแก่น จังหวัดเชียงราย</t>
  </si>
  <si>
    <t>ขุดลอกอ่างเก็บน้ำจ้างเหมา อ่างเก็บน้ำห้วยเอียน โครงการชลประทานเชียงราย ปริมาณดินไม่น้อยกว่า 10,000 ลบ.ม. ตำบลหงาว อำเภอเทิง จังหวัดเชียงราย</t>
  </si>
  <si>
    <t>ค่าควบคุมงานจ้างเหมา จังหวัดเชียงราย</t>
  </si>
  <si>
    <t>07003550088003211470</t>
  </si>
  <si>
    <t>ค่าซ่อมแซมและบำรุงรักษาโครงการชลประทาน โครงการชลประทานเชียงราย ตำบลรอบเวียง อำเภอเมืองเชียงราย จังหวัดเชียงราย</t>
  </si>
  <si>
    <t>รอบเวียง</t>
  </si>
  <si>
    <t>07003550088003211471</t>
  </si>
  <si>
    <t>ค่าบริหารการส่งน้ำในเขตโครงการส่งน้ำและบำรุงรักษาแม่ลาว พื้นที่ชลประทาน 147,057 ไร่ ตำบลดงมะดะ อำเภอแม่ลาว จังหวัดเชียงราย</t>
  </si>
  <si>
    <t>07003550088003211472</t>
  </si>
  <si>
    <t>ซ่อมแซม ปตร.ปากคลอง 3L-LMC คลองผันน้ำแม่กรณ์-แม่กก กม.0+000 โครงการชลประทานเชียงราย ตำบลรอบเวียง อำเภอเมืองเชียงราย จังหวัดเชียงราย</t>
  </si>
  <si>
    <t>07003550088003211473</t>
  </si>
  <si>
    <t>ซ่อมแซมคลองส่งน้ำฝายบ้านปางปอ กม.0+500 ถึง กม.1+200 โครงการชลประทานเชียงราย ตำบลปอ อำเภอเวียงแก่น จังหวัดเชียงราย</t>
  </si>
  <si>
    <t>07003550088003211474</t>
  </si>
  <si>
    <t>ซ่อมแซมคลองส่งน้ำฝายห้วยห้อม กม.0+000 ถึง กม.1+500 โครงการชลประทานเชียงราย ตำบลปอ อำเภอเวียงแก่น จังหวัดเชียงราย</t>
  </si>
  <si>
    <t>07003550088003211475</t>
  </si>
  <si>
    <t>ซ่อมแซมคลองส่งน้ำสาย 1R-LMC อ่างเก็บน้ำแม่ต๊าก ความยาว 396 เมตร โครงการชลประทานเชียงราย ตำบลดอนศิลา อำเภอเวียงชัย จังหวัดเชียงราย</t>
  </si>
  <si>
    <t>ดอนศิลา</t>
  </si>
  <si>
    <t>เวียงชัย</t>
  </si>
  <si>
    <t>07003550088003211476</t>
  </si>
  <si>
    <t>ซ่อมแซมคลองส่งน้ำอ่างเก็บน้ำน้ำวอง สาย RMC กม.1+500 ถึง 3+000 โครงการชลประทานเชียงราย ตำบลม่วงยาย อำเภอเวียงแก่น จังหวัดเชียงราย</t>
  </si>
  <si>
    <t>07003550088003211477</t>
  </si>
  <si>
    <t>ซ่อมแซมคลองส่งน้ำอ่างเก็บน้ำห้วยช้าง สาย LMC กม.5+100 ถึง กม.6+000 โครงการชลประทานเชียงราย ตำบลสถาน อำเภอเชียงของ จังหวัดเชียงราย</t>
  </si>
  <si>
    <t>07003550088003211478</t>
  </si>
  <si>
    <t>ซ่อมแซมคอนกรีตดาดคลอง 13L-RMC ช่วง กม.3+092 - กม.6+132 โครงการส่งน้ำและบำรุงรักษาแม่ลาว ตำบลทานตะวัน อำเภอพาน จังหวัดเชียงราย</t>
  </si>
  <si>
    <t>07003550088003211479</t>
  </si>
  <si>
    <t>ซ่อมแซมคอนกรีตดาดคลอง 4L-RMC ความยาว 280 เมตร โครงการส่งน้ำและบำรุงรักษาแม่ลาว ตำบลสันติสุข อำเภอพาน จังหวัดเชียงราย</t>
  </si>
  <si>
    <t>07003550088003211480</t>
  </si>
  <si>
    <t>ซ่อมแซมคอนกรีตดาดคลอง 4R-4L-RMC ความยาว 183 เมตร โครงการส่งน้ำและบำรุงรักษาแม่ลาว ตำบลสันติสุข อำเภอพาน จังหวัดเชียงราย</t>
  </si>
  <si>
    <t>07003550088003211481</t>
  </si>
  <si>
    <t>ซ่อมแซมคอนกรีตดาดคลอง FTO 49L - RMC ช่วง กม.0+000 ถึง กม.0+900 โครงการส่งน้ำและบำรุงรักษาแม่ลาว ตำบลแม่เย็น อำเภอพาน จังหวัดเชียงราย</t>
  </si>
  <si>
    <t>07003550088003211482</t>
  </si>
  <si>
    <t>ซ่อมแซมคอนกรีตดาดคลอง FTO 52L - RMC ช่วง กม.0+000 ถึง กม.0+400 โครงการส่งน้ำและบำรุงรักษาแม่ลาว ตำบลแม่เย็น อำเภอพาน จังหวัดเชียงราย</t>
  </si>
  <si>
    <t>07003550088003211483</t>
  </si>
  <si>
    <t>ซ่อมแซมคอนกรีตดาดคลอง RMC ช่วง กม.0+500 ถึง กม.1+300 โครงการส่งน้ำและบำรุงรักษาแม่ลาว ตำบลธารทอง อำเภอพาน จังหวัดเชียงราย</t>
  </si>
  <si>
    <t>07003550088003211484</t>
  </si>
  <si>
    <t>ซ่อมแซมคอนกรีตดาดคลองซอย 12L-RMC ช่วง กม.0+000 ถึง กม.1+400 โครงการส่งน้ำและบำรุงรักษาแม่ลาว ตำบลม่วงคำ อำเภอพาน จังหวัดเชียงราย</t>
  </si>
  <si>
    <t>07003550088003211485</t>
  </si>
  <si>
    <t>ซ่อมแซมคอนกรีตดาดคลองซอย 1R-LMC ช่วง กม.0+000 ถึง กม.0+900 โครงการส่งน้ำและบำรุงรักษาแม่ลาว ตำบลดงมะดะ อำเภอแม่ลาว จังหวัดเชียงราย</t>
  </si>
  <si>
    <t>07003550088003211486</t>
  </si>
  <si>
    <t>ซ่อมแซมคอนกรีตดาดคลองซอย 3L-RMC ความยาว 2.00 กิโลเมตร โครงการส่งน้ำและบำรุงรักษาแม่ลาว ตำบลทรายขาว อำเภอพาน จังหวัดเชียงราย</t>
  </si>
  <si>
    <t>ทรายขาว</t>
  </si>
  <si>
    <t>07003550088003211487</t>
  </si>
  <si>
    <t>ซ่อมแซมคอนกรีตดาดคลองซอย 5R-LMC ช่วง กม.2+000 ถึง กม.3+000 โครงการส่งน้ำและบำรุงรักษาแม่ลาว ตำบลจอมหมอกแก้ว อำเภอแม่ลาว จังหวัดเชียงราย</t>
  </si>
  <si>
    <t>07003550088003211488</t>
  </si>
  <si>
    <t>ซ่อมแซมคอนกรีตดาดคลองซอย 8L-RMC ช่วง กม.8+000 ถึง กม.13+000 โครงการส่งน้ำและบำรุงรักษาแม่ลาว ตำบลหัวง้ม อำเภอพาน จังหวัดเชียงราย</t>
  </si>
  <si>
    <t>หัวง้ม</t>
  </si>
  <si>
    <t>07003550088003211489</t>
  </si>
  <si>
    <t>ซ่อมแซมคอนกรีตดาดคลองซอย FTO.43 ช่วง กม.0+000 ถึง กม.0+900 โครงการส่งน้ำและบำรุงรักษาแม่ลาว ตำบลม่วงคำ อำเภอพาน จังหวัดเชียงราย</t>
  </si>
  <si>
    <t>07003550088003211490</t>
  </si>
  <si>
    <t>ซ่อมแซมคอนกรีตดาดคลองซอย FTO.44 ช่วง กม.0+000 ถึง กม.1+700 โครงการส่งน้ำและบำรุงรักษาแม่ลาว ตำบลม่วงคำ อำเภอพาน จังหวัดเชียงราย</t>
  </si>
  <si>
    <t>07003550088003211491</t>
  </si>
  <si>
    <t>ซ่อมแซมคอนกรีตดาดคลองส่งน้ำ 1L-LMC ฝายเชียงราย กม.0+000 ถึง กม.1+400 โครงการชลประทานเชียงราย ตำบลบ้านดู่ อำเภอเมืองเชียงราย จังหวัดเชียงราย</t>
  </si>
  <si>
    <t>บ้านดู่</t>
  </si>
  <si>
    <t>07003550088003211492</t>
  </si>
  <si>
    <t>ซ่อมแซมคอนกรีตดาดคลองส่งน้ำ 1L-RMC ฝายถ้ำวอก กม.3+000 ถึง กม.6+000 โครงการชลประทานเชียงราย ตำบลบัวสลี อำเภอแม่ลาว จังหวัดเชียงราย</t>
  </si>
  <si>
    <t>07003550088003211493</t>
  </si>
  <si>
    <t>ซ่อมแซมคอนกรีตดาดคลองส่งน้ำ 1R-LMC ฝายเชียงราย กม.4+066 ถึง กม.7+440 โครงการชลประทานเชียงราย ตำบลริมกก อำเภอเมืองเชียงราย จังหวัดเชียงราย</t>
  </si>
  <si>
    <t>ริมกก</t>
  </si>
  <si>
    <t>07003550088003211494</t>
  </si>
  <si>
    <t>ซ่อมแซมคอนกรีตดาดคลองส่งน้ำ 2R-RMC ฝายเชียงราย กม.0+000 ถึง กม.0+500 โครงการชลประทานเชียงราย ตำบลเมืองชุม อำเภอเวียงชัย จังหวัดเชียงราย</t>
  </si>
  <si>
    <t>เมืองชุม</t>
  </si>
  <si>
    <t>07003550088003211495</t>
  </si>
  <si>
    <t>ซ่อมแซมคอนกรีตดาดคลองส่งน้ำ 8L-RMC ฝายเชียงราย กม.3+900 ถึง 5+090 โครงการชลประทานเชียงราย ตำบลเวียงเหนือ อำเภอเวียงชัย จังหวัดเชียงราย</t>
  </si>
  <si>
    <t>เวียงเหนือ</t>
  </si>
  <si>
    <t>07003550088003211496</t>
  </si>
  <si>
    <t>ซ่อมแซมคอนกรีตดาดคลองส่งน้ำ LMC ฝายชัยสมบัติ กม.0+000 ถึง กม.2+500 โครงการชลประทานเชียงราย ตำบลท่าสาย อำเภอเมืองเชียงราย จังหวัดเชียงราย</t>
  </si>
  <si>
    <t>ท่าสาย</t>
  </si>
  <si>
    <t>07003550088003211497</t>
  </si>
  <si>
    <t>ซ่อมแซมคอนกรีตดาดคลองส่งน้ำ RMC ฝายถ้ำวอก กม.7+000 ถึง กม.10+000 โครงการชลประทานเชียงราย ตำบลป่าอ้อดอนชัย อำเภอเมืองเชียงราย จังหวัดเชียงราย</t>
  </si>
  <si>
    <t>ป่ออ้อดอนชัย</t>
  </si>
  <si>
    <t>07003550088003211498</t>
  </si>
  <si>
    <t>ซ่อมแซมคอนกรีตดาดคลองส่งน้ำ RMC ฝายโป่งนก กม.13+063 ถึง กม.15+980 โครงการชลประทานเชียงราย ตำบลเวียง อำเภอเวียงป่าเป้า จังหวัดเชียงราย</t>
  </si>
  <si>
    <t>07003550088003211499</t>
  </si>
  <si>
    <t>ซ่อมแซมคอนกรีตดาดคลองส่งน้ำ คลองผันน้ำแม่กรณ์-แม่กก กม.4+150 ถึง กม.4+310 โครงการชลประทานเชียงราย ตำบลรอบเวียง อำเภอเมืองเชียงราย จังหวัดเชียงราย</t>
  </si>
  <si>
    <t>07003550088003211500</t>
  </si>
  <si>
    <t>ซ่อมแซมคอนกรีตดาดคลองส่งน้ำ คลองห้วยผึ้ง ฝายบ้านห้วยผึ้ง โครงการชลประทานเชียงราย ตำบลแม่สลองใน อำเภอแม่ฟ้าหลวง จังหวัดเชียงราย</t>
  </si>
  <si>
    <t>แม่สลองใน</t>
  </si>
  <si>
    <t>07003550088003211501</t>
  </si>
  <si>
    <t>ซ่อมแซมคอนกรีตดาดคลองส่งน้ำ สาย K ฝายเชียงราย กม.0+000 ถึง 2+000 โครงการชลประทานเชียงราย ตำบลเวียงเหนือ อำเภอเวียงชัย จังหวัดเชียงราย</t>
  </si>
  <si>
    <t>07003550088003211502</t>
  </si>
  <si>
    <t>ซ่อมแซมคอนกรีตดาดคลองส่งน้ำ อ่างเก็บน้ำน้ำคำ โครงการชลประทานเชียงราย ตำบลแม่เงิน อำเภอเชียงแสน จังหวัดเชียงราย</t>
  </si>
  <si>
    <t>แม่เงิน</t>
  </si>
  <si>
    <t>07003550088003211503</t>
  </si>
  <si>
    <t>ซ่อมแซมคอนกรีตดาดคลองส่งน้ำ อ่างเก็บน้ำห้วยชัยมงคล โครงการชลประทานเชียงราย ตำบลแม่เงิน อำเภอเชียงแสน จังหวัดเชียงราย</t>
  </si>
  <si>
    <t>07003550088003211504</t>
  </si>
  <si>
    <t>ซ่อมแซมคอนกรีตดาดคลองส่งน้ำฝั่งขวา ฝายต้นผึ้ง ความยาว 186 เมตร โครงการชลประทานเชียงราย ตำบลป่าตึง อำเภอแม่จัน จังหวัดเชียงราย</t>
  </si>
  <si>
    <t>07003550088003211505</t>
  </si>
  <si>
    <t>ซ่อมแซมคอนกรีตดาดคลองส่งน้ำสาย 1L-1L-1R-RMC.1 โครงการพัฒนาการเกษตรแม่สาย กม.2+300 ถึง กม.2+600 โครงการชลประทานเชียงราย ตำบลโป่งผา อำเภอแม่สาย จังหวัดเชียงราย</t>
  </si>
  <si>
    <t>โป่งผา</t>
  </si>
  <si>
    <t>07003550088003211506</t>
  </si>
  <si>
    <t>ซ่อมแซมคอนกรีตดาดคลองส่งน้ำสาย 1L-RMC.1 โครงการพัฒนาการเกษตรแม่สาย กม.2+800 ถึง กม.3+100 โครงการชลประทานเชียงราย ตำบลแม่สาย อำเภอแม่สาย จังหวัดเชียงราย</t>
  </si>
  <si>
    <t>07003550088003211507</t>
  </si>
  <si>
    <t>ซ่อมแซมคอนกรีตดาดคลองส่งน้ำสาย 1L-RMC.2 โครงการพัฒนาการเกษตรแม่สาย กม.0+000 ถึง กม.0+788 โครงการชลประทานเชียงราย ตำบลเกาะช้าง อำเภอแม่สาย จังหวัดเชียงราย</t>
  </si>
  <si>
    <t>เกาะช้าง</t>
  </si>
  <si>
    <t>07003550088003211508</t>
  </si>
  <si>
    <t>ซ่อมแซมคอนกรีตดาดคลองส่งน้ำสาย 1R-RMC.3 โครงการพัฒนาการเกษตรแม่สาย กม.1+420 ถึง 2+610 โครงการชลประทานเชียงราย ตำบลเกาะช้าง อำเภอแม่สาย จังหวัดเชียงราย</t>
  </si>
  <si>
    <t>07003550088003211509</t>
  </si>
  <si>
    <t>ซ่อมแซมคอนกรีตดาดคลองส่งน้ำสาย 2L-RMC.3 โครงการพัฒนาการเกษตรแม่สาย กม.1+400 ถึง กม.2+200 โครงการชลประทานเชียงราย ตำบลเกาะช้าง อำเภอแม่สาย จังหวัดเชียงราย</t>
  </si>
  <si>
    <t>07003550088003211510</t>
  </si>
  <si>
    <t>ซ่อมแซมคอนกรีตดาดคลองส่งน้ำสาย 2R-RMC.1 โครงการพัฒนาการเกษตรแม่สาย กม.0+900 ถึง กม.1+100 โครงการชลประทานเชียงราย ตำบลเวียงพางคำ อำเภอแม่สาย จังหวัดเชียงราย</t>
  </si>
  <si>
    <t>เวียงพางคำ</t>
  </si>
  <si>
    <t>07003550088003211511</t>
  </si>
  <si>
    <t>ซ่อมแซมคอนกรีตดาดคลองส่งน้ำสาย RMC ฝายเชียงราย กม.13+443 ถึง 14+552 โครงการชลประทานเชียงราย ตำบลเมืองชุม อำเภอเวียงชัย จังหวัดเชียงราย</t>
  </si>
  <si>
    <t>07003550088003211512</t>
  </si>
  <si>
    <t>ซ่อมแซมคอนกรีตดาดคลองส่งน้ำสาย RMC ฝายเชียงราย กม.9+859 ถึง 12+000 โครงการชลประทานเชียงราย ตำบลเมืองชุม อำเภอเวียงชัย จังหวัดเชียงราย</t>
  </si>
  <si>
    <t>07003550088003211513</t>
  </si>
  <si>
    <t>ซ่อมแซมคอนกรีตดาดคลองส่งน้ำสาย RMC อ่างเก็บน้ำห้วยตาควน ความยาว 285 เมตร โครงการชลประทานเชียงราย ตำบลตาดควัน อำเภอพญาเม็งราย จังหวัดเชียงราย</t>
  </si>
  <si>
    <t>07003550088003211514</t>
  </si>
  <si>
    <t>ซ่อมแซมคอนกรีตดาดคลองส่งน้ำสาย RMC.3 โครงการพัฒนาการเกษตรแม่สาย กม.7+915 ถึง กม.8+710 โครงการชลประทานเชียงราย ตำบลเกาะช้าง อำเภอแม่สาย จังหวัดเชียงราย</t>
  </si>
  <si>
    <t>07003550088003211515</t>
  </si>
  <si>
    <t>ซ่อมแซมคอนกรีตดาดคลองสาย LMC อ่างเก็บน้ำแม่ต๊าก ความยาว 321 เมตรโครงการชลประทานเชียงราย ตำบลห้วยสัก อำเภอเมืองเชียงราย จังหวัดเชียงราย</t>
  </si>
  <si>
    <t>07003550088003211516</t>
  </si>
  <si>
    <t>ซ่อมแซมคอนกรีตดาดคลองสายใหญ่ RMC ช่วง กม.21+500 ถึง กม.25+500 โครงการส่งน้ำและบำรุงรักษาแม่ลาว ตำบลป่าหุ่ง อำเภอพาน จังหวัดเชียงราย</t>
  </si>
  <si>
    <t>ป่าหุ่ง</t>
  </si>
  <si>
    <t>07003550088003211517</t>
  </si>
  <si>
    <t>ซ่อมแซมคอนกรีตดาดคลองสายใหญ่ฝั่งซ้าย ช่วง กม.16+000 ถึง กม.20+000 โครงการส่งน้ำและบำรุงรักษาแม่ลาว ตำบลป่าก่อดำ อำเภอแม่ลาว จังหวัดเชียงราย</t>
  </si>
  <si>
    <t>ป่อก่อดำ</t>
  </si>
  <si>
    <t>07003550088003211518</t>
  </si>
  <si>
    <t>ซ่อมแซมคันคลองซอย 13R-LMC ช่วง กม.0+000 ถึง กม.4+500 โครงการส่งน้ำและบำรุงรักษาแม่ลาว ตำบลป่าอ้อดอนชัย อำเภอเมืองเชียงราย จังหวัดเชียงราย</t>
  </si>
  <si>
    <t>ป่าอ้อดอนชัย</t>
  </si>
  <si>
    <t>07003550088003211519</t>
  </si>
  <si>
    <t>ซ่อมแซมคันคลองซอย 4L-RMC (ฝั่งซ้าย) ความยาว 2.00 กิโลเมตร โครงการส่งน้ำและบำรุงรักษาแม่ลาว ตำบลสันติสุข อำเภอพาน จังหวัดเชียงราย</t>
  </si>
  <si>
    <t>ซ่อมแซมดาดคอนกรีตคลองส่งน้ำ 1R-LMC กม.3+000 ถึง 4+066 ฝายเชียงราย โครงการชลประทานเชียงราย ตำบลริมกก อำเภอเมืองเชียงราย จังหวัดเชียงราย</t>
  </si>
  <si>
    <t>07003550088003211521</t>
  </si>
  <si>
    <t>ซ่อมแซมดาดคอนกรีตคลองส่งน้ำสาย LMC กม.0+000 ถึง 0+600 ฝายห้วยหล่อ โครงการชลประทานเชียงราย ตำบลดอยลาน อำเภอเมืองเชียงราย จังหวัดเชียงราย</t>
  </si>
  <si>
    <t>ดอยลาน</t>
  </si>
  <si>
    <t>07003550088003211522</t>
  </si>
  <si>
    <t>ซ่อมแซมดาดคอนกรีตคลองส่งน้ำสาย LMC ฝายเชียงราย กม.8+015 ถึง 9+250 โครงการชลประทานเชียงราย ตำบลแม่ข้าวต้ม อำเภอเมืองเชียงราย จังหวัดเชียงราย</t>
  </si>
  <si>
    <t>แม่ข้าวต้ม</t>
  </si>
  <si>
    <t>07003550088003211523</t>
  </si>
  <si>
    <t>ซ่อมแซมดาดคอนกรีตคลองส่งน้ำสาย RMC ฝายเชียงราย กม.15+768 ถึง 18+030 โครงการชลประทานเชียงราย ตำบลทุ่งก่อ อำเภอเวียงเชียงรุ้ง จังหวัดเชียงราย</t>
  </si>
  <si>
    <t>ทุ่งก่อ</t>
  </si>
  <si>
    <t>07003550088003211524</t>
  </si>
  <si>
    <t>ซ่อมแซมดาดคอนกรีตคลองส่งน้ำสาย RMC ฝายเชียงราย กม.18+030 ถึง 19+081 โครงการชลประทานเชียงราย ตำบลทุ่งก่อ อำเภอเวียงเชียงรุ้ง จังหวัดเชียงราย</t>
  </si>
  <si>
    <t>07003550088003211525</t>
  </si>
  <si>
    <t>ซ่อมแซมดาดคอนกรีตคลองส่งน้ำสาย RMC ฝายเชียงราย กม.8+650 ถึง 9+859 โครงการชลประทานเชียงราย ตำบลเมืองชุม อำเภอเวียงชัย จังหวัดเชียงราย</t>
  </si>
  <si>
    <t>07003550088003211526</t>
  </si>
  <si>
    <t>ซ่อมแซมดาดคอนกรีตคลองสาย RMC ฝายชัยสมบัติ กม.0+500 ถึง 2+100 โครงการชลประทานเชียงราย ตำบลท่าสาย อำเภอเมืองเชียงราย จังหวัดเชียงราย</t>
  </si>
  <si>
    <t>07003550088003211527</t>
  </si>
  <si>
    <t>ซ่อมแซมถนนคลองระบายน้ำลำน้ำสรวยฝั่งขวาเขตพื้นที่ชลประทาน ระยะทาง 539 เมตร โครงการส่งน้ำและบำรุงรักษาแม่ลาว ตำบลแม่สรวย อำเภอแม่สรวย จังหวัดเชียงราย</t>
  </si>
  <si>
    <t>ซ่อมแซมท่อลอดถนนคลองส่งน้ำสาย LMC ฝายเชียงราย กม.6+940 จำนวน 1แห่ง โครงการชลประทานเชียงราย ตำบลนางแล อำเภอเมืองเชียงราย จังหวัดเชียงราย</t>
  </si>
  <si>
    <t>นางแล</t>
  </si>
  <si>
    <t>07003550088003211529</t>
  </si>
  <si>
    <t>ซ่อมแซมท่อส่งน้ำเข้านา จำนวน 4 แห่ง และหินเรียงปลายคลองอ่างเก็บน้ำห้วยหินฝน โครงการชลประทานเชียงราย ตำบลป่าตึง อำเภอแม่จัน จังหวัดเชียงราย</t>
  </si>
  <si>
    <t>07003550088003211530</t>
  </si>
  <si>
    <t>ซ่อมแซมท่อส่งน้ำเข้านาคลอง RMC จำนวน 5 แห่ง โครงการส่งน้ำและบำรุงรักษาแม่ลาว ตำบลสันกลาง อำเภอพาน จังหวัดเชียงราย</t>
  </si>
  <si>
    <t>07003550088003211531</t>
  </si>
  <si>
    <t>ซ่อมแซมท่อส่งน้ำเข้านาคลองซอย 4L-RMC จำนวน 4 แห่ง โครงการส่งน้ำและบำรุงรักษาแม่ลาว ตำบลสันติสุข อำเภอพาน จังหวัดเชียงราย</t>
  </si>
  <si>
    <t>07003550088003211532</t>
  </si>
  <si>
    <t>ซ่อมแซมท้ายฝายจะพือ จำนวน 1 แห่ง โครงการชลประทานเชียงราย ตำบลป่าตึง อำเภอแม่จัน จังหวัดเชียงราย</t>
  </si>
  <si>
    <t>07003550088003211533</t>
  </si>
  <si>
    <t>ซ่อมแซมท้ายอาคารแบ่งน้ำ พร้อมขุดลอกตะกอนคลองส่งน้ำอ่างเก็บน้ำแม่เปิน จำนวน 1 แห่ง โครงการชลประทานเชียงราย ตำบลป่าซาง อำเภอแม่จัน จังหวัดเชียงราย</t>
  </si>
  <si>
    <t>07003550088003211534</t>
  </si>
  <si>
    <t>ซ่อมแซมท้ายอาคารแบ่งน้ำพร้อมขุดลอกตะกอน คลองส่งน้ำฝั่งซ้าย อ่างเก็บน้ำห้วยปู โครงการชลประทานเชียงราย ตำบลป่าตึง อำเภอแม่จัน จังหวัดเชียงราย</t>
  </si>
  <si>
    <t>07003550088003211535</t>
  </si>
  <si>
    <t>ซ่อมแซมบานประตู 1L-LMC ฝายชัยสมบัติ โครงการชลประทานเชียงราย ตำบลท่าสาย อำเภอเมืองเชียงราย จังหวัดเชียงราย</t>
  </si>
  <si>
    <t>ซ่อมแซมบานประตูระบายทราย ฝายชัยสมบัติ (ฝายเดิม) โครงการชลประทานเชียงราย ตำบลท่าสาย อำเภอเมืองเชียงราย จังหวัดเชียงราย</t>
  </si>
  <si>
    <t>07003550088003211537</t>
  </si>
  <si>
    <t>ซ่อมแซมบานประตูระบายน้ำจัดหาน้ำไร่แม่ฟ้าหลวง (หนองก๊อบแก๊บ) โครงการชลประทานเชียงราย ตำบลรอบเวียง อำเภอเมืองเชียงราย จังหวัดเชียงราย</t>
  </si>
  <si>
    <t>07003550088003211538</t>
  </si>
  <si>
    <t>ซ่อมแซมบานระบาย ทรบ.ปากคลอง RMC.1 โครงการพัฒนาการเกษตรแม่สาย กม.0+000 โครงการชลประทานเชียงราย ตำบลแม่สาย อำเภอแม่สาย จังหวัดเชียงราย</t>
  </si>
  <si>
    <t>07003550088003211539</t>
  </si>
  <si>
    <t>ซ่อมแซมบานระบาย ทรบ.ปากคลอง RMC.2 โครงการพัฒนาการเกษตรแม่สาย กม.0+000 โครงการชลประทานเชียงราย ตำบลแม่สาย อำเภอแม่สาย จังหวัดเชียงราย</t>
  </si>
  <si>
    <t>07003550088003211540</t>
  </si>
  <si>
    <t>ซ่อมแซมบานระบาย อาคารทดน้ำคลอง RMC.1 โครงการพัฒนาการเกษตรแม่สาย กม.2+030 และ กม.3+300 โครงการชลประทานเชียงราย ตำบลแม่สาย อำเภอแม่สาย จังหวัดเชียงราย</t>
  </si>
  <si>
    <t>07003550088003211541</t>
  </si>
  <si>
    <t>ซ่อมแซมบานระบาย อาคารท่อลอดถนนคลอง RMC.1 โครงการพัฒนาการเกษตรแม่สาย กม.5+380 และ กม.6+814 โครงการชลประทานเชียงราย ตำบลศรีเมืองชุม อำเภอแม่สาย จังหวัดเชียงราย</t>
  </si>
  <si>
    <t>ศรีเมืองชุม</t>
  </si>
  <si>
    <t>07003550088003211542</t>
  </si>
  <si>
    <t>ซ่อมแซมบานระบาย อาคารน้ำตกคลอง RMC.1 โครงการพัฒนาการเกษตรแม่สาย กม.2+400 และ กม.4+580 โครงการชลประทานเชียงราย ตำบลแม่สาย อำเภอแม่สาย จังหวัดเชียงราย</t>
  </si>
  <si>
    <t>07003550088003211543</t>
  </si>
  <si>
    <t>ซ่อมแซมบานระบายพร้อมโครงยก อ่างเก็บน้ำห้วยพร้าพลาด โครงการชลประทานเชียงราย ตำบลเวียง อำเภอเชียงแสน จังหวัดเชียงราย</t>
  </si>
  <si>
    <t>07003550088003211544</t>
  </si>
  <si>
    <t>ซ่อมแซมบานระบายพร้อมอาคาร 1R-RMC ฝายชัยสมบัติ กม.3+500 โครงการชลประทานเชียงราย ตำบลเวียงชัย อำเภอเวียงชัย จังหวัดเชียงราย</t>
  </si>
  <si>
    <t>07003550088003211545</t>
  </si>
  <si>
    <t>ซ่อมแซมบานระบายพร้อมอาคาร 2R-RMC กม.4+500 ฝายชัยสมบัติ โครงการชลประทานเชียงราย ตำบลเวียงชัย อำเภอเวียงชัย จังหวัดเชียงราย</t>
  </si>
  <si>
    <t>07003550088003211546</t>
  </si>
  <si>
    <t>ซ่อมแซมบานระบายพร้อมอาคารทดน้ำ 2R-RMC ฝายชัยสมบัติ กม.3+350 โครงการชลประทานเชียงราย ตำบลเวียงชัย อำเภอเวียงชัย จังหวัดเชียงราย</t>
  </si>
  <si>
    <t>07003550088003211547</t>
  </si>
  <si>
    <t>ซ่อมแซมบานระบายพร้อมอาคารแบ่งน้ำ 1R-RMC ฝายชัยสมบัติ กม.1+200 จำนวน 1แห่ง โครงการชลประทานเชียงราย ตำบลเวียงชัย อำเภอเวียงชัย จังหวัดเชียงราย</t>
  </si>
  <si>
    <t>07003550088003211548</t>
  </si>
  <si>
    <t>ซ่อมแซมบานระบายพร้อมอาคารแบ่งน้ำ 3R-RMC ฝายชัยสมบัติ กม.2+750 โครงการชลประทานเชียงราย ตำบลเวียงชัย อำเภอเวียงชัย จังหวัดเชียงราย</t>
  </si>
  <si>
    <t>07003550088003211549</t>
  </si>
  <si>
    <t>ซ่อมแซมบานระบายพร้อมอาคารแบ่งน้ำ 3R-RMC ฝายชัยสมบัติ กม.2+753 โครงการชลประทานเชียงราย ตำบลเวียงชัย อำเภอเวียงชัย จังหวัดเชียงราย</t>
  </si>
  <si>
    <t>07003550088003211550</t>
  </si>
  <si>
    <t>ซ่อมแซมบานระบายพร้อมอาคารแบ่งน้ำ 4L-RMC ฝายชัยสมบัติ กม.0+850 โครงการชลประทานเชียงราย ตำบลเวียงเหนือ อำเภอเวียงชัย จังหวัดเชียงราย</t>
  </si>
  <si>
    <t>07003550088003211551</t>
  </si>
  <si>
    <t>ซ่อมแซมบานระบายพร้อมอาคารแบ่งน้ำ 4L-RMC ฝายชัยสมบัติ กม.0+853 โครงการชลประทานเชียงราย ตำบลเวียงเหนือ อำเภอเวียงชัย จังหวัดเชียงราย</t>
  </si>
  <si>
    <t>07003550088003211552</t>
  </si>
  <si>
    <t>ซ่อมแซมบานระบายพร้อมอาคารระบายน้ำ ฝายชัยสมบัติ กม.4+120 โครงการชลประทานเชียงราย ตำบลเวียงชัย อำเภอเวียงชัย จังหวัดเชียงราย</t>
  </si>
  <si>
    <t>07003550088003211553</t>
  </si>
  <si>
    <t>ซ่อมแซมบำรุงรักษา โครงการชลประทาน ในเขตโครงการชลประทานเชียงราย ตำบลรอบเวียง อำเภอเมืองเชียงราย จังหวัดเชียงราย</t>
  </si>
  <si>
    <t>07003550088003211554</t>
  </si>
  <si>
    <t>ซ่อมแซมบำรุงรักษาระบบชลประทาน โครงการส่งน้ำและบำรุงรักษาแม่ลาว ตำบลดงมะดะ อำเภอแม่ลาว จังหวัดเชียงราย</t>
  </si>
  <si>
    <t>ซ่อมแซมบำรุงรักษาระบบชลประทาน ตามข้อเสนอของเกษตรกรผู้ใช้น้ำชลประทาน โครงการชลประทานเชียงราย ตำบลรอบเวียง อำเภอเมืองเชียงราย จังหวัดเชียงราย</t>
  </si>
  <si>
    <t>07003550088003211556</t>
  </si>
  <si>
    <t>ซ่อมแซมประตูส่งน้ำฝายห้วยป่าแฮดพร้อมขุดลอกตะกอนหน้าฝาย โครงการชลประทานเชียงราย ตำบลตับเต่า อำเภอเทิง จังหวัดเชียงราย</t>
  </si>
  <si>
    <t>07003550088003211557</t>
  </si>
  <si>
    <t>ซ่อมแซมฝาย สระเก็บน้ำ และระบบส่งน้ำ ฝายบ้านร่มโพธิ์ไทย (รร.เพียงหลวง) กม.0+00 ถึง 0+650 โครงการชลประทานเชียงราย ตำบลตับเต่า อำเภอเทิง จังหวัดเชียงราย</t>
  </si>
  <si>
    <t>07003550088003211558</t>
  </si>
  <si>
    <t>ซ่อมแซมฝายนางปุก โครงการชลประทานเชียงราย ตำบลบุญเรือง อำเภอเชียงของ จังหวัดเชียงราย</t>
  </si>
  <si>
    <t>บุญเรือง</t>
  </si>
  <si>
    <t>07003550088003211559</t>
  </si>
  <si>
    <t>ซ่อมแซมฝายน้ำงาว โครงการชลประทานเชียงราย ตำบลปอ อำเภอเวียงแก่น จังหวัดเชียงราย</t>
  </si>
  <si>
    <t>07003550088003211560</t>
  </si>
  <si>
    <t>ซ่อมแซมฝายบ้านแจมป๋อง โครงการชลประทานเชียงราย ตำบลหล่ายงาว อำเภอเวียงแก่น จังหวัดเชียงราย</t>
  </si>
  <si>
    <t>หล่ายงาว</t>
  </si>
  <si>
    <t>07003550088003211561</t>
  </si>
  <si>
    <t>ซ่อมแซมฝายและระบบส่งน้ำฝายผาแล โครงการชลประทานเชียงราย ตำบลปอ อำเภอเวียงแก่น จังหวัดเชียงราย</t>
  </si>
  <si>
    <t>07003550088003211562</t>
  </si>
  <si>
    <t>ซ่อมแซมระบบท่อส่งน้ำ โครงการจัดหาน้ำสนับสนุนบ้านพญาพิภักดิ์ ระยะที่ 1 กม.0+000 ถึง 1+700 โครงการชลประทานเชียงราย ตำบลยางฮอม อำเภอขุนตาล จังหวัดเชียงราย</t>
  </si>
  <si>
    <t>ยางฮอม</t>
  </si>
  <si>
    <t>07003550088003211563</t>
  </si>
  <si>
    <t>ซ่อมแซมระบบท่อส่งน้ำ โครงการจัดหาน้ำสนับสนุนบ้านยางฮอมใหม่ กม.0+000 ถึง 1+500 โครงการชลประทานเชียงราย ตำบลยางฮอม อำเภอขุนตาล จังหวัดเชียงราย</t>
  </si>
  <si>
    <t>07003550088003211564</t>
  </si>
  <si>
    <t>ซ่อมแซมระบบท่อส่งน้ำ โครงการจัดหาน้ำให้บ้านโป่งขม โครงการชลประทานเชียงราย ตำบลป่าตึง อำเภอแม่จัน จังหวัดเชียงราย</t>
  </si>
  <si>
    <t>07003550088003211565</t>
  </si>
  <si>
    <t>ซ่อมแซมระบบท่อส่งน้ำฝายครกหลวง กม.0+000 ถึง กม.2+300 โครงการชลประทานเชียงราย ตำบลม่วงยาย อำเภอเวียงแก่น จังหวัดเชียงราย</t>
  </si>
  <si>
    <t>07003550088003211566</t>
  </si>
  <si>
    <t>ซ่อมแซมระบบท่อส่งน้ำฝายบ้านขอนซุง โครงการชลประทานเชียงราย ตำบลงิ้ว อำเภอเทิง จังหวัดเชียงราย</t>
  </si>
  <si>
    <t>งิ้ว</t>
  </si>
  <si>
    <t>07003550088003211567</t>
  </si>
  <si>
    <t>ซ่อมแซมระบบท่อส่งน้ำฝายห้วยกุ๊กพร้อมระบบส่งน้ำ โครงการชลประทานเชียงราย ตำบลปอ อำเภอเวียงแก่น จังหวัดเชียงราย</t>
  </si>
  <si>
    <t>07003550088003211568</t>
  </si>
  <si>
    <t>ซ่อมแซมระบบท่อส่งน้ำพร้อมขุดลอกตะกอนหน้าฝายห้วยตอง ตำบลครึ่ง อำเภอเชียงของ จังหวัดเชียงราย</t>
  </si>
  <si>
    <t>07003550088003211569</t>
  </si>
  <si>
    <t>ซ่อมแซมระบบส่งน้ำ อ่างเก็บน้ำห้วยใจ โครงการชลประทานเชียงราย ตำบลป่าซาง อำเภอแม่จัน จังหวัดเชียงราย</t>
  </si>
  <si>
    <t>07003550088003211570</t>
  </si>
  <si>
    <t>ซ่อมแซมระบบส่งน้ำฝายพ่อขุน กม.0+500 ถึง กม.2+500 โครงการชลประทานเชียงราย ตำบลแม่เจดีย์ อำเภอเวียงป่าเป้า จังหวัดเชียงราย</t>
  </si>
  <si>
    <t>07003550088003211571</t>
  </si>
  <si>
    <t>ซ่อมแซมระบบส่งน้ำฝายห้วยเมี่ยงแง่ซ้าย กม.0+600 ถึง กม.1+500 โครงการชลประทานเชียงราย ตำบลตับเต่า อำเภอเทิง จังหวัดเชียงราย</t>
  </si>
  <si>
    <t>07003550088003211572</t>
  </si>
  <si>
    <t>ซ่อมแซมระบบส่งน้ำอ่างเก็บน้ำห้วยแม่ไร่ กม.0+000 ถึง 0+100 โครงการชลประทานเชียงราย ตำบลแม่ฟ้าหลวง อำเภอแม่ฟ้าหลวง จังหวัดเชียงราย</t>
  </si>
  <si>
    <t>07003550088003211573</t>
  </si>
  <si>
    <t>ซ่อมแซมระบบส่งน้ำอ่างเก็บน้ำห้วยหวาย กม.1+000 ถึง 2+500 โครงการชลประทานเชียงราย ตำบลศรีดอนชัย อำเภอเชียงของ จังหวัดเชียงราย</t>
  </si>
  <si>
    <t>07003550088003211574</t>
  </si>
  <si>
    <t>ซ่อมแซมรางระบายน้ำฝนอ่างเก็บน้ำห้วยต้นงุ้น ความยาว 0.231 กิโลเมตร โครงการชลประทานเชียงราย ตำบลป่าซาง อำเภอเวียงเชียงรุ้ง จังหวัดเชียงราย</t>
  </si>
  <si>
    <t>07003550088003211575</t>
  </si>
  <si>
    <t>ซ่อมแซมสระเก็บน้ำบ้านลาบา โครงการชลประทานเชียงราย ตำบลแม่ฟ้าหลวง อำเภอแม่ฟ้าหลวง จังหวัดเชียงราย</t>
  </si>
  <si>
    <t>07003550088003211576</t>
  </si>
  <si>
    <t>ซ่อมแซมสะพานน้ำอ่างเก็บน้ำห้วยช้าง สาย LMC กม.0+270 ถึง กม.0+300 โครงการชลประทานเชียงราย ตำบลสถาน อำเภอเชียงของ จังหวัดเชียงราย</t>
  </si>
  <si>
    <t>07003550088003211577</t>
  </si>
  <si>
    <t>ซ่อมแซมหินเรียงด้านท้ายฝายชัยสมบัติ (ฝายเดิม) โครงการชลประทานเชียงราย ตำบลท่าสาย อำเภอเมืองเชียงราย จังหวัดเชียงราย</t>
  </si>
  <si>
    <t>07003550088003211578</t>
  </si>
  <si>
    <t>ซ่อมแซมหินเรียงด้านหน้าและด้านท้ายอาคารอัดน้ำกลางคลองสาย RMC ฝายชัยสมบัติ กม.5+660 โครงการชลประทานเชียงราย ตำบลเวียงชัย อำเภอเวียงชัย จังหวัดเชียงราย</t>
  </si>
  <si>
    <t>07003550088003211579</t>
  </si>
  <si>
    <t>ซ่อมแซมหินเรียงด้านหน้าอ่างเก็บน้ำห้วยหม้อขาง จำนวน 1 แห่ง โครงการชลประทานเชียงราย ตำบลศรีค้ำ อำเภอแม่จัน จังหวัดเชียงราย</t>
  </si>
  <si>
    <t>ศรีค้ำ</t>
  </si>
  <si>
    <t>07003550088003211580</t>
  </si>
  <si>
    <t>ซ่อมแซมหินเรียงท้ายทางระบายน้ำล้นอ่างเก็บน้ำแม่ต๊าก จำนวน 480 ตารางเมตร โครงการชลประทานเชียงราย ตำบลดอนศิลา อำเภอเวียงชัย จังหวัดเชียงราย</t>
  </si>
  <si>
    <t>ซ่อมแซมอาคารรับน้ำเข้าคลองส่งน้ำสายใหญ่ฝั่งซ้าย LMCช่วง กม.16+045 ถึง กม.19+278 โครงการส่งน้ำและบำรุงรักษาแม่ลาว ตำบลป่าอ้อดอนชัย อำเภอเมืองเชียงราย จังหวัดเชียงราย</t>
  </si>
  <si>
    <t>07003550088003211582</t>
  </si>
  <si>
    <t>ซ่อมแซมอาคารอัดน้ำกลางคลอง LMC ฝายชัยสมบัติ กม.0+290 โครงการชลประทานเชียงราย ตำบลเวียงชัย อำเภอเวียงชัย จังหวัดเชียงราย</t>
  </si>
  <si>
    <t>07003550088003211583</t>
  </si>
  <si>
    <t>ซ่อมแซมอาคารอัดน้ำกลางคลอง RMC ฝายถ้ำวอก กม.12+720 โครงการชลประทานเชียงราย ตำบลท่าสาย อำเภอเมืองเชียงราย จังหวัดเชียงราย</t>
  </si>
  <si>
    <t>07003550088003211584</t>
  </si>
  <si>
    <t>ซ่อมแซมอาคารอัดน้ำกลางคลอง RMC ฝายถ้ำวอก กม.2+625 โครงการชลประทานเชียงราย ตำบลบัวสลี อำเภอแม่ลาว จังหวัดเชียงราย</t>
  </si>
  <si>
    <t>07003550088003211585</t>
  </si>
  <si>
    <t>ซ่อมแซมอุปกรณ์บังคับน้ำและบานระบาย จำนวน 25 แห่ง โครงการส่งน้ำและบำรุงรักษาแม่ลาว ตำบลดงมะดะ อำเภอแม่ลาว จังหวัดเชียงราย</t>
  </si>
  <si>
    <t>07003550088003211586</t>
  </si>
  <si>
    <t>บริหารการส่งน้ำ โครงการชลประทานเชียงราย พื้นที่ชลประทาน 216,135 ไร่ โครงการชลประทานเชียงราย ตำบลรอบเวียง อำเภอเมืองเชียงราย จังหวัดเชียงราย</t>
  </si>
  <si>
    <t>07003550088003211587</t>
  </si>
  <si>
    <t>บำรุงรักษาทางลำเลียงใหญ่ คลอง 2R-LMC อ่างเก็บน้ำแม่ต๊าก โครงการชลประทานเชียงราย ระยะทาง 0.900 กิโลเมตร ตำบลห้วยสัก อำเภอเมืองเชียงราย จังหวัดเชียงราย</t>
  </si>
  <si>
    <t>หัวยสัก</t>
  </si>
  <si>
    <t>07003550088003211588</t>
  </si>
  <si>
    <t>บำรุงรักษาทางลำเลียงใหญ่ โครงการชลประทานเชียงราย ระยะทาง 5.600 กิโลเมตร ตำบลแม่สาย อำเภอแม่สาย จังหวัดเชียงราย</t>
  </si>
  <si>
    <t>07003550088003211589</t>
  </si>
  <si>
    <t>บำรุงรักษาทางลำเลียงใหญ่ โครงการส่งน้ำและบำรุงรักษาแม่ลาว ระยะทาง 7.10 กม. ตำบลดงมะดะ อำเภอแม่ลาว จังหวัดเชียงราย</t>
  </si>
  <si>
    <t>07003550088003211590</t>
  </si>
  <si>
    <t>บำรุงรักษาหัวงานและคลองส่งน้ำ โครงการส่งน้ำและบำรุงรักษาแม่ลาว พื้นที่ 147,057 ไร่ ตำบลดงมะดะ อำเภอแม่ลาว จังหวัดเชียงราย</t>
  </si>
  <si>
    <t>07003550088003211591</t>
  </si>
  <si>
    <t>บำรุงรักษาหัวงานและคลองส่งน้ำโครงการชลประทานเชียงราย พื้นที่ 1,516 ไร่ โครงการชลประทานเชียงราย ตำบลรอบเวียง อำเภอเมืองเชียงราย จังหวัดเชียงราย</t>
  </si>
  <si>
    <t>07003550088003211592</t>
  </si>
  <si>
    <t>กำจัดวัชพืชโดยแรงคน ปริมาณ 450 ไร่ โครงการชลประทานน่าน ตำบลไชยสถาน อำเภอเมืองน่าน จังหวัดน่าน</t>
  </si>
  <si>
    <t>ไชยสถาน</t>
  </si>
  <si>
    <t>07003550088003213142</t>
  </si>
  <si>
    <t>ขุดลอกฝายดำเนินการเอง ฝายน้ำปัว(ขนาดกลาง) โครงการชลประทานน่าน ปริมาณดิน 10,000 ลูกบาศก์เมตร ตำบลสถาน อำเภอปัว จังหวัดน่าน</t>
  </si>
  <si>
    <t>07003550088003213143</t>
  </si>
  <si>
    <t>ขุดลอกฝายดำเนินการเอง ฝายน้ำยาว (ขนาดกลาง) โครงการชลประทานน่าน ปริมาณดิน 13,000 ลูกบาศก์เมตร ตำบลผาตอ อำเภอท่าวังผา จังหวัดน่าน</t>
  </si>
  <si>
    <t>ผาตอ</t>
  </si>
  <si>
    <t>07003550088003213144</t>
  </si>
  <si>
    <t>ค่าซ่อมแซมและบำรุงรักษาโครงการชลประทาน โครงการชลประทานน่าน ตำบลไชยสถาน อำเภอเมืองน่าน จังหวัดน่าน</t>
  </si>
  <si>
    <t>07003550088003213145</t>
  </si>
  <si>
    <t>ซ่อมแซม Gate valve พร้อมอาคารประกอบ อ่างเก็บน้ำน้ำพง พรด. (ขนาดกลาง) โครงการชลประทานน่าน ตำบลพงษ์ อำเภอสันติสุข จังหวัดน่าน</t>
  </si>
  <si>
    <t>07003550088003213146</t>
  </si>
  <si>
    <t>ซ่อมแซมคลองส่งน้ำ 1L-RMC ฝายสา(ขนาดกลาง) ความยาว 0.340 กิโลเมตร ตำบลแม่สา อำเภอเวียงสา จังหวัดน่าน</t>
  </si>
  <si>
    <t>แม่สา</t>
  </si>
  <si>
    <t>07003550088003213147</t>
  </si>
  <si>
    <t>ซ่อมแซมคลองส่งน้ำ 3 RMC อ่างเก็บน้ำน้ำปอน กม.0+560 ตำบลปอน อำเภอทุ่งช้าง จังหวัดน่าน</t>
  </si>
  <si>
    <t>ปอน</t>
  </si>
  <si>
    <t>07003550088003213148</t>
  </si>
  <si>
    <t>ซ่อมแซมคลองส่งน้ำ LMC ฝายน้ำกอน กม.0+000 ถึง กม.0+500 ตำบลพญาแก้ว อำเภอเชียงกลาง จังหวัดน่าน</t>
  </si>
  <si>
    <t>07003550088003213149</t>
  </si>
  <si>
    <t>ซ่อมแซมคลองส่งน้ำ RMC ฝายสา(ขนาดกลาง) ความยาว 0.368 กิโลเมตร ตำบลกลางเวียง อำเภอเวียงสา จังหวัดน่าน</t>
  </si>
  <si>
    <t>กลางเวียง</t>
  </si>
  <si>
    <t>07003550088003213150</t>
  </si>
  <si>
    <t>ซ่อมแซมคลองส่งน้ำสาย1L-RMC, 2R-1L-RMC ฝายน้ำยาว (ขนาดกลาง) ความยาวรวม 0.300 กิโลเมตร โครงการชลประทานน่าน ตำบลผาตอ อำเภอท่าวังผา จังหวัดน่าน</t>
  </si>
  <si>
    <t>07003550088003213151</t>
  </si>
  <si>
    <t>ซ่อมแซมบานระบายอาคารอัดน้ำกลางคลอง LMC ฝายสา(ขนาดกลาง) กม.1+045 ตำบลปงสนุก อำเภอเวียงสา จังหวัดน่าน</t>
  </si>
  <si>
    <t>07003550088003213152</t>
  </si>
  <si>
    <t>ซ่อมแซมบำรุงรักษาระบบชลประทาน ตามข้อเสนอของเกษตรกรผู้ใช้น้ำชลประทาน ในเขตโครงการชลประทานน่าน ตำบลไชยสถาน อำเภอเมืองน่าน จังหวัดน่าน</t>
  </si>
  <si>
    <t>07003550088003213153</t>
  </si>
  <si>
    <t>ซ่อมแซมประปาภูเขาบ้านร่มเกล้า ระยะทาง 0.250 กิโลเมตร ตำบลน้ำพาง อำเภอแม่จริม จังหวัดน่าน</t>
  </si>
  <si>
    <t>น้ำพาง</t>
  </si>
  <si>
    <t>07003550088003213154</t>
  </si>
  <si>
    <t>ซ่อมแซมฝายน้ำยาว พร้อมอาคารประกอบ (ขนาดกลาง) พื้นที่ชลประทาน 4,000 ไร่ โครงการชลประทานน่าน ตำบลผาตอ อำเภอท่าวังผา จังหวัดน่าน</t>
  </si>
  <si>
    <t>07003550088003213155</t>
  </si>
  <si>
    <t>ซ่อมแซมระบบท่อส่งน้ำฝายน้ำรีพัฒนา ตำบลขุนน่าน อำเภอเฉลิมพระเกียรติ จังหวัดน่าน</t>
  </si>
  <si>
    <t>07003550088003213156</t>
  </si>
  <si>
    <t>ซ่อมแซมระบบท่อส่งน้ำอ่างเก็บน้ำห้วยชื่น(ขนาดกลาง) ตำบลทุ่งศรีทอง อำเภอเวียงสา จังหวัดน่าน</t>
  </si>
  <si>
    <t>ทุ่งศรีทอง</t>
  </si>
  <si>
    <t>07003550088003213157</t>
  </si>
  <si>
    <t>ซ่อมแซมระบบส่งน้ำ ระยะทาง 0.200 กิโลเมตร อ่างเก็บน้ำน้ำต้วน ตำบลฝายแก้ว อำเภอภูเพียง จังหวัดน่าน</t>
  </si>
  <si>
    <t>ฝายแก้ว</t>
  </si>
  <si>
    <t>07003550088003213158</t>
  </si>
  <si>
    <t>ซ่อมแซมระบบส่งน้ำฝายห้วยคูณ (ปชด.) ความยาว 0.200 กิโลเมตร ตำบลส้านนาหนองใหม่ อำเภอเวียงสา จังหวัดน่าน</t>
  </si>
  <si>
    <t>ส้านนาหนองใหม่</t>
  </si>
  <si>
    <t>07003550088003213159</t>
  </si>
  <si>
    <t>ซ่อมแซมระบบส่งน้ำฝายห้วยน้ำกลั่นพร้อมระบบส่งน้ำ ตำบลขุนน่าน อำเภอเฉลิมพระเกียรติ จังหวัดน่าน</t>
  </si>
  <si>
    <t>07003550088003213160</t>
  </si>
  <si>
    <t>ซ่อมแซมระบบส่งน้ำฝายห้วยเมี่ยง ระยะทาง 0.450 กิโลเมตร ตำบลหนองแดง อำเภอแม่จริม จังหวัดน่าน</t>
  </si>
  <si>
    <t>หนองแดง</t>
  </si>
  <si>
    <t>07003550088003213161</t>
  </si>
  <si>
    <t>ซ่อมแซมระบบส่งน้ำฝายห้วยระพี-ห้วยม่วง ระยะทาง 0.150 กิโลเมตร ตำบลสะเนียน อำเภอเมืองน่าน จังหวัดน่าน</t>
  </si>
  <si>
    <t>สะเนียน</t>
  </si>
  <si>
    <t>07003550088003213162</t>
  </si>
  <si>
    <t>ซ่อมแซมระบบส่งน้ำฝายห้วยเฮือ ระยะทาง 0.100 กิโลเมตร ตำบลสะเนียน อำเภอเมืองน่าน จังหวัดน่าน</t>
  </si>
  <si>
    <t>07003550088003213163</t>
  </si>
  <si>
    <t>ซ่อมแซมระบบส่งน้ำสาย 1L-RMC ฝายน้ำปัว (ขนาดกลาง) ความยาวรวม 0.100 กิโลเมตร โครงการชลประทานน่าน ตำบลสถาน อำเภอปัว จังหวัดน่าน</t>
  </si>
  <si>
    <t>07003550088003213164</t>
  </si>
  <si>
    <t>ซ่อมแซมระบบส่งน้ำสาย LMC อ่างเก็บน้ำน้ำพง พรด. (ขนาดกลาง) ความยาวรวม 0.300 กิโลเมตรโครงการชลประทานน่าน ตำบลพงษ์ อำเภอสันติสุข จังหวัดน่าน</t>
  </si>
  <si>
    <t>07003550088003213165</t>
  </si>
  <si>
    <t>ซ่อมแซมระบบส่งน้ำสาย MP พร้อมอาคารประกอบ อ่างเก็บน้ำน้ำริม พรด. (ขนาดกลาง) ความยาวรวม 0.050 กิโลเมตร โครงการชลประทานน่าน ตำบลแสนทอง อำเภอท่าวังผา จังหวัดน่าน</t>
  </si>
  <si>
    <t>แสนทอง</t>
  </si>
  <si>
    <t>07003550088003213166</t>
  </si>
  <si>
    <t>บริหารการส่งน้ำ โครงการชลประทานน่าน พื้นที่ชลประทาน 81,184 ไร่ ตำบลไชยสถาน อำเภอเมืองน่าน จังหวัดน่าน</t>
  </si>
  <si>
    <t>07003550088003213167</t>
  </si>
  <si>
    <t>บำรุงรักษาทางลำเลียงใหญ่ โครงการชลประทานน่าน ความยาว 7.300 กิโลเมตร ตำบลไชยสถาน อำเภอเมืองน่าน จังหวัดน่าน</t>
  </si>
  <si>
    <t>07003550088003213168</t>
  </si>
  <si>
    <t>บำรุงรักษาหัวงาน พื้นที่ 450 ไร่ โครงการชลประทานน่าน ตำบลไชยสถาน อำเภอเมืองน่าน จังหวัดน่าน</t>
  </si>
  <si>
    <t>07003550088003213169</t>
  </si>
  <si>
    <t>ขุดลอกฝายบ้านคะแนง ตำบลแม่ลาว อำเภอเชียงคำ จังหวัดพะเยา</t>
  </si>
  <si>
    <t>ขุดลอกหน้าฝายทุ่งเจี๊ยบ ปริมาณดินขุด 10,000 ลบ.ม. พร้อมอาคารประกอบ ตำบลแม่กา อำเภอเมืองพะเยา จังหวัดพะเยา</t>
  </si>
  <si>
    <t>07003550088003214069</t>
  </si>
  <si>
    <t>ขุดลอกหน้าฝายวังดินขาว ปริมาณดินขุด 10,200 ลบ.ม. พร้อมอาคารประกอบ ตำบลแม่กา อำเภอเมืองพะเยา จังหวัดพะเยา</t>
  </si>
  <si>
    <t>07003550088003214070</t>
  </si>
  <si>
    <t>ขุดลอกหน้าฝายวังปุย ปริมาณดินขุด 11,000 ลบ.ม. พร้อมอาคารประกอบ ตำบลแม่กา อำเภอเมืองพะเยา จังหวัดพะเยา</t>
  </si>
  <si>
    <t>07003550088003214071</t>
  </si>
  <si>
    <t>ซ่อมแซมคลองส่งน้ำ ฝายปัว อ่างเก็บน้ำน้ำเปื๋อย ระยะทาง 900 เมตร ตำบลภูซาง อำเภอภูซาง จังหวัดพะเยา</t>
  </si>
  <si>
    <t>07003550088003214072</t>
  </si>
  <si>
    <t>ซ่อมแซมคลองส่งน้ำ อ่างเก็บน้ำห้วยซ้าย ระยะทาง 650 เมตร ตำบลทุ่งกล้วย อำเภอภูซาง จังหวัดพะเยา</t>
  </si>
  <si>
    <t>ทุ่งกล้วย</t>
  </si>
  <si>
    <t>07003550088003214073</t>
  </si>
  <si>
    <t>ซ่อมแซมคลองส่งน้ำ อ่างเก็บน้ำหัวนา ระยะทาง 950 เมตร ตำบลทุ่งกล้วย อำเภอภูซาง จังหวัดพะเยา</t>
  </si>
  <si>
    <t>07003550088003214074</t>
  </si>
  <si>
    <t>ซ่อมแซมคลองส่งน้ำฝั่งซ้าย ฝายบ้านคะแนง ตำบลแม่ลาว อำเภอเชียงคำ จังหวัดพะเยา</t>
  </si>
  <si>
    <t>07003550088003214075</t>
  </si>
  <si>
    <t>ซ่อมแซมคลองส่งน้ำฝายทุ่งอีแจ้ อ่างเก็บน้ำหัวนา ระยะทาง 450 เมตร ตำบลภูซาง อำเภอภูซาง จังหวัดพะเยา</t>
  </si>
  <si>
    <t>07003550088003214076</t>
  </si>
  <si>
    <t>ซ่อมแซมคลองส่งน้ำสาย RMC อ่างเก็บน้ำแม่ปืม ระยะทาง 0.500 กิโลเมตร ตำบลบ้านเหล่า อำเภอแม่ใจ จังหวัดพะเยา</t>
  </si>
  <si>
    <t>07003550088003214077</t>
  </si>
  <si>
    <t>ซ่อมแซมคลองส่งน้ำสาย RMC-แม่สุก อ่างเก็บน้ำแม่ปืม กม.7+000 ถึง 8+000 ตำบลบ้านเหล่า อำเภอแม่ใจ จังหวัดพะเยา</t>
  </si>
  <si>
    <t>07003550088003214078</t>
  </si>
  <si>
    <t>ซ่อมแซมคลองส่งน้ำสายบ้านใหม่ม่วงชุม อ่างเก็บน้ำหัวนา ระยะทาง 750 เมตร ตำบลทุ่งกล้วย อำเภอภูซาง จังหวัดพะเยา</t>
  </si>
  <si>
    <t>07003550088003214079</t>
  </si>
  <si>
    <t>ซ่อมแซมคอนกรีตดาดคลอง FTO 64L - RMC ช่วง กม.0+000 ถึง กม.1+190 โครงการส่งน้ำและบำรุงรักษาแม่ลาว ตำบลศรีถ้อย อำเภอแม่ใจ จังหวัดพะเยา</t>
  </si>
  <si>
    <t>ศรีถ้อย</t>
  </si>
  <si>
    <t>ซ่อมแซมคอนกรีตดาดคลอง FTO 65L - RMC ช่วง กม.0+000 ถึง กม.0+700 โครงการส่งน้ำและบำรุงรักษาแม่ลาว ตำบลศรีถ้อย อำเภอแม่ใจ จังหวัดพะเยา</t>
  </si>
  <si>
    <t>07003550088003214081</t>
  </si>
  <si>
    <t>ซ่อมแซมคอนกรีตดาดคลอง FTO 66L - RMC ช่วง กม.0+500 ถึง กม.1+720 โครงการส่งน้ำและบำรุงรักษาแม่ลาว ตำบลศรีถ้อย อำเภอแม่ใจ จังหวัดพะเยา</t>
  </si>
  <si>
    <t>07003550088003214082</t>
  </si>
  <si>
    <t>ซ่อมแซมคอนกรีตดาดคลอง RMC ช่วง กม.46+100 ถึง กม.49+100 โครงการส่งน้ำและบำรุงรักษาแม่ลาว ตำบลศรีถ้อย อำเภอแม่ใจ จังหวัดพะเยา</t>
  </si>
  <si>
    <t>07003550088003214083</t>
  </si>
  <si>
    <t>ซ่อมแซมคอนกรีตดาดคลองส่งน้ำสาย LMC แยกบ้านจุนรัชดา อ่างเก็บน้ำน้ำจุน ระยะทาง 0.900 กิโลเมตร ตำบลจุน อำเภอจุน จังหวัดพะเยา</t>
  </si>
  <si>
    <t>07003550088003214084</t>
  </si>
  <si>
    <t>ซ่อมแซมคอนกรีตดาดคลองส่งน้ำสาย LMC แยกฝั่งหมิ่น อ่างเก็บน้ำน้ำจุน ระยะทาง 0.900 กิโลเมตร ตำบลจุน อำเภอจุน จังหวัดพะเยา</t>
  </si>
  <si>
    <t>07003550088003214085</t>
  </si>
  <si>
    <t>ซ่อมแซมคอนกรีตดาดคลองส่งน้ำสาย LMC แยกหนองหมู2 อ่างเก็บน้ำน้ำจุน ระยะทาง 0.900 กิโลเมตร ตำบลจุน อำเภอจุน จังหวัดพะเยา</t>
  </si>
  <si>
    <t>07003550088003214086</t>
  </si>
  <si>
    <t>ซ่อมแซมคอนกรีตดาดคลองส่งน้ำสาย LMC แยกห้วยข่อย อ่างเก็บน้ำน้ำจุน ระยะทาง 0.500 กิโลเมตร ตำบลจุน อำเภอจุน จังหวัดพะเยา</t>
  </si>
  <si>
    <t>07003550088003214087</t>
  </si>
  <si>
    <t>ซ่อมแซมคอนกรีตดาดคลองส่งน้ำสาย LMC อ่างเก็บน้ำน้ำจุน ระยะทาง 0.50 กิโลเมตร ตำบลจุน อำเภอจุน จังหวัดพะเยา</t>
  </si>
  <si>
    <t>07003550088003214088</t>
  </si>
  <si>
    <t>ซ่อมแซมถนนหัวงานอ่างเก็บน้ำแม่ปืม ระยะทาง 0.200 กิโลเมตร ตำบลบ้านเหล่า อำเภอแม่ใจ จังหวัดพะเยา</t>
  </si>
  <si>
    <t>07003550088003214089</t>
  </si>
  <si>
    <t>ซ่อมแซมท่อลอดคลองส่งน้ำ สาย 1R-RMC กม.4+120 อ่างเก็บน้ำแม่ต๋ำ โครงการชลประทานพะเยา ตำบลจำป่าหวาย อำเภอเมืองพะเยา จังหวัดพะเยา</t>
  </si>
  <si>
    <t>07003550088003214090</t>
  </si>
  <si>
    <t>ซ่อมแซมท่อลอดถนนทางเข้าหัวงานอ่างเก็บน้ำแม่ใจ ตำบลเจริญราษฎร์ อำเภอแม่ใจ จังหวัดพะเยา</t>
  </si>
  <si>
    <t>07003550088003214091</t>
  </si>
  <si>
    <t>ซ่อมแซมท่อส่งน้ำ อ่างเก็บน้ำน้ำเปื๋อย ตำบลภูซาง อำเภอภูซาง จังหวัดพะเยา</t>
  </si>
  <si>
    <t>07003550088003214092</t>
  </si>
  <si>
    <t>ซ่อมแซมท่อส่งน้ำ อ่างเก็บน้ำห้วยผาลาด ระยะทาง 1,000 เมตร ตำบลภูซาง อำเภอภูซาง จังหวัดพะเยา</t>
  </si>
  <si>
    <t>07003550088003214093</t>
  </si>
  <si>
    <t>ซ่อมแซมท่อส่งน้ำเข้านา กม.3+730 ฝายทุ่งเจี๊ยบ โครงการชลประทานพะเยา ตำบลแม่กา อำเภอเมืองพะเยา จังหวัดพะเยา</t>
  </si>
  <si>
    <t>07003550088003214094</t>
  </si>
  <si>
    <t>ซ่อมแซมทำนบดินอ่างเก็บน้ำห้วยม่วง-ห้วยแฮ่ ตำบลบ้านตุ่น อำเภอเมืองพะเยา จังหวัดพะเยา</t>
  </si>
  <si>
    <t>07003550088003214095</t>
  </si>
  <si>
    <t>ซ่อมแซมบำรุงรักษา โครงการชลประทาน ในเขตโครงการชลประทานพะเยา ตำบลดอกคำใต้ อำเภอดอกคำใต้ จังหวัดพะเยา</t>
  </si>
  <si>
    <t>ซ่อมแซมบำรุงรักษาระบบชลประทาน ตามข้อเสนอของเกษตรกรผู้ใช้น้ำชลประทาน โครงการชลประทานพะเยา ตำบลดอกคำใต้ อำเภอดอกคำใต้ จังหวัดพะเยา</t>
  </si>
  <si>
    <t>ซ่อมแซมระบบประปาห้วยโป่งผา ตำบลภูซาง อำเภอภูซาง จังหวัดพะเยา</t>
  </si>
  <si>
    <t>07003550088003214098</t>
  </si>
  <si>
    <t>ซ่อมแซมระบบส่งน้ำ สาย 1R-RMC อ่างเก็บน้ำแม่ต๋ำ โครงการชลประทานพะเยา ตำบลจำป่าหวาย อำเภอเมืองพะเยา จังหวัดพะเยา</t>
  </si>
  <si>
    <t>07003550088003214099</t>
  </si>
  <si>
    <t>ซ่อมแซมระบบส่งน้ำ สาย 4R-RMC อ่างเก็บน้ำแม่ต๋ำ โครงการชลประทานพะเยา ตำบลจำป่าหวาย อำเภอเมืองพะเยา จังหวัดพะเยา</t>
  </si>
  <si>
    <t>07003550088003214100</t>
  </si>
  <si>
    <t>ซ่อมแซมรางระบายน้ำท้ายอ่างเก็บน้ำแม่ปืม ระยะทาง 0.850 กิโลเมตร ตำบลบ้านเหล่า อำเภอแม่ใจ จังหวัดพะเยา</t>
  </si>
  <si>
    <t>07003550088003214101</t>
  </si>
  <si>
    <t>ซ่อมแซมรางระบายอ่างเก็บน้ำแม่ปืม ระยะทาง 0.450 กิโลเมตร ตำบลบ้านเหล่า อำเภอแม่ใจ จังหวัดพะเยา</t>
  </si>
  <si>
    <t>07003550088003214102</t>
  </si>
  <si>
    <t>ซ่อมแซมอาคารบังคับน้ำปลายคลอง จุดสิ้นสุดคลองส่งน้ำ กม.4+450 ฝายทุ่งเจี๊ยบ โครงการชลประทานพะเยา ตำบลแม่กา อำเภอเมืองพะเยา จังหวัดพะเยา</t>
  </si>
  <si>
    <t>07003550088003214103</t>
  </si>
  <si>
    <t>ซ่อมแซมอาคารรับน้ำเข้าคลอง สาย 1R-RMC กม.6+460 อ่างเก็บน้ำแม่ต๋ำ โครงการชลประทานพะเยา ตำบลจำป่าหวาย อำเภอเมืองพะเยา จังหวัดพะเยา</t>
  </si>
  <si>
    <t>07003550088003214104</t>
  </si>
  <si>
    <t>ซ่อมแซมอุปกรณ์บังคับน้ำปากเหมือง ฝายลุ่มน้ำอิง ตำบลป่าซาง อำเภอดอกคำใต้ จังหวัดพะเยา</t>
  </si>
  <si>
    <t>07003550088003214105</t>
  </si>
  <si>
    <t>บริหารการส่งน้ำ โครงการชลประทานพะเยา พื้นที่ชลประทาน 246,888 ไร่ ตำบลดอกคำใต้ อำเภอดอกคำใต้ จังหวัดพะเยา</t>
  </si>
  <si>
    <t>07003550088003214106</t>
  </si>
  <si>
    <t>บำรุงรักษาหัวงานและคลองส่งน้ำโครงการชลประทานพะเยา พื้นที่ 1,431 ไร่ โครงการชลประทานพะเยา ตำบลดอกคำใต้ อำเภอดอกคำใต้ จังหวัดพะเยา</t>
  </si>
  <si>
    <t>07003550088003214107</t>
  </si>
  <si>
    <t>กำจัดวัชพืช โครงการส่งน้ำและบำรุงรักษาแม่วัง ตำบลบ้านแลง อำเภอเมืองลำปาง จังหวัดลำปาง</t>
  </si>
  <si>
    <t>บ้านแลง</t>
  </si>
  <si>
    <t>07003550088003215526</t>
  </si>
  <si>
    <t>กำจัดวัชพืชภายในอ่างเก็บน้ำเขื่อนกิ่วลม (โดยเครื่องจักร) โครงการส่งน้ำและบำรุงรักษากิ่วลม-กิ่วคอหมา ตำบลบ้านแลง อำเภอเมืองลำปาง จังหวัดลำปาง</t>
  </si>
  <si>
    <t>07003550088003215527</t>
  </si>
  <si>
    <t>ขุดลอกด้านหน้าฝายลูกที่ 6 ห้วยแม่ปูน โครงการส่งน้ำและบำรุงรักษาแม่วัง ตำบลศาลา อำเภอเกาะคา จังหวัดลำปาง</t>
  </si>
  <si>
    <t>ศาลา</t>
  </si>
  <si>
    <t>07003550088003215528</t>
  </si>
  <si>
    <t>ขุดลอกตะกอน RMC กิ่วลม กม.52+416 - กม.57+000 โครงการส่งน้ำและบำรุงรักษากิ่วลม - กิ่วคอหมา ตำบลห้างฉัตร อำเภอห้างฉัตร จังหวัดลำปาง</t>
  </si>
  <si>
    <t>07003550088003215529</t>
  </si>
  <si>
    <t>ขุดลอกตะกอนคลอง RMC กิ่วลม กม.63+000 กม.67+000 โครงการส่งน้ำและบำรุงรักษากิ่วลม - กิ่วคอหมา ตำบลลำปางหลวง อำเภอเกาะคา จังหวัดลำปาง</t>
  </si>
  <si>
    <t>ลำปางหลวง</t>
  </si>
  <si>
    <t>07003550088003215530</t>
  </si>
  <si>
    <t>ขุดลอกตะกอนดินอ่างเก็บน้ำจ้างเหมา อ่างเก็บน้ำห้วยเกี๋ยง อันเนื่องมาจากพระราชดำริ ปริมาณ 17,000 ลูกบาศก์เมตร ตำบลทุ่งกว๋าว อำเภอเมืองปาน จังหวัดลำปาง</t>
  </si>
  <si>
    <t>ทุ่งกว๋าว</t>
  </si>
  <si>
    <t>เมืองปาน</t>
  </si>
  <si>
    <t>ค่าซ่อมแซมและบำรุงรักษาโครงการชลประทาน โครงการชลประทานลำปาง ตำบลบ่อแฮ้ว อำเภอเมืองลำปาง จังหวัดลำปาง</t>
  </si>
  <si>
    <t>07003550088003215532</t>
  </si>
  <si>
    <t>ซ่อมแซมคลอง RMC. กิ่วลม กม.24+320 – กม.25+800 โครงการส่งน้ำและบำรุงรักษากิ่วลม-กิ่วคอหมา ตำบลต้นธงชัย อำเภอเมืองลำปาง จังหวัดลำปาง</t>
  </si>
  <si>
    <t>07003550088003215533</t>
  </si>
  <si>
    <t>ซ่อมแซมคลอง RMC.กิ่วคอหมา กม.8+460 - 10+500 โครงการส่งน้ำและบำรุงรักษากิ่วลม-กิ่วคอหมา ตำบลแจ้ห่ม อำเภอแจ้ห่ม จังหวัดลำปาง</t>
  </si>
  <si>
    <t>07003550088003215534</t>
  </si>
  <si>
    <t>ซ่อมแซมคลองซอย 23.0L– RMC.กิ่วลม โครงการส่งน้ำและบำรุงรักษากิ่วลม-กิ่วคอหมา ตำบลนิคมพัฒนา อำเภอเมืองลำปาง จังหวัดลำปาง</t>
  </si>
  <si>
    <t>07003550088003215535</t>
  </si>
  <si>
    <t>ซ่อมแซมคลองซอย 29.9L – RMC.กิ่วลม โครงการส่งน้ำและบำรุงรักษากิ่วลม-กิ่วคอหมา ตำบลต้นธงชัย อำเภอเมืองลำปาง จังหวัดลำปาง</t>
  </si>
  <si>
    <t>07003550088003215536</t>
  </si>
  <si>
    <t>ซ่อมแซมคลองซอย 35.7L – RMC.กิ่วลม โครงการส่งน้ำและบำรุงรักษากิ่วลม-กิ่วคอหมา ตำบลบ้านเป้า อำเภอเมืองลำปาง จังหวัดลำปาง</t>
  </si>
  <si>
    <t>07003550088003215537</t>
  </si>
  <si>
    <t>ซ่อมแซมคลองส่งน้ำ LMC (เหมืองดอย) อ่างเก็บน้ำแม่วะ ความยาว 1.150 กิโลเมตร ตำบลบ้านบอม อำเภอแม่ทะ จังหวัดลำปาง</t>
  </si>
  <si>
    <t>บ้านบอม</t>
  </si>
  <si>
    <t>แม่ทะ</t>
  </si>
  <si>
    <t>07003550088003215538</t>
  </si>
  <si>
    <t>ซ่อมแซมคลองส่งน้ำ LMC อ่างเก็บน้ำห้วยไร่ ความยาว 270 เมตร โครงการชลประทานลำปาง ตำบลหัวเสือ อำเภอแม่ทะ จังหวัดลำปาง</t>
  </si>
  <si>
    <t>หัวเสือ</t>
  </si>
  <si>
    <t>07003550088003215539</t>
  </si>
  <si>
    <t>ซ่อมแซมคลองส่งน้ำฝั่งขวา ความยาว 500 เมตร อ่างเก็บน้ำแม่แวน อันเนื่องมาจากพระราชดำริ โครงการชลประทานลำปาง ตำบลแจ้ซ้อน อำเภอเมืองปาน จังหวัดลำปาง</t>
  </si>
  <si>
    <t>แจ้ซ้อน</t>
  </si>
  <si>
    <t>07003550088003215540</t>
  </si>
  <si>
    <t>ซ่อมแซมคลองส่งน้ำฝั่งซ้าย (เหมืองยาว) ฝายแม่มอน อันเนื่องมาจากพระราชดำริ ความยาว 400 เมตร โครงการชลประทานลำปาง ตำบลวิเชตนคร อำเภอแจ้ห่ม จังหวัดลำปาง</t>
  </si>
  <si>
    <t>07003550088003215541</t>
  </si>
  <si>
    <t>ซ่อมแซมคลองส่งน้ำสายใหญ่แม่วังฝั่งซ้าย กม.36+362 – 36+562 จำนวน 2,080 ตารางเมตร โครงการส่งน้ำและบำรุงรักษาแม่วัง ตำบลชมพู อำเภอเมืองลำปาง จังหวัดลำปาง</t>
  </si>
  <si>
    <t>07003550088003215542</t>
  </si>
  <si>
    <t>ซ่อมแซมคอนกรีตดาดคลอง 1R - RMC กิ่วลม กม.0+000 - กม.5+013 โครงการส่งน้ำและบำรุงรักษากิ่วลม-กิ่วคอหมา ตำบลปงยางคก อำเภอห้างฉัตร จังหวัดลำปาง</t>
  </si>
  <si>
    <t>ปงยางคก</t>
  </si>
  <si>
    <t>07003550088003215543</t>
  </si>
  <si>
    <t>ซ่อมแซมคอนกรีตดาดคลอง RMC.กิ่วลม กม.50+336 - กม.52+118 โครงการส่งน้ำและบำรุงรักษากิ่วลม - กิ่วคอหมา ตำบลหนองหล่ม อำเภอห้างฉัตร จังหวัดลำปาง</t>
  </si>
  <si>
    <t>หนองหล่ม</t>
  </si>
  <si>
    <t>07003550088003215544</t>
  </si>
  <si>
    <t>ซ่อมแซมคอนกรีตดาดคลองซอย 10ก ความยาว 830 เมตร คลองส่งน้ำสายใหญ่แม่วังฝั่งขวา โครงการส่งน้ำและบำรุงรักษาแม่วัง ตำบลบ่อแฮ้ว อำเภอเมืองลำปาง จังหวัดลำปาง</t>
  </si>
  <si>
    <t>07003550088003215545</t>
  </si>
  <si>
    <t>ซ่อมแซมคอนกรีตดาดคลองซอย 1ก LMC.แม่วัง จำนวน 1,125 ตารางเมตร โครงการส่งน้ำและบำรุงรักษาแม่วัง ตำบลบ้านเสด็จ อำเภอเมืองลำปาง จังหวัดลำปาง</t>
  </si>
  <si>
    <t>07003550088003215546</t>
  </si>
  <si>
    <t>ซ่อมแซมคอนกรีตดาดคลองซอย 2 LMC.แม่วัง จำนวน 973 ตารางเมตร โครงการส่งน้ำและบำรุงรักษาแม่วัง ตำบลบ้านเสด็จ อำเภอเมืองลำปาง จังหวัดลำปาง</t>
  </si>
  <si>
    <t>07003550088003215547</t>
  </si>
  <si>
    <t>ซ่อมแซมคอนกรีตดาดคลองซอย 2ก ความยาว 620 เมตร คลองส่งน้ำสายใหญ่แม่วังฝั่งขวา โครงการส่งน้ำและบำรุงรักษาแม่วัง ตำบลบุญนาคพัฒนา อำเภอเมืองลำปาง จังหวัดลำปาง</t>
  </si>
  <si>
    <t>07003550088003215548</t>
  </si>
  <si>
    <t>ซ่อมแซมคอนกรีตดาดคลองซอย 3 แยกซ้าย ความยาว 400 เมตร คลองส่งน้ำสายใหญ่แม่วังฝั่งขวา โครงการส่งน้ำและบำรุงรักษาแม่วัง ตำบลทุ่งฝาย อำเภอเมืองลำปาง จังหวัดลำปาง</t>
  </si>
  <si>
    <t>ทุ่งฝาย</t>
  </si>
  <si>
    <t>07003550088003215549</t>
  </si>
  <si>
    <t>ซ่อมแซมคอนกรีตดาดคลองซอย 4 LMC.แม่วัง จำนวน 1,748 ตารางเมตร โครงการส่งน้ำและบำรุงรักษาแม่วัง ตำบลพิชัย อำเภอเมืองลำปาง จังหวัดลำปาง</t>
  </si>
  <si>
    <t>07003550088003215550</t>
  </si>
  <si>
    <t>ซ่อมแซมคอนกรีตดาดคลองซอย 5 LMC.แม่วัง จำนวน 1,920 ตารางเมตร โครงการส่งน้ำและบำรุงรักษาแม่วัง ตำบลพิชัย อำเภอเมืองลำปาง จังหวัดลำปาง</t>
  </si>
  <si>
    <t>07003550088003215551</t>
  </si>
  <si>
    <t>ซ่อมแซมคอนกรีตดาดคลองซอย 5 ความยาว 700 เมตร คลองส่งน้ำสายใหญ่แม่วังฝั่งขวา โครงการส่งน้ำและบำรุงรักษาแม่วัง ตำบลทุ่งฝาย อำเภอเมืองลำปาง จังหวัดลำปาง</t>
  </si>
  <si>
    <t>07003550088003215552</t>
  </si>
  <si>
    <t>ซ่อมแซมคอนกรีตดาดคลองซอย 9 LMC.แม่วัง จำนวน 2,182 ตารางเมตร โครงการส่งน้ำและบำรุงรักษาแม่วัง ตำบลพระบาท อำเภอเมืองลำปาง จังหวัดลำปาง</t>
  </si>
  <si>
    <t>07003550088003215553</t>
  </si>
  <si>
    <t>ซ่อมแซมคอนกรีตดาดคลองซอย 9+106 L, คลองแยกซอย 1R- 9+106 L- RMC.กิ่วลม โครงการส่งน้ำและบำรุงรักษากิ่วลม-กิ่วคอหมา ตำบลบุญนาคพัฒนา อำเภอเมืองลำปาง จังหวัดลำปาง</t>
  </si>
  <si>
    <t>07003550088003215554</t>
  </si>
  <si>
    <t>ซ่อมแซมคอนกรีตดาดคลองซอย 9แยกซ้าย ความยาว 750 เมตร คลองส่งน้ำสายใหญ่แม่วังฝั่งขวา โครงการส่งน้ำและบำรุงรักษาแม่วัง ตำบลบ่อแฮ้ว อำเภอเมืองลำปาง จังหวัดลำปาง</t>
  </si>
  <si>
    <t>07003550088003215555</t>
  </si>
  <si>
    <t>ซ่อมแซมคอนกรีตดาดคลองส่งน้ำ 1L ฝายลูกที่ 14 ห้วยแม่ปุง โครงการส่งน้ำและบำรุงรักษาแม่วัง ตำบลวังพร้าว อำเภอเกาะคา จังหวัดลำปาง</t>
  </si>
  <si>
    <t>07003550088003215556</t>
  </si>
  <si>
    <t>ซ่อมแซมคอนกรีตดาดคลองส่งน้ำ 1L ฝายลูกที่ 7 ห้วยแม่ปุง โครงการส่งน้ำและบำรุงรักษาแม่วัง ตำบลน้ำโจ้ อำเภอแม่ทะ จังหวัดลำปาง</t>
  </si>
  <si>
    <t>น้ำโจ้</t>
  </si>
  <si>
    <t>07003550088003215557</t>
  </si>
  <si>
    <t>ซ่อมแซมคอนกรีตดาดคลองส่งน้ำ 1L-1R ฝายลูกที่ 6 ห้วยแม่ปุง ระยะที่ 2 โครงการส่งน้ำและบำรุงรักษาแม่วัง ตำบลน้ำโจ้ อำเภอแม่ทะ จังหวัดลำปาง</t>
  </si>
  <si>
    <t>07003550088003215558</t>
  </si>
  <si>
    <t>ซ่อมแซมคอนกรีตดาดคลองส่งน้ำ 1R ฝายลูกที่ 6 ห้วยแม่ปุง กม.1+500 โครงการส่งน้ำและบำรุงรักษาแม่วัง ตำบลน้ำโจ้ อำเภอแม่ทะ จังหวัดลำปาง</t>
  </si>
  <si>
    <t>07003550088003215559</t>
  </si>
  <si>
    <t>ซ่อมแซมคอนกรีตดาดคลองส่งน้ำ 1R ฝายลูกที่ 8 ห้วยแม่ปุง กม.0+000 โครงการส่งน้ำและบำรุงรักษาแม่วัง ตำบลน้ำโจ้ อำเภอแม่ทะ จังหวัดลำปาง</t>
  </si>
  <si>
    <t>07003550088003215560</t>
  </si>
  <si>
    <t>ซ่อมแซมคอนกรีตดาดคลองส่งน้ำ 1R-1L-1R ฝายลูกที่ 6 ห้วยแม่ปุง โครงการส่งน้ำและบำรุงรักษาแม่วัง ตำบลน้ำโจ้ อำเภอแม่ทะ จังหวัดลำปาง</t>
  </si>
  <si>
    <t>07003550088003215561</t>
  </si>
  <si>
    <t>ซ่อมแซมคอนกรีตดาดคลองส่งน้ำ 2R-LMC แม่ปุง ระยะที่ 2 โครงการส่งน้ำและบำรุงรักษาแม่วัง ตำบลชมพู อำเภอเมืองลำปาง จังหวัดลำปาง</t>
  </si>
  <si>
    <t>07003550088003215562</t>
  </si>
  <si>
    <t>ซ่อมแซมคอนกรีตดาดคลองส่งน้ำ 3R คลองแม่ปุงแยกซ้าย โครงการส่งน้ำและบำรุงรักษาแม่วัง ตำบลกล้วยแพะ อำเภอเมืองลำปาง จังหวัดลำปาง</t>
  </si>
  <si>
    <t>กล้วยแพะ</t>
  </si>
  <si>
    <t>07003550088003215563</t>
  </si>
  <si>
    <t>ซ่อมแซมคอนกรีตดาดคลองส่งน้ำ 3R-LMC แม่ปุง กม.1+930 โครงการส่งน้ำและบำรุงรักษาแม่วัง ตำบลชมพู อำเภอเมืองลำปาง จังหวัดลำปาง</t>
  </si>
  <si>
    <t>07003550088003215564</t>
  </si>
  <si>
    <t>ซ่อมแซมคอนกรีตดาดคลองส่งน้ำ 4R-2R-LMC แม่ปุง โครงการส่งน้ำและบำรุงรักษาแม่วัง ตำบลชมพู อำเภอเมืองลำปาง จังหวัดลำปาง</t>
  </si>
  <si>
    <t>07003550088003215565</t>
  </si>
  <si>
    <t>ซ่อมแซมคอนกรีตดาดคลองส่งน้ำ 7R คลองแม่ปุงแยกซ้าย โครงการส่งน้ำและบำรุงรักษาแม่วัง ตำบลน้ำโจ้ อำเภอแม่ทะ จังหวัดลำปาง</t>
  </si>
  <si>
    <t>07003550088003215566</t>
  </si>
  <si>
    <t>ซ่อมแซมคอนกรีตดาดคลองส่งน้ำแยกขวา 1R-1R ฝายลูกที่ 8 ห้วยแม่ปุง โครงการส่งน้ำและบำรุงรักษาแม่วัง ตำบลน้ำโจ้ อำเภอแม่ทะ จังหวัดลำปาง</t>
  </si>
  <si>
    <t>07003550088003215567</t>
  </si>
  <si>
    <t>ซ่อมแซมคอนกรีตดาดคลองส่งน้ำแยกซ้าย 1L ฝายลูกที่ 7 ห้วยแม่ปุง โครงการส่งน้ำและบำรุงรักษาแม่วัง ตำบลน้ำโจ้ อำเภอแม่ทะ จังหวัดลำปาง</t>
  </si>
  <si>
    <t>07003550088003215568</t>
  </si>
  <si>
    <t>ซ่อมแซมคอนกรีตดาดคลองส่งน้ำแยกซ้าย 4R-LMC แม่ปุง กม.0+200 โครงการส่งน้ำและบำรุงรักษาแม่วัง ตำบลชมพู อำเภอเมืองลำปาง จังหวัดลำปาง</t>
  </si>
  <si>
    <t>07003550088003215569</t>
  </si>
  <si>
    <t>ซ่อมแซมคอนกรีตดาดคลองส่งน้ำสายใหญ่แม่วังฝั่งขวา กม.14+580 ความยาว 150 เมตร โครงการส่งน้ำและบำรุงรักษาแม่วัง ตำบลทุ่งฝาย อำเภอเมืองลำปาง จังหวัดลำปาง</t>
  </si>
  <si>
    <t>07003550088003215570</t>
  </si>
  <si>
    <t>ซ่อมแซมคอนกรีตดาดคลองส่งน้ำสายใหญ่แม่วังฝั่งขวา กม.33+200 ความยาว 60 เมตร โครงการส่งน้ำและบำรุงรักษาแม่วัง ตำบลบ่อแฮ้ว อำเภอเมืองลำปาง จังหวัดลำปาง</t>
  </si>
  <si>
    <t>07003550088003215571</t>
  </si>
  <si>
    <t>ซ่อมแซมคอนกรีตดาดคลองสายใหญ่แม่วังฝั่งซ้าย กม.21+871 และ กม.23+390 จำนวน 765 ตารางเมตร โครงการส่งน้ำและบำรุงรักษาแม่วัง ตำบลพิชัย อำเภอเมืองลำปาง จังหวัดลำปาง</t>
  </si>
  <si>
    <t>07003550088003215572</t>
  </si>
  <si>
    <t>ซ่อมแซมคอนกรีตดาดปลายคลองซอย 2ข ความยาว 300 เมตร คลองส่งน้ำสายใหญ่แม่วังฝั่งขวา โครงการส่งน้ำและบำรุงรักษาแม่วัง ตำบลบุญนาคพัฒนา อำเภอเมืองลำปาง จังหวัดลำปาง</t>
  </si>
  <si>
    <t>07003550088003215573</t>
  </si>
  <si>
    <t>ซ่อมแซมคันคลองส่งน้ำสายใหญ่แม่ปุง กม.7+080 - 8+005 โครงการส่งน้ำและบำรุงรักษาแม่วัง ตำบลชมพู อำเภอเมืองลำปาง จังหวัดลำปาง</t>
  </si>
  <si>
    <t>07003550088003215574</t>
  </si>
  <si>
    <t>ซ่อมแซมเครื่องกว้านบานระบาย อาคารระบายน้ำห้วยขอนห่ม โครงการส่งน้ำและบำรุงรักษาแม่วัง ตำบลบ้านเสด็จ อำเภอเมืองลำปาง จังหวัดลำปาง</t>
  </si>
  <si>
    <t>07003550088003215575</t>
  </si>
  <si>
    <t>ซ่อมแซมเครื่องกว้านบานระบายคลองซอย 10 LMC โครงการส่งน้ำและบำรุงรักษาแม่วัง ตำบลชมพู อำเภอเมืองลำปาง จังหวัดลำปาง</t>
  </si>
  <si>
    <t>07003550088003215576</t>
  </si>
  <si>
    <t>ซ่อมแซมเครื่องกว้านบานระบายฝ่ายส่งน้ำและบำรุงรักษาที่ 1 โครงการส่งน้ำและบำรุงรักษาแม่วัง ตำบลบ้านแลง อำเภอเมืองลำปาง จังหวัดลำปาง</t>
  </si>
  <si>
    <t>07003550088003215577</t>
  </si>
  <si>
    <t>ซ่อมแซมเครื่องกว้านบานระบายฝ่ายส่งน้ำและบำรุงรักษาที่ 2 โครงการส่งน้ำและบำรุงรักษาแม่วัง ตำบลพิชัย อำเภอเมืองลำปาง จังหวัดลำปาง</t>
  </si>
  <si>
    <t>07003550088003215578</t>
  </si>
  <si>
    <t>ซ่อมแซมเครื่องกว้านบานระบายฝ่ายส่งน้ำและบำรุงรักษาที่ 3 โครงการส่งน้ำและบำรุงรักษาแม่วัง ตำบลชมพู อำเภอเมืองลำปาง จังหวัดลำปาง</t>
  </si>
  <si>
    <t>07003550088003215579</t>
  </si>
  <si>
    <t>ซ่อมแซมดาดคอนกรีตคลองส่งน้ำอ่างเก็บน้ำแม่ต๋ำตอนล่าง (สายนาเดือน) ความยาว 500 เมตร โครงการชลประทานลำปาง ตำบลเสริมซ้าย อำเภอเสริมงาม จังหวัดลำปาง</t>
  </si>
  <si>
    <t>07003550088003215580</t>
  </si>
  <si>
    <t>ซ่อมแซมท่อรับน้ำป่า กม.10+880 และดาดคอนกรีตท้ายท่อ LMC.แม่วัง โครงการส่งน้ำและบำรุงรักษาแม่วัง ตำบลพิชัย อำเภอเมืองลำปาง จังหวัดลำปาง</t>
  </si>
  <si>
    <t>07003550088003215581</t>
  </si>
  <si>
    <t>ซ่อมแซมท่อลอดถนนคลองซอย 2 LMC.แม่วังกม.0+590 โครงการส่งน้ำและบำรุงรักษาแม่วัง ตำบลบ้านเสด็จ อำเภอเมืองลำปาง จังหวัดลำปาง</t>
  </si>
  <si>
    <t>07003550088003215582</t>
  </si>
  <si>
    <t>ซ่อมแซมท่อส่งน้ำ RMC อ่างเก็บน้ำแม่ทรายคำ ความยาว 1,000 เมตร โครงการชลประทานลำปาง ตำบลนิคมพัฒนา อำเภอเมืองลำปาง จังหวัดลำปาง</t>
  </si>
  <si>
    <t>07003550088003215583</t>
  </si>
  <si>
    <t>ซ่อมแซมท้ายทางระบายน้ำล้น อ่างเก็บน้ำแม่ทรายคำ ความยาว 0.060 กิโลเมตร ตำบลนิคมพัฒนา อำเภอเมืองลำปาง จังหวัดลำปาง</t>
  </si>
  <si>
    <t>07003550088003215584</t>
  </si>
  <si>
    <t>ซ่อมแซมบำรุงรักษาเครื่องกำเนิดไฟฟ้าพลังน้ำเขื่อนกิ่วลมและบานระบายเขื่อนกิ่วคอหมา โครงการส่งน้ำและบำรุงรักษากิ่วลม-กิ่วคอหมา จังหวัดลำปาง</t>
  </si>
  <si>
    <t>07003550088003215585</t>
  </si>
  <si>
    <t>ซ่อมแซมบำรุงรักษาระบบชลประทาน ตามข้อเสนอเกษตรกรผู้ใช้น้ำชลประทาน จำนวน 10 รายการ โครงการส่งน้ำและบำรุงรักษาแม่วัง ตำบลบ้านแลง อำเภอเมืองลำปาง จังหวัดลำปาง</t>
  </si>
  <si>
    <t>ซ่อมแซมบำรุงรักษาระบบชลประทาน ตามข้อเสนอของเกษตรกรผู้ใช้น้ำชลประทาน โครงการชลประทานลำปาง ตำบลบ่อแฮ้ว อำเภอเมืองลำปาง จังหวัดลำปาง</t>
  </si>
  <si>
    <t>07003550088003215587</t>
  </si>
  <si>
    <t>ซ่อมแซมบำรุงรักษาระบบชลประทาน ตามข้อเสนอของเกษตรกรผู้ใช้น้ำชลประทาน โครงการส่งน้ำและบำรุงรักษากิ่วลม-กิ่วคอหมา ตำบลบ้านแลง อำเภอเมืองลำปาง จังหวัดลำปาง</t>
  </si>
  <si>
    <t>ซ่อมแซมระบบส่งน้ำ RMC อ่างเก็บน้ำแม่อาบ ความยาว 250 เมตร โครงการชลประทานลำปาง ตำบลนาโป่ง อำเภอเถิน จังหวัดลำปาง</t>
  </si>
  <si>
    <t>นาโป่ง</t>
  </si>
  <si>
    <t>07003550088003215589</t>
  </si>
  <si>
    <t>ซ่อมแซมระบบส่งน้ำฝั่งซ้าย อ่างเก็บน้ำแม่ปอน โครงการอันเนื่องมาจากพระราชดำริ ความยาว 400 เมตร โครงการชลประทานลำปาง ตำบลแม่สัน อำเภอห้างฉัตร จังหวัดลำปาง</t>
  </si>
  <si>
    <t>07003550088003215590</t>
  </si>
  <si>
    <t>ซ่อมแซมระบบส่งน้ำอ่างเก็บน้ำแม่อาบ (ฝายหลวงปากกอง) ความยาว 800 เมตร โครงการชลประทานลำปาง ตำบลนาโป่ง อำเภอเถิน จังหวัดลำปาง</t>
  </si>
  <si>
    <t>07003550088003215591</t>
  </si>
  <si>
    <t>ซ่อมแซมระบบส่งน้ำอ่างเก็บน้ำแม่อาบ สายเด่นฮี ความยาว 1,000 เมตร โครงการชลประทานลำปาง ตำบลนาโป่ง อำเภอเถิน จังหวัดลำปาง</t>
  </si>
  <si>
    <t>07003550088003215592</t>
  </si>
  <si>
    <t>ซ่อมแซมรางคอนกรีตเสริมเหล็ก 1R-RMC.กิ่วลม กม.6+580 โครงการส่งน้ำและบำรุงรักษากิ่วลม-กิ่วคอหมา ตำบลใหม่พัฒนา อำเภอเกาะคา จังหวัดลำปาง</t>
  </si>
  <si>
    <t>ใหม่พัฒนา</t>
  </si>
  <si>
    <t>07003550088003215593</t>
  </si>
  <si>
    <t>ซ่อมแซมรางริน 4R RMC (อ่างเก็บน้ำแม่ทาน) ความยาว 500 เมตร โครงการชลประทานลำปาง ตำบลแม่กัวะ อำเภอสบปราบ จังหวัดลำปาง</t>
  </si>
  <si>
    <t>แม่กัวะ</t>
  </si>
  <si>
    <t>07003550088003215594</t>
  </si>
  <si>
    <t>ซ่อมแซมลาด Slope คันคลอง คลองส่งน้ำสายใหญ่แม่วังฝั่งขวา กม.9+850 ความยาว 200 เมตร โครงการส่งน้ำและบำรุงรักษาแม่วัง ตำบลทุ่งฝาย อำเภอเมืองลำปาง จังหวัดลำปาง</t>
  </si>
  <si>
    <t>07003550088003215595</t>
  </si>
  <si>
    <t>ซ่อมแซมสะพานน้ำ (รางรินตัวที่ 1) กม.0+683 คลองส่งน้ำสายใหญ่แม่วังฝั่งขวา โครงการส่งน้ำและบำรุงรักษาแม่วัง ตำบลบุญนาคพัฒนา อำเภอเมืองลำปาง จังหวัดลำปาง</t>
  </si>
  <si>
    <t>07003550088003215596</t>
  </si>
  <si>
    <t>ซ่อมแซมสะพานน้ำ กม.62+914-RMC.กิ่วลม โครงการส่งน้ำและบำรุงรักษากิ่วลม-กิ่วคอหมา ตำบลลำปางหลวง อำเภอเกาะคา จังหวัดลำปาง</t>
  </si>
  <si>
    <t>07003550088003215597</t>
  </si>
  <si>
    <t>ซ่อมแซมสะพานน้ำห้วยแม่ดิบ โครงการส่งน้ำและบำรุงรักษากิ่วลม-กิ่วคอหมา ตำบลหนองหล่ม อำเภอห้างฉัตร จังหวัดลำปาง</t>
  </si>
  <si>
    <t>07003550088003215598</t>
  </si>
  <si>
    <t>ซ่อมแซมสันทำนบอ่างเก็บน้ำห้วยส้ม (แม่ทะ) จำนวน 2,320 ตารางเมตร โครงการชลประทานลำปาง ตำบลแม่ทะ อำเภอแม่ทะ จังหวัดลำปาง</t>
  </si>
  <si>
    <t>07003550088003215599</t>
  </si>
  <si>
    <t>ซ่อมแซมหินเรียงพร้อมขุดลอกตะกอนฝายห้วยห้า อันเนื่องมาจากพระราชดำริ พื้นที่รับประโยชน์ 1,300 ไร่ โครงการชลประทานลำปาง ตำบลแม่พริก อำเภอแม่พริก จังหวัดลำปาง</t>
  </si>
  <si>
    <t>07003550088003215600</t>
  </si>
  <si>
    <t>ซ่อมแซมอาคารท้ายรางระบายน้ำ อ่างเก็บน้ำแม่แมะ (ปงดอน) อันเนื่องมาจากพระราชดำริ ความยาว 500 เมตร โครงการชลประทานลำปาง ตำบลปงดอน อำเภอแจ้ห่ม จังหวัดลำปาง</t>
  </si>
  <si>
    <t>7/3/205</t>
  </si>
  <si>
    <t>07003550088003215601</t>
  </si>
  <si>
    <t>ซ่อมแซมอาคารบังคับน้ำ (ประตูระบายน้ำ ) อ่างเก็บน้ำแม่ธิ อันเนื่องมาจากพระราชดำริ พื้นที่รับประโยชน์ 1,500 ไร่ ตำบลวังพร้าว อำเภอเกาะคา จังหวัดลำปาง</t>
  </si>
  <si>
    <t>07003550088003215602</t>
  </si>
  <si>
    <t>ซ่อมแซมอาคารรับน้ำป่า กม.18+261 และดาดคอนกรีตท้ายท่อ LMC.แม่วัง โครงการส่งน้ำและบำรุงรักษาแม่วัง ตำบลพิชัย อำเภอเมืองลำปาง จังหวัดลำปาง</t>
  </si>
  <si>
    <t>07003550088003215603</t>
  </si>
  <si>
    <t>ซ่อมแซมอาคารรับน้ำป่า กม.19+472 และดาดคอนกรีตท้ายท่อ LMC.แม่วัง โครงการส่งน้ำและบำรุงรักษาแม่วัง ตำบลพิชัย อำเภอเมืองลำปาง จังหวัดลำปาง</t>
  </si>
  <si>
    <t>07003550088003215604</t>
  </si>
  <si>
    <t>ซ่อมแซมอาคารรับน้ำป่า กม.7+906 และดาดคอนกรีตท้ายท่อ LMC.แม่วัง โครงการส่งน้ำและบำรุงรักษาแม่วัง ตำบลบ้านเสด็จ อำเภอเมืองลำปาง จังหวัดลำปาง</t>
  </si>
  <si>
    <t>07003550088003215605</t>
  </si>
  <si>
    <t>ซ่อมแซมอาคารรับน้ำป่า กม.8+570 และดาดคอนกรีตท้ายท่อ LMC.แม่วัง โครงการส่งน้ำและบำรุงรักษาแม่วัง ตำบลบ้านเสด็จ อำเภอเมืองลำปาง จังหวัดลำปาง</t>
  </si>
  <si>
    <t>07003550088003215606</t>
  </si>
  <si>
    <t>ซ่อมแซมอาคารอัดน้ำปลายคลองส่งน้ำสายใหญ่แม่วังฝั่งซ้าย กม.38+490 โครงการส่งน้ำและบำรุงรักษาแม่วัง ตำบลชมพู อำเภอเมืองลำปาง จังหวัดลำปาง</t>
  </si>
  <si>
    <t>07003550088003215607</t>
  </si>
  <si>
    <t>ซ่อมอาคารป้องกันตลิ่งแม่น้ำวังท้ายเขื่อนกิ่วลม โครงการส่งน้ำและบำรุงรักษากิ่วลม-กิ่วคอหมา ตำบลบ้านแลง อำเภอเมืองลำปาง จังหวัดลำปาง</t>
  </si>
  <si>
    <t>07003550088003215608</t>
  </si>
  <si>
    <t>บริหารการส่งน้ำ โครงการชลประทานลำปาง พื้นที่ชลประทาน 275,649 ไร่ ตำบลบ่อแฮ้ว อำเภอเมืองลำปาง จังหวัดลำปาง</t>
  </si>
  <si>
    <t>07003550088003215609</t>
  </si>
  <si>
    <t>บริหารการส่งน้ำ โครงการส่งน้ำและบำรุงรักษากิ่วลม-กิ่วคอหมา พื้นที่ชลประทาน 99,368 ไร่ ตำบลบ้านแลง อำเภอเมืองลำปาง จังหวัดลำปาง</t>
  </si>
  <si>
    <t>07003550088003215610</t>
  </si>
  <si>
    <t>บริหารการส่งน้ำ โครงการส่งน้ำและบำรุงรักษาแม่วัง ตำบลบ้านแลง อำเภอเมืองลำปาง จังหวัดลำปาง</t>
  </si>
  <si>
    <t>07003550088003215611</t>
  </si>
  <si>
    <t>บริหารจัดการน้ำ สำนักงานชลประทานที่ 2 ตำบลสวนดอก อำเภอเมืองลำปาง จังหวัดลำปาง</t>
  </si>
  <si>
    <t>07003550088003215612</t>
  </si>
  <si>
    <t>บำรุงรักษาทางลำเลียงใหญ่ โครงการส่งน้ำและบำรุงรักษาแม่วัง ระยะทาง 2.900 กิโลเมตร ตำบลบ้านเป้า อำเภอเมืองลำปาง จังหวัดลำปาง</t>
  </si>
  <si>
    <t>07003550088003215613</t>
  </si>
  <si>
    <t>บำรุงรักษาหัวงาน โครงการชลประทานลำปาง พื้นที่ชลประทาน 275,649 ไร่ ตำบลบ่อแฮ้ว อำเภอเมืองลำปาง จังหวัดลำปาง</t>
  </si>
  <si>
    <t>07003550088003215614</t>
  </si>
  <si>
    <t>บำรุงรักษาหัวงานและคลองส่งน้ำ โครงการส่งน้ำและบำรุงรักษาแม่วัง ตำบลบ้านแลง อำเภอเมืองลำปาง จังหวัดลำปาง</t>
  </si>
  <si>
    <t>07003550088003215616</t>
  </si>
  <si>
    <t>ซ่อมแซมท่อส่งน้ำเข้านา กม.4+090 ฝายทุ่งเจี๊ยบ โครงการชลประทานพะเยา ตำบลแม่กา อำเภอเมืองพะเยา จังหวัดพะเยา</t>
  </si>
  <si>
    <t>07003550088003217634</t>
  </si>
  <si>
    <t>จัดหาและติดตั้งเครื่องมือตรวจวัดพฤติกรรมเขื่อนพร้อมระบบรับส่งข้อมูลอัตโนมัติ อ่างเก็บน้ำห้วยแฮต ตำบลฝายแก้ว อำเภอภูเพียง จังหวัดน่าน</t>
  </si>
  <si>
    <t>07003550088003220158</t>
  </si>
  <si>
    <t>ขุดลอกอ่างเก็บน้ำดำเนินการเอง อ่างเก็บน้ำแม่ต๋ำ โครงการชลประทานพะเยา ปริมาณดินขุด 359,000 ลูกบาศก์เมตร ตามแผนหลักการพัฒนาและฟื้นฟูกว๊านพะเยา จังหวัดพะเยา</t>
  </si>
  <si>
    <t>07003550088003220177</t>
  </si>
  <si>
    <t>จัดหาและติดตั้งเครื่องมือตรวจวัดพฤติกรรมเขื่อนพร้อมระบบรับส่งข้อมูลอัตโนมัติ อ่างเก็บน้ำน้ำจุน อันเนื่องมาจากพระราชดำริ ตำบลจุน อำเภอจุน จังหวัดพะเยา</t>
  </si>
  <si>
    <t>07003550088003220178</t>
  </si>
  <si>
    <t>จัดหาและติดตั้งเครื่องมือตรวจวัดพฤติกรรมเขื่อนพร้อมระบบรับส่งข้อมูลอัตโนมัติ เขื่อนกิ่วลม ตำบลบ้านแลง อำเภอเมืองลำปาง จังหวัดลำปาง</t>
  </si>
  <si>
    <t>07003550088003220202</t>
  </si>
  <si>
    <t>ซ่อมแซมเครื่องกว้านบานระบายและระบบควบคุมการเปิดปิดอาคาร Service Spillway เขื่อนกิ่วลม โครงการส่งน้ำและบำรุงรักษากิ่วลม-กิ่วคอหมา ตำบลบ้านแลง อำเภอเมืองลำปาง จังหวัดลำปาง</t>
  </si>
  <si>
    <t>07003550088003220203</t>
  </si>
  <si>
    <t>บำรุงรักษาหัวงานและคลองส่งน้ำ โครงการส่งน้ำและบำรุงรักษากิ่วลม-กิ่วคอหมา ตำบลบ้านแลง อำเภอเมืองลำปาง จังหวัดลำปาง</t>
  </si>
  <si>
    <t>07003550088003220204</t>
  </si>
  <si>
    <t>สะพานคอนกรีตเสริมเหล็ก คลอง RMC กม.1+747 และ กม.2+243 ฝายน้ำปัว (ขนาดกลาง) จำนวน 2 แห่ง โครงการชลประทานน่าน ตำบลสถาน อำเภอปัว จังหวัดน่าน</t>
  </si>
  <si>
    <t>07003550088003213170</t>
  </si>
  <si>
    <t>ปรับปรุงสะพาน คสล. คลองส่งน้ำสายใหญ่แม่วังฝั่งซ้าย กม.8+927 โครงการส่งน้ำและบำรุงรักษาแม่วัง ตำบลบ้านเสด็จ อำเภอเมืองลำปาง จังหวัดลำปาง</t>
  </si>
  <si>
    <t>07003550088003215617</t>
  </si>
  <si>
    <t>ปรับปรุงสะพานคอนกรีตเสริมเหล็กคลอง RMC.กิ่วลม กม.21+036 โครงการส่งน้ำและบำรุงรักษากิ่วลม-กิ่วคอหมา ตำบลนิคมพัฒนา อำเภอเมืองลำปาง จังหวัดลำปาง</t>
  </si>
  <si>
    <t>07003550088003215618</t>
  </si>
  <si>
    <t>ปรับปรุงสะพานคอนกรีตเสริมเหล็กข้ามห้วยแม่ไพร โครงการส่งน้ำและบำรุงรักษากิ่วลม - กิ่วคอหมา ตำบลหนองหล่ม อำเภอห้างฉัตร จังหวัดลำปาง</t>
  </si>
  <si>
    <t>07003550088003220205</t>
  </si>
  <si>
    <t>ปรับปรุงผิวทางคลองสายใหญ่ฝั่งซ้าย LMC ระยะทาง 3.410 กิโลเมตร โครงการส่งน้ำและบำรุงรักษาแม่ลาว ตำบลดงมะดะ อำเภอแม่ลาว จังหวัดเชียงราย</t>
  </si>
  <si>
    <t>ปรับปรุงถนนเข้าหัวงาน อ่างเก็บน้ำห้วยน้ำฮิ ระยะทาง 3.46 กิโลเมตร (พรด.) โครงการชลประทานน่าน ตำบลปงสนุก อำเภอเวียงสา จังหวัดน่าน</t>
  </si>
  <si>
    <t>10/1/202</t>
  </si>
  <si>
    <t>ปรับปรุงคันคลอง RMC ระยะที่ 6 ระยะทาง 2.300 กิโลเมตร โครงการส่งน้ำและบำรุงรักษาแม่ลาว ตำบลป่าแฝก อำเภอแม่ใจ จังหวัดพะเยา</t>
  </si>
  <si>
    <t>07003550088003220013</t>
  </si>
  <si>
    <t>07003680005200000</t>
  </si>
  <si>
    <t>ปรับปรุงหัวงานและอาคารประกอบอ่างเก็บน้ำแม่ทะ (วังเฮือ)อันเนื่องมาจากพระราชการดำริ ระยะทาง 2.323 กิโลเมตร ตำบลพระบาท อำเภอเมืองลำปาง จังหวัดลำปาง</t>
  </si>
  <si>
    <t>07003550088003220023</t>
  </si>
  <si>
    <t>ค่าป้องกันและซ่อมแซมโครงการเนื่องจากอุทกภัย</t>
  </si>
  <si>
    <t>ซ่อมแซมฝายผาแลพร้อมระบบส่งน้ำ ตำบลปอ อำเภอเวียงแก่น จังหวัดเชียงราย</t>
  </si>
  <si>
    <t>เงินเปลี่ยนแปลง</t>
  </si>
  <si>
    <t>07003550088003220102</t>
  </si>
  <si>
    <t>ซ่อมแซมคลองผันน้ำแม่กรณ์-แม่กก กม. 1+400 ตำบลรอบเวียง อำเภอเมืองเชียงราย จังหวัดเชียงราย</t>
  </si>
  <si>
    <t>ซ่อมแซมคันกั้นน้ำแม่สายฝั่งซ้าย กม.6+000 โครงการพัฒนาการเกษตรแม่สาย ตำบลเกาะช้าง อำเภอแม่สาย จังหวัดเชียงราย</t>
  </si>
  <si>
    <t>ซ่อมแซมฝายบ้านทุ่งป่าคาพร้อมระบบส่งน้ำ ตำบลตับเต่า อำเภอเทิง จังหวัดเชียงราย</t>
  </si>
  <si>
    <t>ซ่อมแซมคันกั้นน้ำแม่ลาว ตำบลท่าสาย อำเภอเมืองเชียงราย จังหวัดเชียงราย</t>
  </si>
  <si>
    <t>ซ่อมแซมฝายทุ่งผึ้งพร้อมระบบส่งน้ำ ตำบลหงาว อำเภอเทิง จังหวัดเชียงราย</t>
  </si>
  <si>
    <t>ซ่อมแซมท้ายเขื่อนเชียงราย ตำบลรอบเวียง อำเภอเมืองเชียงราย จังหวัดเชียงราย</t>
  </si>
  <si>
    <t>ซ่อมแซมฝายบ้านต้นเขืองพร้อมระบบส่งน้ำ ตำบลตับเต่า อำเภอเทิง จังหวังเชียงราย</t>
  </si>
  <si>
    <t>ซ่อมแซมฝายน้ำงาว ตำบลปอ อำเภอเวียงแก่น จังหวัดเชียงราย</t>
  </si>
  <si>
    <t>ซ่อมแซมอ่างเก็บน้ำห้วยบ้านพร้อมระบบส่งน้ำ ตำบลตับเต่า อำเภอเทิง จังหวัดเชียงราย</t>
  </si>
  <si>
    <t>ซ่อมแซมระบบท่อส่งน้ำฝายบ้านสามกุลา จัดหาน้ำสนับสนุนโครงการหลวงแม่ปูนหลวง ตำบลเวียง อำเภอเวียงป่าเป้า จังหวัดเชียงราย</t>
  </si>
  <si>
    <t>ซ่อมแซมคอนกรีตดาดคลองส่งน้ำสาย 1L-RMC.1 โครงการพัฒนาการเกษตรแม่สาย กม. 0+000 ถึง 0+150  ตำบลแม่สาย อำเภอแม่สาย จังหวัดเชียงราย</t>
  </si>
  <si>
    <t>ซ่อมแซมคอนกรีตดาดคลองส่งน้ำสาย RMC.2 โครงการพัฒนาการเกษตรแม่สาย กม. 0+794 ถึง 0+926  ตำบลแม่สาย อำเภอแม่สาย จังหวัดเชียงราย</t>
  </si>
  <si>
    <t>แผนงาน : บูรณาการบริหารจัดการทรัพยากรน้ำ</t>
  </si>
  <si>
    <t>โครงการ : โครงการจัดหาแหล่งน้ำและเพื่มพื้นที่ชลประทาน</t>
  </si>
  <si>
    <t>ฝายห้วยแม่ส้านพร้อมระบบส่งน้ำ โครงการชลประทานเชียงราย ตำบลป่าหุ่ง อำเภอพาน จังหวัดเชียงราย</t>
  </si>
  <si>
    <t>07003540037003220164</t>
  </si>
  <si>
    <t>07003688305400000</t>
  </si>
  <si>
    <t>ฝายพร้อมระบบส่งน้ำห้วยเครือบ้า โครงการชลประทานเชียงราย ตำบลครึ่ง อำเภอเชียงของ จังหวัดเชียงราย</t>
  </si>
  <si>
    <t>07003540037003220165</t>
  </si>
  <si>
    <t>ระบบส่งน้ำฝายบ้านทุ่งทรายและบ้านทุ่งพัฒนา ระยะที่ 3 (ปชด) โครงการชลประทานเชียงราย ตำบลเวียง อำเภอเชียงของ จังหวัดเชียงราย</t>
  </si>
  <si>
    <t>07003540037003220166</t>
  </si>
  <si>
    <t>สถานีสูบน้ำด้วยไฟฟ้าพร้อมระบบส่งน้ำบ้านศรีชัยมงคล ตำบลศรีดอนชัย อำเภอเชียงของ จังหวัดเชียงราย</t>
  </si>
  <si>
    <t>07003540037003220167</t>
  </si>
  <si>
    <t>ฝายห้วยแอบพร้อมระบบส่งน้ำ ตำบลศรีษะเกษ อำเภอนาน้อย จังหวัดน่าน</t>
  </si>
  <si>
    <t>07003540037003220223</t>
  </si>
  <si>
    <t>ฝายห้วยฮ้อมพร้อมระบบส่งน้ำ ตำบลกองควาย อำเภอเมืองน่าน จังหวัดน่าน</t>
  </si>
  <si>
    <t>กองควาย</t>
  </si>
  <si>
    <t>07003540037003220224</t>
  </si>
  <si>
    <t>ฝายบ่อเป๊กพร้อมระบบส่งน้ำ ตำบลเรือง อำเภอเมืองน่าน จังหวัดน่าน</t>
  </si>
  <si>
    <t>07003540037003220225</t>
  </si>
  <si>
    <t>ระบบส่งน้ำฝายนาฮ้อม (ปชด.) ตำบลส้านนาหนองใหม่ อำเภอเวียงสา จังหวัดน่าน</t>
  </si>
  <si>
    <t>ฝายขำพร้อมระบบส่งน้ำ ตำบลงิม อำเภอปง จังหวัดพะเยา</t>
  </si>
  <si>
    <t>งิม</t>
  </si>
  <si>
    <t>07003540037003220246</t>
  </si>
  <si>
    <t>ฝายทุ่งเย็นพร้อมระบบส่งน้ำ พื้นที่รับประโยชน์ 1,300 ไร่ โครงการชลประทานพะเยา ตำบลแม่ลาว อำเภอเชียงคำ จังหวัดพะเยา</t>
  </si>
  <si>
    <t>07003540037003220247</t>
  </si>
  <si>
    <t>สถานีสูบน้ำด้วยไฟฟ้าพร้อมระบบส่งน้ำบ้านทุ่งมอกลูกที่ 3 พื้นที่ชลประทาน 1,000 ไร่ โครงการชลประทานพะเยา ตำบลบ้านมาง อำเภอเชียงม่วน จังหวัดพะเยา</t>
  </si>
  <si>
    <t>บ้านมาง</t>
  </si>
  <si>
    <t>เชียงม่วน</t>
  </si>
  <si>
    <t>07003540037003220248</t>
  </si>
  <si>
    <t>โครงการพัฒนาแก้มลิงเวียงหนองหล่มพร้อมอาคารประกอบ โครงการชลประทานเชียงราย ตำบลจันจว้า อำเภอแม่จัน จังหวัดเชียงราย</t>
  </si>
  <si>
    <t>จันจว้า</t>
  </si>
  <si>
    <t>07003540037003220399</t>
  </si>
  <si>
    <t>07003688305600000</t>
  </si>
  <si>
    <t>โครงการพัฒนากว๊านพะเยา ระยะที่ 4 โครงการชลประทานพะเยา ตำบลบ้านสาง อำเภอเมืองพะเยา จังหวัดพะเยา</t>
  </si>
  <si>
    <t>บ้านสาง</t>
  </si>
  <si>
    <t>07003540037003220407</t>
  </si>
  <si>
    <t>แก้มลิงบ้านสบต๋ำ พร้อมอาคารประกอบ ตำบลนาแก้ว อำเภอเกาะคา จังหวัดลำปาง</t>
  </si>
  <si>
    <t>นาแก้ว</t>
  </si>
  <si>
    <t>07003540037003220413</t>
  </si>
  <si>
    <t>โครงการ : โครงการป้องกันและบรรเทาภัยจากน้ำ</t>
  </si>
  <si>
    <t>ป้องกันตลิ่งฝายลูกที่ 6 ห้วยแม่ปุง ระยะที่ 1 โครงการส่งน้ำและบำรุงรักษาแม่วัง ตำบลน้ำโจ้ อำเภอแม่ทะ จังหวัดลำปาง</t>
  </si>
  <si>
    <t>07003540038003210027</t>
  </si>
  <si>
    <t>07003680071500000</t>
  </si>
  <si>
    <t>ป้องกันการกัดเซาะทางระบายน้ำ อ่างเก็บน้ำแม่พริก (ผาวิ่งชู้) อันเนื่องมาจากพระราชดำริ ความยาว 300 เมตร ตำบลแม่พริก อำเภอแม่พริก จังหวัดลำปาง</t>
  </si>
  <si>
    <t>07003540038003210028</t>
  </si>
  <si>
    <t>ป้องกันตลิ่งแม่น้ำวังท้ายกิ่วคอหมา บ้านม่วงพัฒนา ม.11 โครงการส่งน้ำและบำรุงรักษากิ่วลม-กิ่วคอหมา ตำบลแจ้ห่ม อำเภอแจ้ห่ม จังหวัดลำปาง</t>
  </si>
  <si>
    <t>ป้องกันตลิ่งแม่น้ำวัง ด้านท้ายเขื่อนกิ่วคอหมา บ้านแม่ตาหลวง กม.10+053 โครงการส่งน้ำและบำรุงรักษากิ่วลม-กิ่วคอหมา ตำบลปงดอน อำเภอแจ้ห่ม จังหวัดลำปาง</t>
  </si>
  <si>
    <t>07003540038003220112</t>
  </si>
  <si>
    <t>ป้องกันตลิ่งแม่น้ำวัง ด้านท้ายเขื่อนกิ่วคอหมา บ้านปงดอน โครงการส่งน้ำและบำรุงรักษากิ่วลม-กิ่วคอหมา ตำบลปงดอน อำเภอแจ้ห่ม จังหวัดลำปาง</t>
  </si>
  <si>
    <t>07003540038003220113</t>
  </si>
  <si>
    <t>ป้องกันตลิ่งแม่น้ำวัง ด้านท้ายเขื่อนกิ่วคอหมา บ้านวังสัก โครงการส่งน้ำและบำรุงรักษากิ่วลม-กิ่วคอหมา ตำบลแจ้ห่ม อำเภอแจ้ห่ม จังหวัดลำปาง</t>
  </si>
  <si>
    <t>07003540038003220114</t>
  </si>
  <si>
    <t>เพิ่มประสิทธิภาพการระบายน้ำช่องลัดลำห้วยแม่ต๋ำ พร้อมอาคารประกอบ ตำบลแม่ต๋ำ อำเภอเมืองพะเยา จังหวัดพะเยา</t>
  </si>
  <si>
    <t>แม่ต๋ำ</t>
  </si>
  <si>
    <t>07003540038003220179</t>
  </si>
  <si>
    <t/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</si>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</sst>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87" formatCode="_-* #,##0_-;\-* #,##0_-;_-* &quot;-&quot;??_-;_-@_-"/>
    <numFmt numFmtId="188" formatCode="_-* #,##0.0000_-;\-* #,##0.0000_-;_-* &quot;-&quot;??_-;_-@_-"/>
    <numFmt numFmtId="189" formatCode="[$-107041E]d\ mmm\ yy;@"/>
  </numFmts>
  <fonts count="20" x14ac:knownFonts="1"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b/>
      <sz val="28"/>
      <name val="TH SarabunPSK"/>
      <family val="2"/>
    </font>
    <font>
      <sz val="16"/>
      <name val="TH SarabunPSK"/>
      <family val="2"/>
    </font>
    <font>
      <sz val="18"/>
      <name val="TH SarabunPSK"/>
      <family val="2"/>
    </font>
    <font>
      <b/>
      <sz val="16"/>
      <name val="TH SarabunPSK"/>
      <family val="2"/>
    </font>
    <font>
      <b/>
      <sz val="22"/>
      <name val="TH SarabunPSK"/>
      <family val="2"/>
    </font>
    <font>
      <b/>
      <sz val="15"/>
      <name val="TH SarabunPSK"/>
      <family val="2"/>
    </font>
    <font>
      <b/>
      <sz val="14"/>
      <name val="TH SarabunPSK"/>
      <family val="2"/>
    </font>
    <font>
      <b/>
      <sz val="20"/>
      <name val="TH SarabunPSK"/>
      <family val="2"/>
    </font>
    <font>
      <b/>
      <sz val="16"/>
      <color rgb="FF0000FF"/>
      <name val="TH SarabunPSK"/>
      <family val="2"/>
    </font>
    <font>
      <b/>
      <sz val="16"/>
      <color rgb="FFFF0000"/>
      <name val="TH SarabunPSK"/>
      <family val="2"/>
    </font>
    <font>
      <sz val="16"/>
      <color rgb="FF0000FF"/>
      <name val="TH SarabunPSK"/>
      <family val="2"/>
    </font>
    <font>
      <sz val="16"/>
      <color rgb="FFFF0000"/>
      <name val="TH SarabunPSK"/>
      <family val="2"/>
    </font>
    <font>
      <sz val="14"/>
      <name val="TH SarabunPSK"/>
      <family val="2"/>
    </font>
    <font>
      <sz val="14"/>
      <color rgb="FFFF0000"/>
      <name val="TH SarabunPSK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1F6F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92">
    <xf numFmtId="0" fontId="0" fillId="0" borderId="0" xfId="0"/>
    <xf numFmtId="49" fontId="2" fillId="0" borderId="0" xfId="2" applyNumberFormat="1" applyFont="1" applyAlignment="1">
      <alignment horizontal="center"/>
    </xf>
    <xf numFmtId="187" fontId="3" fillId="0" borderId="0" xfId="1" applyNumberFormat="1" applyFont="1" applyAlignment="1">
      <alignment horizontal="right"/>
    </xf>
    <xf numFmtId="49" fontId="3" fillId="0" borderId="0" xfId="1" applyNumberFormat="1" applyFont="1" applyAlignment="1">
      <alignment horizontal="center"/>
    </xf>
    <xf numFmtId="3" fontId="3" fillId="0" borderId="0" xfId="1" applyNumberFormat="1" applyFont="1" applyAlignment="1">
      <alignment horizontal="center"/>
    </xf>
    <xf numFmtId="41" fontId="3" fillId="0" borderId="0" xfId="1" applyNumberFormat="1" applyFont="1" applyAlignment="1">
      <alignment horizontal="center"/>
    </xf>
    <xf numFmtId="187" fontId="3" fillId="0" borderId="0" xfId="1" applyNumberFormat="1" applyFont="1" applyAlignment="1">
      <alignment horizontal="center"/>
    </xf>
    <xf numFmtId="2" fontId="3" fillId="0" borderId="0" xfId="1" applyNumberFormat="1" applyFont="1" applyAlignment="1">
      <alignment horizontal="center"/>
    </xf>
    <xf numFmtId="43" fontId="3" fillId="0" borderId="0" xfId="1" applyFont="1" applyAlignment="1">
      <alignment horizontal="center"/>
    </xf>
    <xf numFmtId="188" fontId="3" fillId="0" borderId="0" xfId="1" applyNumberFormat="1" applyFont="1" applyAlignment="1">
      <alignment horizontal="center"/>
    </xf>
    <xf numFmtId="0" fontId="3" fillId="0" borderId="0" xfId="2" applyFont="1" applyAlignment="1">
      <alignment horizontal="left"/>
    </xf>
    <xf numFmtId="0" fontId="3" fillId="0" borderId="0" xfId="2" applyFont="1"/>
    <xf numFmtId="187" fontId="3" fillId="0" borderId="0" xfId="1" applyNumberFormat="1" applyFont="1"/>
    <xf numFmtId="49" fontId="4" fillId="0" borderId="0" xfId="2" applyNumberFormat="1" applyFont="1" applyAlignment="1">
      <alignment horizontal="right"/>
    </xf>
    <xf numFmtId="3" fontId="5" fillId="2" borderId="1" xfId="1" applyNumberFormat="1" applyFont="1" applyFill="1" applyBorder="1" applyAlignment="1">
      <alignment horizontal="center" vertical="center" wrapText="1"/>
    </xf>
    <xf numFmtId="3" fontId="5" fillId="2" borderId="2" xfId="1" applyNumberFormat="1" applyFont="1" applyFill="1" applyBorder="1" applyAlignment="1">
      <alignment horizontal="center" vertical="center" wrapText="1"/>
    </xf>
    <xf numFmtId="3" fontId="5" fillId="2" borderId="3" xfId="2" applyNumberFormat="1" applyFont="1" applyFill="1" applyBorder="1" applyAlignment="1">
      <alignment horizontal="center" vertical="center" wrapText="1"/>
    </xf>
    <xf numFmtId="187" fontId="5" fillId="2" borderId="2" xfId="1" applyNumberFormat="1" applyFont="1" applyFill="1" applyBorder="1" applyAlignment="1">
      <alignment horizontal="center" vertical="center" wrapText="1"/>
    </xf>
    <xf numFmtId="3" fontId="5" fillId="2" borderId="2" xfId="2" applyNumberFormat="1" applyFont="1" applyFill="1" applyBorder="1" applyAlignment="1">
      <alignment horizontal="center" vertical="center"/>
    </xf>
    <xf numFmtId="3" fontId="5" fillId="2" borderId="2" xfId="1" applyNumberFormat="1" applyFont="1" applyFill="1" applyBorder="1" applyAlignment="1">
      <alignment horizontal="center" vertical="center"/>
    </xf>
    <xf numFmtId="187" fontId="5" fillId="2" borderId="2" xfId="1" applyNumberFormat="1" applyFont="1" applyFill="1" applyBorder="1" applyAlignment="1">
      <alignment horizontal="center" vertical="center"/>
    </xf>
    <xf numFmtId="43" fontId="5" fillId="2" borderId="2" xfId="1" applyFont="1" applyFill="1" applyBorder="1" applyAlignment="1">
      <alignment horizontal="center" vertical="center"/>
    </xf>
    <xf numFmtId="3" fontId="5" fillId="3" borderId="2" xfId="1" applyNumberFormat="1" applyFont="1" applyFill="1" applyBorder="1" applyAlignment="1">
      <alignment horizontal="center" vertical="center"/>
    </xf>
    <xf numFmtId="187" fontId="5" fillId="3" borderId="2" xfId="1" applyNumberFormat="1" applyFont="1" applyFill="1" applyBorder="1" applyAlignment="1">
      <alignment horizontal="center" vertical="center"/>
    </xf>
    <xf numFmtId="43" fontId="5" fillId="3" borderId="2" xfId="1" applyFont="1" applyFill="1" applyBorder="1" applyAlignment="1">
      <alignment horizontal="center" vertical="center"/>
    </xf>
    <xf numFmtId="3" fontId="5" fillId="4" borderId="2" xfId="2" applyNumberFormat="1" applyFont="1" applyFill="1" applyBorder="1" applyAlignment="1">
      <alignment horizontal="center" vertical="center" wrapText="1"/>
    </xf>
    <xf numFmtId="3" fontId="5" fillId="5" borderId="2" xfId="2" applyNumberFormat="1" applyFont="1" applyFill="1" applyBorder="1" applyAlignment="1">
      <alignment horizontal="center" vertical="center" wrapText="1"/>
    </xf>
    <xf numFmtId="43" fontId="5" fillId="4" borderId="2" xfId="1" applyFont="1" applyFill="1" applyBorder="1" applyAlignment="1">
      <alignment horizontal="center" vertical="center" wrapText="1"/>
    </xf>
    <xf numFmtId="3" fontId="5" fillId="6" borderId="2" xfId="2" applyNumberFormat="1" applyFont="1" applyFill="1" applyBorder="1" applyAlignment="1">
      <alignment horizontal="center" vertical="center" wrapText="1"/>
    </xf>
    <xf numFmtId="43" fontId="5" fillId="2" borderId="2" xfId="3" applyFont="1" applyFill="1" applyBorder="1" applyAlignment="1">
      <alignment horizontal="center" vertical="center" wrapText="1"/>
    </xf>
    <xf numFmtId="3" fontId="5" fillId="2" borderId="2" xfId="3" applyNumberFormat="1" applyFont="1" applyFill="1" applyBorder="1" applyAlignment="1">
      <alignment horizontal="center" vertical="center"/>
    </xf>
    <xf numFmtId="49" fontId="5" fillId="2" borderId="2" xfId="3" applyNumberFormat="1" applyFont="1" applyFill="1" applyBorder="1" applyAlignment="1">
      <alignment horizontal="center" vertical="center"/>
    </xf>
    <xf numFmtId="3" fontId="5" fillId="7" borderId="4" xfId="2" applyNumberFormat="1" applyFont="1" applyFill="1" applyBorder="1" applyAlignment="1">
      <alignment horizontal="center" vertical="center" wrapText="1"/>
    </xf>
    <xf numFmtId="3" fontId="5" fillId="7" borderId="1" xfId="2" applyNumberFormat="1" applyFont="1" applyFill="1" applyBorder="1" applyAlignment="1">
      <alignment horizontal="center" vertical="center" wrapText="1"/>
    </xf>
    <xf numFmtId="43" fontId="5" fillId="7" borderId="5" xfId="1" applyFont="1" applyFill="1" applyBorder="1" applyAlignment="1">
      <alignment horizontal="center" vertical="center" wrapText="1"/>
    </xf>
    <xf numFmtId="43" fontId="5" fillId="8" borderId="6" xfId="1" applyFont="1" applyFill="1" applyBorder="1" applyAlignment="1">
      <alignment horizontal="center" vertical="center" wrapText="1"/>
    </xf>
    <xf numFmtId="43" fontId="5" fillId="8" borderId="7" xfId="1" applyFont="1" applyFill="1" applyBorder="1" applyAlignment="1">
      <alignment horizontal="center" vertical="center" wrapText="1"/>
    </xf>
    <xf numFmtId="43" fontId="5" fillId="8" borderId="8" xfId="1" applyFont="1" applyFill="1" applyBorder="1" applyAlignment="1">
      <alignment horizontal="center" vertical="center" wrapText="1"/>
    </xf>
    <xf numFmtId="187" fontId="5" fillId="5" borderId="2" xfId="1" applyNumberFormat="1" applyFont="1" applyFill="1" applyBorder="1" applyAlignment="1">
      <alignment horizontal="center" vertical="center" wrapText="1"/>
    </xf>
    <xf numFmtId="49" fontId="6" fillId="9" borderId="2" xfId="1" applyNumberFormat="1" applyFont="1" applyFill="1" applyBorder="1" applyAlignment="1">
      <alignment horizontal="center" vertical="center" wrapText="1"/>
    </xf>
    <xf numFmtId="3" fontId="5" fillId="9" borderId="2" xfId="1" applyNumberFormat="1" applyFont="1" applyFill="1" applyBorder="1" applyAlignment="1">
      <alignment horizontal="center" vertical="center" wrapText="1"/>
    </xf>
    <xf numFmtId="41" fontId="5" fillId="10" borderId="2" xfId="1" applyNumberFormat="1" applyFont="1" applyFill="1" applyBorder="1" applyAlignment="1">
      <alignment horizontal="center" vertical="center" wrapText="1"/>
    </xf>
    <xf numFmtId="187" fontId="5" fillId="10" borderId="2" xfId="1" applyNumberFormat="1" applyFont="1" applyFill="1" applyBorder="1" applyAlignment="1">
      <alignment horizontal="center" vertical="center" wrapText="1"/>
    </xf>
    <xf numFmtId="2" fontId="5" fillId="11" borderId="2" xfId="1" applyNumberFormat="1" applyFont="1" applyFill="1" applyBorder="1" applyAlignment="1">
      <alignment horizontal="center" vertical="center" wrapText="1"/>
    </xf>
    <xf numFmtId="3" fontId="5" fillId="12" borderId="2" xfId="1" applyNumberFormat="1" applyFont="1" applyFill="1" applyBorder="1" applyAlignment="1">
      <alignment horizontal="center" vertical="center" wrapText="1"/>
    </xf>
    <xf numFmtId="0" fontId="5" fillId="13" borderId="2" xfId="2" applyFont="1" applyFill="1" applyBorder="1" applyAlignment="1">
      <alignment horizontal="center" vertical="center" shrinkToFit="1"/>
    </xf>
    <xf numFmtId="2" fontId="5" fillId="13" borderId="2" xfId="1" applyNumberFormat="1" applyFont="1" applyFill="1" applyBorder="1" applyAlignment="1">
      <alignment horizontal="center" vertical="center" shrinkToFit="1"/>
    </xf>
    <xf numFmtId="0" fontId="5" fillId="0" borderId="0" xfId="2" applyFont="1" applyAlignment="1">
      <alignment horizontal="left" vertical="center"/>
    </xf>
    <xf numFmtId="188" fontId="3" fillId="0" borderId="0" xfId="1" applyNumberFormat="1" applyFont="1" applyFill="1" applyAlignment="1">
      <alignment vertical="top"/>
    </xf>
    <xf numFmtId="1" fontId="3" fillId="0" borderId="0" xfId="1" applyNumberFormat="1" applyFont="1" applyFill="1" applyAlignment="1">
      <alignment horizontal="center" vertical="top"/>
    </xf>
    <xf numFmtId="1" fontId="5" fillId="0" borderId="0" xfId="2" applyNumberFormat="1" applyFont="1" applyAlignment="1">
      <alignment horizontal="center" vertical="top"/>
    </xf>
    <xf numFmtId="187" fontId="3" fillId="0" borderId="0" xfId="1" applyNumberFormat="1" applyFont="1" applyFill="1" applyAlignment="1">
      <alignment horizontal="center" vertical="top"/>
    </xf>
    <xf numFmtId="0" fontId="5" fillId="0" borderId="0" xfId="2" applyFont="1" applyAlignment="1">
      <alignment horizontal="center" vertical="center"/>
    </xf>
    <xf numFmtId="3" fontId="5" fillId="2" borderId="9" xfId="2" applyNumberFormat="1" applyFont="1" applyFill="1" applyBorder="1" applyAlignment="1">
      <alignment horizontal="center" vertical="center" wrapText="1"/>
    </xf>
    <xf numFmtId="3" fontId="5" fillId="2" borderId="2" xfId="2" applyNumberFormat="1" applyFont="1" applyFill="1" applyBorder="1" applyAlignment="1">
      <alignment horizontal="center" vertical="center"/>
    </xf>
    <xf numFmtId="43" fontId="5" fillId="2" borderId="2" xfId="1" applyFont="1" applyFill="1" applyBorder="1" applyAlignment="1">
      <alignment horizontal="center" vertical="center" wrapText="1"/>
    </xf>
    <xf numFmtId="189" fontId="5" fillId="3" borderId="2" xfId="1" applyNumberFormat="1" applyFont="1" applyFill="1" applyBorder="1" applyAlignment="1">
      <alignment horizontal="center" vertical="center" wrapText="1"/>
    </xf>
    <xf numFmtId="3" fontId="5" fillId="3" borderId="2" xfId="2" applyNumberFormat="1" applyFont="1" applyFill="1" applyBorder="1" applyAlignment="1">
      <alignment horizontal="center" vertical="center"/>
    </xf>
    <xf numFmtId="3" fontId="5" fillId="4" borderId="9" xfId="2" applyNumberFormat="1" applyFont="1" applyFill="1" applyBorder="1" applyAlignment="1">
      <alignment horizontal="center" vertical="center" wrapText="1"/>
    </xf>
    <xf numFmtId="3" fontId="5" fillId="5" borderId="9" xfId="2" applyNumberFormat="1" applyFont="1" applyFill="1" applyBorder="1" applyAlignment="1">
      <alignment horizontal="center" vertical="center" wrapText="1"/>
    </xf>
    <xf numFmtId="43" fontId="5" fillId="4" borderId="2" xfId="1" applyFont="1" applyFill="1" applyBorder="1" applyAlignment="1">
      <alignment horizontal="center" vertical="center" wrapText="1"/>
    </xf>
    <xf numFmtId="43" fontId="5" fillId="5" borderId="2" xfId="1" applyFont="1" applyFill="1" applyBorder="1" applyAlignment="1">
      <alignment horizontal="center" vertical="center" wrapText="1"/>
    </xf>
    <xf numFmtId="43" fontId="5" fillId="5" borderId="2" xfId="1" applyFont="1" applyFill="1" applyBorder="1" applyAlignment="1">
      <alignment horizontal="center" vertical="center" wrapText="1"/>
    </xf>
    <xf numFmtId="3" fontId="5" fillId="6" borderId="9" xfId="2" applyNumberFormat="1" applyFont="1" applyFill="1" applyBorder="1" applyAlignment="1">
      <alignment horizontal="center" vertical="center" wrapText="1"/>
    </xf>
    <xf numFmtId="43" fontId="5" fillId="2" borderId="2" xfId="3" applyFont="1" applyFill="1" applyBorder="1" applyAlignment="1">
      <alignment horizontal="center" vertical="center"/>
    </xf>
    <xf numFmtId="3" fontId="5" fillId="7" borderId="10" xfId="2" applyNumberFormat="1" applyFont="1" applyFill="1" applyBorder="1" applyAlignment="1">
      <alignment horizontal="center" vertical="center" wrapText="1"/>
    </xf>
    <xf numFmtId="3" fontId="5" fillId="7" borderId="2" xfId="2" applyNumberFormat="1" applyFont="1" applyFill="1" applyBorder="1" applyAlignment="1">
      <alignment horizontal="center" vertical="center" wrapText="1"/>
    </xf>
    <xf numFmtId="43" fontId="5" fillId="7" borderId="2" xfId="1" applyFont="1" applyFill="1" applyBorder="1" applyAlignment="1">
      <alignment horizontal="center" vertical="center" wrapText="1"/>
    </xf>
    <xf numFmtId="43" fontId="5" fillId="7" borderId="11" xfId="1" applyFont="1" applyFill="1" applyBorder="1" applyAlignment="1">
      <alignment horizontal="center" vertical="center" wrapText="1"/>
    </xf>
    <xf numFmtId="43" fontId="5" fillId="8" borderId="12" xfId="1" applyFont="1" applyFill="1" applyBorder="1" applyAlignment="1">
      <alignment horizontal="center" vertical="center" wrapText="1"/>
    </xf>
    <xf numFmtId="43" fontId="5" fillId="8" borderId="13" xfId="1" applyFont="1" applyFill="1" applyBorder="1" applyAlignment="1">
      <alignment horizontal="center" vertical="center" wrapText="1"/>
    </xf>
    <xf numFmtId="43" fontId="5" fillId="8" borderId="14" xfId="1" applyFont="1" applyFill="1" applyBorder="1" applyAlignment="1">
      <alignment horizontal="center" vertical="center" wrapText="1"/>
    </xf>
    <xf numFmtId="1" fontId="5" fillId="12" borderId="2" xfId="1" applyNumberFormat="1" applyFont="1" applyFill="1" applyBorder="1" applyAlignment="1">
      <alignment horizontal="center" vertical="center"/>
    </xf>
    <xf numFmtId="43" fontId="5" fillId="12" borderId="2" xfId="1" applyFont="1" applyFill="1" applyBorder="1" applyAlignment="1">
      <alignment horizontal="center" vertical="center"/>
    </xf>
    <xf numFmtId="43" fontId="5" fillId="13" borderId="2" xfId="1" applyFont="1" applyFill="1" applyBorder="1" applyAlignment="1">
      <alignment horizontal="center" vertical="center"/>
    </xf>
    <xf numFmtId="49" fontId="5" fillId="13" borderId="2" xfId="1" applyNumberFormat="1" applyFont="1" applyFill="1" applyBorder="1" applyAlignment="1">
      <alignment vertical="center"/>
    </xf>
    <xf numFmtId="187" fontId="5" fillId="13" borderId="2" xfId="1" applyNumberFormat="1" applyFont="1" applyFill="1" applyBorder="1" applyAlignment="1">
      <alignment vertical="center"/>
    </xf>
    <xf numFmtId="1" fontId="5" fillId="13" borderId="2" xfId="1" applyNumberFormat="1" applyFont="1" applyFill="1" applyBorder="1" applyAlignment="1">
      <alignment vertical="center"/>
    </xf>
    <xf numFmtId="188" fontId="5" fillId="13" borderId="2" xfId="1" applyNumberFormat="1" applyFont="1" applyFill="1" applyBorder="1" applyAlignment="1">
      <alignment horizontal="center" vertical="center" wrapText="1"/>
    </xf>
    <xf numFmtId="188" fontId="7" fillId="13" borderId="2" xfId="1" applyNumberFormat="1" applyFont="1" applyFill="1" applyBorder="1" applyAlignment="1">
      <alignment horizontal="center" vertical="center" wrapText="1"/>
    </xf>
    <xf numFmtId="188" fontId="8" fillId="13" borderId="2" xfId="1" applyNumberFormat="1" applyFont="1" applyFill="1" applyBorder="1" applyAlignment="1">
      <alignment horizontal="center" vertical="center" wrapText="1"/>
    </xf>
    <xf numFmtId="188" fontId="3" fillId="0" borderId="0" xfId="1" applyNumberFormat="1" applyFont="1" applyAlignment="1">
      <alignment vertical="top"/>
    </xf>
    <xf numFmtId="14" fontId="5" fillId="2" borderId="2" xfId="2" applyNumberFormat="1" applyFont="1" applyFill="1" applyBorder="1" applyAlignment="1">
      <alignment horizontal="center" vertical="center"/>
    </xf>
    <xf numFmtId="189" fontId="5" fillId="2" borderId="2" xfId="1" applyNumberFormat="1" applyFont="1" applyFill="1" applyBorder="1" applyAlignment="1">
      <alignment horizontal="center" vertical="center"/>
    </xf>
    <xf numFmtId="189" fontId="5" fillId="2" borderId="2" xfId="2" applyNumberFormat="1" applyFont="1" applyFill="1" applyBorder="1" applyAlignment="1">
      <alignment horizontal="center" vertical="center"/>
    </xf>
    <xf numFmtId="189" fontId="5" fillId="3" borderId="2" xfId="1" applyNumberFormat="1" applyFont="1" applyFill="1" applyBorder="1" applyAlignment="1">
      <alignment horizontal="center" vertical="center"/>
    </xf>
    <xf numFmtId="43" fontId="5" fillId="4" borderId="2" xfId="1" applyFont="1" applyFill="1" applyBorder="1" applyAlignment="1">
      <alignment horizontal="center" vertical="center"/>
    </xf>
    <xf numFmtId="43" fontId="5" fillId="4" borderId="3" xfId="1" applyFont="1" applyFill="1" applyBorder="1" applyAlignment="1">
      <alignment horizontal="center" vertical="center"/>
    </xf>
    <xf numFmtId="43" fontId="5" fillId="5" borderId="2" xfId="1" applyFont="1" applyFill="1" applyBorder="1" applyAlignment="1">
      <alignment horizontal="center" vertical="center"/>
    </xf>
    <xf numFmtId="43" fontId="5" fillId="6" borderId="2" xfId="1" applyFont="1" applyFill="1" applyBorder="1" applyAlignment="1">
      <alignment horizontal="center" vertical="center"/>
    </xf>
    <xf numFmtId="43" fontId="5" fillId="6" borderId="2" xfId="1" applyFont="1" applyFill="1" applyBorder="1" applyAlignment="1">
      <alignment horizontal="center" vertical="center" wrapText="1"/>
    </xf>
    <xf numFmtId="43" fontId="5" fillId="7" borderId="10" xfId="1" applyFont="1" applyFill="1" applyBorder="1" applyAlignment="1">
      <alignment horizontal="center" vertical="center"/>
    </xf>
    <xf numFmtId="43" fontId="5" fillId="7" borderId="2" xfId="1" applyFont="1" applyFill="1" applyBorder="1" applyAlignment="1">
      <alignment horizontal="center" vertical="center"/>
    </xf>
    <xf numFmtId="43" fontId="5" fillId="7" borderId="11" xfId="1" applyFont="1" applyFill="1" applyBorder="1" applyAlignment="1">
      <alignment horizontal="center" vertical="center"/>
    </xf>
    <xf numFmtId="43" fontId="5" fillId="8" borderId="3" xfId="1" applyFont="1" applyFill="1" applyBorder="1" applyAlignment="1">
      <alignment horizontal="center" vertical="center" wrapText="1"/>
    </xf>
    <xf numFmtId="187" fontId="5" fillId="5" borderId="3" xfId="1" applyNumberFormat="1" applyFont="1" applyFill="1" applyBorder="1" applyAlignment="1">
      <alignment horizontal="center" vertical="center" wrapText="1"/>
    </xf>
    <xf numFmtId="1" fontId="5" fillId="13" borderId="2" xfId="1" applyNumberFormat="1" applyFont="1" applyFill="1" applyBorder="1" applyAlignment="1">
      <alignment horizontal="center" vertical="center"/>
    </xf>
    <xf numFmtId="1" fontId="5" fillId="13" borderId="2" xfId="1" applyNumberFormat="1" applyFont="1" applyFill="1" applyBorder="1" applyAlignment="1">
      <alignment horizontal="center" vertical="center"/>
    </xf>
    <xf numFmtId="2" fontId="5" fillId="13" borderId="2" xfId="1" applyNumberFormat="1" applyFont="1" applyFill="1" applyBorder="1" applyAlignment="1">
      <alignment horizontal="center" vertical="center"/>
    </xf>
    <xf numFmtId="3" fontId="5" fillId="2" borderId="15" xfId="2" applyNumberFormat="1" applyFont="1" applyFill="1" applyBorder="1" applyAlignment="1">
      <alignment horizontal="center" vertical="center" wrapText="1"/>
    </xf>
    <xf numFmtId="43" fontId="5" fillId="4" borderId="15" xfId="1" applyFont="1" applyFill="1" applyBorder="1" applyAlignment="1">
      <alignment horizontal="center" vertical="center"/>
    </xf>
    <xf numFmtId="43" fontId="5" fillId="8" borderId="15" xfId="1" applyFont="1" applyFill="1" applyBorder="1" applyAlignment="1">
      <alignment horizontal="center" vertical="center" wrapText="1"/>
    </xf>
    <xf numFmtId="187" fontId="5" fillId="5" borderId="15" xfId="1" applyNumberFormat="1" applyFont="1" applyFill="1" applyBorder="1" applyAlignment="1">
      <alignment horizontal="center" vertical="center" wrapText="1"/>
    </xf>
    <xf numFmtId="1" fontId="5" fillId="12" borderId="2" xfId="1" applyNumberFormat="1" applyFont="1" applyFill="1" applyBorder="1" applyAlignment="1">
      <alignment horizontal="center" vertical="center"/>
    </xf>
    <xf numFmtId="43" fontId="5" fillId="12" borderId="2" xfId="1" applyFont="1" applyFill="1" applyBorder="1" applyAlignment="1">
      <alignment horizontal="center" vertical="center"/>
    </xf>
    <xf numFmtId="49" fontId="5" fillId="13" borderId="2" xfId="1" applyNumberFormat="1" applyFont="1" applyFill="1" applyBorder="1" applyAlignment="1">
      <alignment horizontal="center" vertical="center"/>
    </xf>
    <xf numFmtId="187" fontId="5" fillId="13" borderId="2" xfId="1" applyNumberFormat="1" applyFont="1" applyFill="1" applyBorder="1" applyAlignment="1">
      <alignment horizontal="center" vertical="center"/>
    </xf>
    <xf numFmtId="188" fontId="5" fillId="13" borderId="2" xfId="1" applyNumberFormat="1" applyFont="1" applyFill="1" applyBorder="1" applyAlignment="1">
      <alignment horizontal="center" vertical="center"/>
    </xf>
    <xf numFmtId="0" fontId="5" fillId="0" borderId="0" xfId="2" applyFont="1" applyAlignment="1">
      <alignment vertical="top"/>
    </xf>
    <xf numFmtId="187" fontId="5" fillId="0" borderId="0" xfId="1" applyNumberFormat="1" applyFont="1" applyAlignment="1">
      <alignment horizontal="center" vertical="center"/>
    </xf>
    <xf numFmtId="0" fontId="9" fillId="14" borderId="16" xfId="2" applyFont="1" applyFill="1" applyBorder="1" applyAlignment="1">
      <alignment horizontal="center" vertical="top" wrapText="1"/>
    </xf>
    <xf numFmtId="0" fontId="9" fillId="14" borderId="17" xfId="2" applyFont="1" applyFill="1" applyBorder="1" applyAlignment="1">
      <alignment horizontal="center" vertical="top" wrapText="1"/>
    </xf>
    <xf numFmtId="1" fontId="5" fillId="14" borderId="17" xfId="2" applyNumberFormat="1" applyFont="1" applyFill="1" applyBorder="1" applyAlignment="1">
      <alignment horizontal="center" vertical="top"/>
    </xf>
    <xf numFmtId="187" fontId="5" fillId="14" borderId="17" xfId="1" applyNumberFormat="1" applyFont="1" applyFill="1" applyBorder="1" applyAlignment="1">
      <alignment horizontal="right" vertical="top"/>
    </xf>
    <xf numFmtId="43" fontId="5" fillId="14" borderId="17" xfId="1" applyFont="1" applyFill="1" applyBorder="1" applyAlignment="1">
      <alignment horizontal="right" vertical="top"/>
    </xf>
    <xf numFmtId="189" fontId="5" fillId="14" borderId="17" xfId="2" applyNumberFormat="1" applyFont="1" applyFill="1" applyBorder="1" applyAlignment="1">
      <alignment horizontal="center" vertical="top"/>
    </xf>
    <xf numFmtId="3" fontId="5" fillId="14" borderId="17" xfId="2" applyNumberFormat="1" applyFont="1" applyFill="1" applyBorder="1" applyAlignment="1">
      <alignment horizontal="right" vertical="top"/>
    </xf>
    <xf numFmtId="3" fontId="5" fillId="14" borderId="17" xfId="1" applyNumberFormat="1" applyFont="1" applyFill="1" applyBorder="1" applyAlignment="1">
      <alignment horizontal="center" vertical="top"/>
    </xf>
    <xf numFmtId="189" fontId="5" fillId="14" borderId="17" xfId="1" applyNumberFormat="1" applyFont="1" applyFill="1" applyBorder="1" applyAlignment="1">
      <alignment horizontal="center" vertical="top"/>
    </xf>
    <xf numFmtId="43" fontId="5" fillId="14" borderId="17" xfId="3" applyFont="1" applyFill="1" applyBorder="1" applyAlignment="1">
      <alignment horizontal="right" vertical="top"/>
    </xf>
    <xf numFmtId="1" fontId="5" fillId="14" borderId="9" xfId="1" applyNumberFormat="1" applyFont="1" applyFill="1" applyBorder="1" applyAlignment="1">
      <alignment horizontal="center" vertical="center"/>
    </xf>
    <xf numFmtId="49" fontId="5" fillId="14" borderId="17" xfId="2" applyNumberFormat="1" applyFont="1" applyFill="1" applyBorder="1" applyAlignment="1">
      <alignment horizontal="center" vertical="top"/>
    </xf>
    <xf numFmtId="43" fontId="5" fillId="14" borderId="18" xfId="1" applyFont="1" applyFill="1" applyBorder="1" applyAlignment="1">
      <alignment horizontal="right" vertical="top"/>
    </xf>
    <xf numFmtId="43" fontId="5" fillId="14" borderId="19" xfId="1" applyFont="1" applyFill="1" applyBorder="1" applyAlignment="1">
      <alignment horizontal="right" vertical="top"/>
    </xf>
    <xf numFmtId="43" fontId="5" fillId="14" borderId="20" xfId="1" applyFont="1" applyFill="1" applyBorder="1" applyAlignment="1">
      <alignment horizontal="right" vertical="top"/>
    </xf>
    <xf numFmtId="43" fontId="5" fillId="15" borderId="19" xfId="1" applyFont="1" applyFill="1" applyBorder="1" applyAlignment="1">
      <alignment horizontal="right" vertical="top"/>
    </xf>
    <xf numFmtId="187" fontId="5" fillId="14" borderId="19" xfId="1" applyNumberFormat="1" applyFont="1" applyFill="1" applyBorder="1" applyAlignment="1">
      <alignment horizontal="right" vertical="top"/>
    </xf>
    <xf numFmtId="49" fontId="5" fillId="16" borderId="19" xfId="2" applyNumberFormat="1" applyFont="1" applyFill="1" applyBorder="1" applyAlignment="1">
      <alignment horizontal="center" vertical="top"/>
    </xf>
    <xf numFmtId="3" fontId="5" fillId="16" borderId="19" xfId="2" applyNumberFormat="1" applyFont="1" applyFill="1" applyBorder="1" applyAlignment="1">
      <alignment horizontal="center" vertical="top"/>
    </xf>
    <xf numFmtId="41" fontId="5" fillId="17" borderId="19" xfId="1" applyNumberFormat="1" applyFont="1" applyFill="1" applyBorder="1" applyAlignment="1">
      <alignment horizontal="center" vertical="top"/>
    </xf>
    <xf numFmtId="187" fontId="5" fillId="17" borderId="19" xfId="1" applyNumberFormat="1" applyFont="1" applyFill="1" applyBorder="1" applyAlignment="1">
      <alignment horizontal="center" vertical="top"/>
    </xf>
    <xf numFmtId="188" fontId="5" fillId="17" borderId="19" xfId="1" applyNumberFormat="1" applyFont="1" applyFill="1" applyBorder="1" applyAlignment="1">
      <alignment horizontal="center" vertical="top"/>
    </xf>
    <xf numFmtId="3" fontId="5" fillId="17" borderId="19" xfId="1" applyNumberFormat="1" applyFont="1" applyFill="1" applyBorder="1" applyAlignment="1">
      <alignment horizontal="center" vertical="top"/>
    </xf>
    <xf numFmtId="43" fontId="5" fillId="17" borderId="19" xfId="1" applyFont="1" applyFill="1" applyBorder="1" applyAlignment="1">
      <alignment horizontal="center" vertical="top"/>
    </xf>
    <xf numFmtId="2" fontId="5" fillId="17" borderId="19" xfId="1" applyNumberFormat="1" applyFont="1" applyFill="1" applyBorder="1" applyAlignment="1">
      <alignment horizontal="center" vertical="top"/>
    </xf>
    <xf numFmtId="0" fontId="5" fillId="0" borderId="0" xfId="2" applyFont="1" applyAlignment="1">
      <alignment horizontal="left" vertical="top"/>
    </xf>
    <xf numFmtId="187" fontId="5" fillId="0" borderId="0" xfId="1" applyNumberFormat="1" applyFont="1" applyFill="1" applyAlignment="1">
      <alignment vertical="top"/>
    </xf>
    <xf numFmtId="0" fontId="3" fillId="18" borderId="0" xfId="2" applyFont="1" applyFill="1" applyAlignment="1">
      <alignment horizontal="left" vertical="top"/>
    </xf>
    <xf numFmtId="0" fontId="5" fillId="18" borderId="19" xfId="2" applyFont="1" applyFill="1" applyBorder="1" applyAlignment="1">
      <alignment horizontal="left" vertical="top" wrapText="1"/>
    </xf>
    <xf numFmtId="1" fontId="5" fillId="18" borderId="21" xfId="2" applyNumberFormat="1" applyFont="1" applyFill="1" applyBorder="1" applyAlignment="1">
      <alignment horizontal="center" vertical="top"/>
    </xf>
    <xf numFmtId="187" fontId="5" fillId="18" borderId="19" xfId="1" applyNumberFormat="1" applyFont="1" applyFill="1" applyBorder="1" applyAlignment="1">
      <alignment horizontal="right" vertical="top"/>
    </xf>
    <xf numFmtId="187" fontId="5" fillId="18" borderId="21" xfId="1" applyNumberFormat="1" applyFont="1" applyFill="1" applyBorder="1" applyAlignment="1">
      <alignment horizontal="right" vertical="top"/>
    </xf>
    <xf numFmtId="43" fontId="5" fillId="18" borderId="21" xfId="1" applyFont="1" applyFill="1" applyBorder="1" applyAlignment="1">
      <alignment horizontal="right" vertical="top"/>
    </xf>
    <xf numFmtId="189" fontId="5" fillId="18" borderId="21" xfId="2" applyNumberFormat="1" applyFont="1" applyFill="1" applyBorder="1" applyAlignment="1">
      <alignment horizontal="center" vertical="top"/>
    </xf>
    <xf numFmtId="3" fontId="5" fillId="18" borderId="21" xfId="2" applyNumberFormat="1" applyFont="1" applyFill="1" applyBorder="1" applyAlignment="1">
      <alignment horizontal="right" vertical="top"/>
    </xf>
    <xf numFmtId="1" fontId="5" fillId="18" borderId="19" xfId="1" applyNumberFormat="1" applyFont="1" applyFill="1" applyBorder="1" applyAlignment="1">
      <alignment horizontal="center" vertical="top"/>
    </xf>
    <xf numFmtId="43" fontId="5" fillId="18" borderId="19" xfId="1" applyFont="1" applyFill="1" applyBorder="1" applyAlignment="1">
      <alignment horizontal="right" vertical="top"/>
    </xf>
    <xf numFmtId="3" fontId="5" fillId="18" borderId="19" xfId="1" applyNumberFormat="1" applyFont="1" applyFill="1" applyBorder="1" applyAlignment="1">
      <alignment horizontal="right" vertical="top"/>
    </xf>
    <xf numFmtId="3" fontId="5" fillId="18" borderId="21" xfId="1" applyNumberFormat="1" applyFont="1" applyFill="1" applyBorder="1" applyAlignment="1">
      <alignment horizontal="center" vertical="top"/>
    </xf>
    <xf numFmtId="189" fontId="5" fillId="18" borderId="21" xfId="1" applyNumberFormat="1" applyFont="1" applyFill="1" applyBorder="1" applyAlignment="1">
      <alignment horizontal="center" vertical="top"/>
    </xf>
    <xf numFmtId="43" fontId="10" fillId="18" borderId="21" xfId="1" applyFont="1" applyFill="1" applyBorder="1" applyAlignment="1">
      <alignment horizontal="right" vertical="top"/>
    </xf>
    <xf numFmtId="43" fontId="11" fillId="18" borderId="21" xfId="1" applyFont="1" applyFill="1" applyBorder="1" applyAlignment="1">
      <alignment horizontal="right" vertical="top"/>
    </xf>
    <xf numFmtId="43" fontId="5" fillId="18" borderId="19" xfId="3" applyFont="1" applyFill="1" applyBorder="1" applyAlignment="1">
      <alignment horizontal="right" vertical="top"/>
    </xf>
    <xf numFmtId="3" fontId="5" fillId="18" borderId="9" xfId="3" applyNumberFormat="1" applyFont="1" applyFill="1" applyBorder="1" applyAlignment="1">
      <alignment horizontal="center" vertical="top"/>
    </xf>
    <xf numFmtId="43" fontId="5" fillId="18" borderId="22" xfId="1" applyFont="1" applyFill="1" applyBorder="1" applyAlignment="1">
      <alignment horizontal="right" vertical="top"/>
    </xf>
    <xf numFmtId="43" fontId="5" fillId="18" borderId="23" xfId="1" applyFont="1" applyFill="1" applyBorder="1" applyAlignment="1">
      <alignment horizontal="right" vertical="top"/>
    </xf>
    <xf numFmtId="49" fontId="5" fillId="6" borderId="21" xfId="1" applyNumberFormat="1" applyFont="1" applyFill="1" applyBorder="1" applyAlignment="1">
      <alignment horizontal="center" vertical="top"/>
    </xf>
    <xf numFmtId="3" fontId="5" fillId="6" borderId="21" xfId="1" applyNumberFormat="1" applyFont="1" applyFill="1" applyBorder="1" applyAlignment="1">
      <alignment horizontal="center" vertical="top"/>
    </xf>
    <xf numFmtId="0" fontId="3" fillId="17" borderId="23" xfId="2" applyFont="1" applyFill="1" applyBorder="1" applyAlignment="1">
      <alignment horizontal="left" vertical="top"/>
    </xf>
    <xf numFmtId="0" fontId="5" fillId="17" borderId="21" xfId="2" applyFont="1" applyFill="1" applyBorder="1" applyAlignment="1">
      <alignment horizontal="left" vertical="top"/>
    </xf>
    <xf numFmtId="1" fontId="5" fillId="17" borderId="21" xfId="2" applyNumberFormat="1" applyFont="1" applyFill="1" applyBorder="1" applyAlignment="1">
      <alignment horizontal="center" vertical="top"/>
    </xf>
    <xf numFmtId="187" fontId="5" fillId="17" borderId="21" xfId="1" applyNumberFormat="1" applyFont="1" applyFill="1" applyBorder="1" applyAlignment="1">
      <alignment horizontal="right" vertical="top"/>
    </xf>
    <xf numFmtId="43" fontId="5" fillId="17" borderId="21" xfId="1" applyFont="1" applyFill="1" applyBorder="1" applyAlignment="1">
      <alignment horizontal="right" vertical="top"/>
    </xf>
    <xf numFmtId="189" fontId="5" fillId="17" borderId="21" xfId="2" applyNumberFormat="1" applyFont="1" applyFill="1" applyBorder="1" applyAlignment="1">
      <alignment horizontal="center" vertical="top"/>
    </xf>
    <xf numFmtId="3" fontId="5" fillId="17" borderId="21" xfId="2" applyNumberFormat="1" applyFont="1" applyFill="1" applyBorder="1" applyAlignment="1">
      <alignment horizontal="right" vertical="top"/>
    </xf>
    <xf numFmtId="1" fontId="5" fillId="17" borderId="21" xfId="1" applyNumberFormat="1" applyFont="1" applyFill="1" applyBorder="1" applyAlignment="1">
      <alignment horizontal="center" vertical="top"/>
    </xf>
    <xf numFmtId="3" fontId="5" fillId="17" borderId="21" xfId="1" applyNumberFormat="1" applyFont="1" applyFill="1" applyBorder="1" applyAlignment="1">
      <alignment horizontal="right" vertical="top"/>
    </xf>
    <xf numFmtId="3" fontId="5" fillId="17" borderId="21" xfId="1" applyNumberFormat="1" applyFont="1" applyFill="1" applyBorder="1" applyAlignment="1">
      <alignment horizontal="center" vertical="top"/>
    </xf>
    <xf numFmtId="189" fontId="5" fillId="17" borderId="21" xfId="1" applyNumberFormat="1" applyFont="1" applyFill="1" applyBorder="1" applyAlignment="1">
      <alignment horizontal="center" vertical="top"/>
    </xf>
    <xf numFmtId="43" fontId="10" fillId="17" borderId="21" xfId="1" applyFont="1" applyFill="1" applyBorder="1" applyAlignment="1">
      <alignment horizontal="right" vertical="top"/>
    </xf>
    <xf numFmtId="43" fontId="11" fillId="17" borderId="21" xfId="1" applyFont="1" applyFill="1" applyBorder="1" applyAlignment="1">
      <alignment horizontal="right" vertical="top"/>
    </xf>
    <xf numFmtId="43" fontId="5" fillId="17" borderId="21" xfId="3" applyFont="1" applyFill="1" applyBorder="1" applyAlignment="1">
      <alignment horizontal="right" vertical="top"/>
    </xf>
    <xf numFmtId="3" fontId="5" fillId="17" borderId="21" xfId="3" applyNumberFormat="1" applyFont="1" applyFill="1" applyBorder="1" applyAlignment="1">
      <alignment horizontal="left" vertical="top"/>
    </xf>
    <xf numFmtId="43" fontId="5" fillId="17" borderId="22" xfId="1" applyFont="1" applyFill="1" applyBorder="1" applyAlignment="1">
      <alignment horizontal="right" vertical="top"/>
    </xf>
    <xf numFmtId="43" fontId="5" fillId="17" borderId="23" xfId="1" applyFont="1" applyFill="1" applyBorder="1" applyAlignment="1">
      <alignment horizontal="right" vertical="top"/>
    </xf>
    <xf numFmtId="49" fontId="5" fillId="18" borderId="21" xfId="1" applyNumberFormat="1" applyFont="1" applyFill="1" applyBorder="1" applyAlignment="1">
      <alignment horizontal="center" vertical="top"/>
    </xf>
    <xf numFmtId="0" fontId="3" fillId="0" borderId="0" xfId="2" applyFont="1" applyAlignment="1">
      <alignment vertical="top"/>
    </xf>
    <xf numFmtId="0" fontId="3" fillId="19" borderId="23" xfId="2" applyFont="1" applyFill="1" applyBorder="1" applyAlignment="1">
      <alignment horizontal="left" vertical="top"/>
    </xf>
    <xf numFmtId="49" fontId="5" fillId="19" borderId="21" xfId="1" applyNumberFormat="1" applyFont="1" applyFill="1" applyBorder="1" applyAlignment="1">
      <alignment horizontal="center" vertical="top"/>
    </xf>
    <xf numFmtId="43" fontId="5" fillId="19" borderId="21" xfId="1" applyFont="1" applyFill="1" applyBorder="1" applyAlignment="1">
      <alignment horizontal="left" vertical="top"/>
    </xf>
    <xf numFmtId="1" fontId="5" fillId="19" borderId="21" xfId="1" applyNumberFormat="1" applyFont="1" applyFill="1" applyBorder="1" applyAlignment="1">
      <alignment horizontal="center" vertical="top"/>
    </xf>
    <xf numFmtId="187" fontId="5" fillId="19" borderId="21" xfId="1" applyNumberFormat="1" applyFont="1" applyFill="1" applyBorder="1" applyAlignment="1">
      <alignment horizontal="right" vertical="top"/>
    </xf>
    <xf numFmtId="3" fontId="5" fillId="19" borderId="21" xfId="1" applyNumberFormat="1" applyFont="1" applyFill="1" applyBorder="1" applyAlignment="1">
      <alignment horizontal="center" vertical="top"/>
    </xf>
    <xf numFmtId="43" fontId="5" fillId="19" borderId="21" xfId="1" applyFont="1" applyFill="1" applyBorder="1" applyAlignment="1">
      <alignment horizontal="right" vertical="top"/>
    </xf>
    <xf numFmtId="3" fontId="5" fillId="19" borderId="21" xfId="1" applyNumberFormat="1" applyFont="1" applyFill="1" applyBorder="1" applyAlignment="1">
      <alignment horizontal="right" vertical="top"/>
    </xf>
    <xf numFmtId="189" fontId="5" fillId="19" borderId="21" xfId="1" applyNumberFormat="1" applyFont="1" applyFill="1" applyBorder="1" applyAlignment="1">
      <alignment horizontal="center" vertical="top"/>
    </xf>
    <xf numFmtId="43" fontId="10" fillId="19" borderId="21" xfId="1" applyFont="1" applyFill="1" applyBorder="1" applyAlignment="1">
      <alignment horizontal="right" vertical="top"/>
    </xf>
    <xf numFmtId="43" fontId="11" fillId="19" borderId="21" xfId="1" applyFont="1" applyFill="1" applyBorder="1" applyAlignment="1">
      <alignment horizontal="right" vertical="top"/>
    </xf>
    <xf numFmtId="43" fontId="5" fillId="19" borderId="21" xfId="3" applyFont="1" applyFill="1" applyBorder="1" applyAlignment="1">
      <alignment horizontal="right" vertical="top"/>
    </xf>
    <xf numFmtId="3" fontId="5" fillId="19" borderId="21" xfId="3" applyNumberFormat="1" applyFont="1" applyFill="1" applyBorder="1" applyAlignment="1">
      <alignment horizontal="left" vertical="top"/>
    </xf>
    <xf numFmtId="43" fontId="5" fillId="19" borderId="22" xfId="1" applyFont="1" applyFill="1" applyBorder="1" applyAlignment="1">
      <alignment horizontal="right" vertical="top"/>
    </xf>
    <xf numFmtId="43" fontId="5" fillId="19" borderId="23" xfId="1" applyFont="1" applyFill="1" applyBorder="1" applyAlignment="1">
      <alignment horizontal="right" vertical="top"/>
    </xf>
    <xf numFmtId="49" fontId="5" fillId="8" borderId="21" xfId="1" applyNumberFormat="1" applyFont="1" applyFill="1" applyBorder="1" applyAlignment="1">
      <alignment horizontal="center" vertical="top"/>
    </xf>
    <xf numFmtId="3" fontId="5" fillId="8" borderId="21" xfId="1" applyNumberFormat="1" applyFont="1" applyFill="1" applyBorder="1" applyAlignment="1">
      <alignment horizontal="center" vertical="top"/>
    </xf>
    <xf numFmtId="43" fontId="3" fillId="0" borderId="0" xfId="1" applyFont="1" applyAlignment="1">
      <alignment vertical="top"/>
    </xf>
    <xf numFmtId="0" fontId="3" fillId="0" borderId="23" xfId="2" applyFont="1" applyBorder="1" applyAlignment="1">
      <alignment horizontal="left" vertical="top"/>
    </xf>
    <xf numFmtId="0" fontId="3" fillId="0" borderId="21" xfId="2" applyFont="1" applyBorder="1" applyAlignment="1">
      <alignment horizontal="left" vertical="top"/>
    </xf>
    <xf numFmtId="0" fontId="3" fillId="0" borderId="21" xfId="2" applyFont="1" applyBorder="1" applyAlignment="1">
      <alignment vertical="top" wrapText="1" shrinkToFit="1"/>
    </xf>
    <xf numFmtId="3" fontId="3" fillId="0" borderId="21" xfId="2" applyNumberFormat="1" applyFont="1" applyBorder="1" applyAlignment="1">
      <alignment horizontal="center" vertical="top"/>
    </xf>
    <xf numFmtId="187" fontId="3" fillId="0" borderId="21" xfId="1" applyNumberFormat="1" applyFont="1" applyFill="1" applyBorder="1" applyAlignment="1">
      <alignment horizontal="right" vertical="top"/>
    </xf>
    <xf numFmtId="189" fontId="3" fillId="0" borderId="21" xfId="2" applyNumberFormat="1" applyFont="1" applyBorder="1" applyAlignment="1">
      <alignment horizontal="center" vertical="top"/>
    </xf>
    <xf numFmtId="43" fontId="3" fillId="0" borderId="21" xfId="1" applyFont="1" applyFill="1" applyBorder="1" applyAlignment="1">
      <alignment horizontal="right" vertical="top"/>
    </xf>
    <xf numFmtId="3" fontId="3" fillId="0" borderId="21" xfId="1" applyNumberFormat="1" applyFont="1" applyFill="1" applyBorder="1" applyAlignment="1">
      <alignment horizontal="center" vertical="top"/>
    </xf>
    <xf numFmtId="189" fontId="3" fillId="0" borderId="21" xfId="1" applyNumberFormat="1" applyFont="1" applyFill="1" applyBorder="1" applyAlignment="1">
      <alignment horizontal="center" vertical="top"/>
    </xf>
    <xf numFmtId="3" fontId="3" fillId="0" borderId="21" xfId="1" applyNumberFormat="1" applyFont="1" applyFill="1" applyBorder="1" applyAlignment="1">
      <alignment horizontal="right" vertical="top"/>
    </xf>
    <xf numFmtId="1" fontId="3" fillId="0" borderId="21" xfId="2" applyNumberFormat="1" applyFont="1" applyBorder="1" applyAlignment="1">
      <alignment horizontal="center" vertical="top"/>
    </xf>
    <xf numFmtId="14" fontId="3" fillId="0" borderId="21" xfId="2" applyNumberFormat="1" applyFont="1" applyBorder="1" applyAlignment="1">
      <alignment horizontal="center" vertical="top"/>
    </xf>
    <xf numFmtId="3" fontId="3" fillId="0" borderId="21" xfId="2" applyNumberFormat="1" applyFont="1" applyBorder="1" applyAlignment="1">
      <alignment horizontal="right" vertical="top"/>
    </xf>
    <xf numFmtId="43" fontId="12" fillId="0" borderId="21" xfId="1" applyFont="1" applyFill="1" applyBorder="1" applyAlignment="1">
      <alignment horizontal="right" vertical="top"/>
    </xf>
    <xf numFmtId="43" fontId="13" fillId="0" borderId="21" xfId="1" applyFont="1" applyFill="1" applyBorder="1" applyAlignment="1">
      <alignment horizontal="right" vertical="top"/>
    </xf>
    <xf numFmtId="43" fontId="3" fillId="0" borderId="21" xfId="3" applyFont="1" applyFill="1" applyBorder="1" applyAlignment="1">
      <alignment horizontal="right" vertical="top"/>
    </xf>
    <xf numFmtId="3" fontId="3" fillId="0" borderId="21" xfId="4" applyNumberFormat="1" applyFont="1" applyFill="1" applyBorder="1" applyAlignment="1">
      <alignment horizontal="center" vertical="top"/>
    </xf>
    <xf numFmtId="43" fontId="3" fillId="0" borderId="22" xfId="1" applyFont="1" applyFill="1" applyBorder="1" applyAlignment="1">
      <alignment horizontal="right" vertical="top"/>
    </xf>
    <xf numFmtId="43" fontId="3" fillId="0" borderId="23" xfId="1" applyFont="1" applyFill="1" applyBorder="1" applyAlignment="1">
      <alignment horizontal="right" vertical="top"/>
    </xf>
    <xf numFmtId="49" fontId="3" fillId="0" borderId="21" xfId="4" applyNumberFormat="1" applyFont="1" applyFill="1" applyBorder="1" applyAlignment="1">
      <alignment horizontal="center" vertical="top"/>
    </xf>
    <xf numFmtId="41" fontId="3" fillId="0" borderId="21" xfId="4" applyNumberFormat="1" applyFont="1" applyFill="1" applyBorder="1" applyAlignment="1">
      <alignment horizontal="center" vertical="top"/>
    </xf>
    <xf numFmtId="187" fontId="3" fillId="0" borderId="21" xfId="1" applyNumberFormat="1" applyFont="1" applyFill="1" applyBorder="1" applyAlignment="1">
      <alignment horizontal="center" vertical="top"/>
    </xf>
    <xf numFmtId="2" fontId="3" fillId="0" borderId="21" xfId="4" applyNumberFormat="1" applyFont="1" applyFill="1" applyBorder="1" applyAlignment="1">
      <alignment horizontal="center" vertical="top"/>
    </xf>
    <xf numFmtId="43" fontId="3" fillId="0" borderId="21" xfId="1" applyFont="1" applyFill="1" applyBorder="1" applyAlignment="1">
      <alignment horizontal="center" vertical="top"/>
    </xf>
    <xf numFmtId="188" fontId="3" fillId="0" borderId="21" xfId="1" applyNumberFormat="1" applyFont="1" applyFill="1" applyBorder="1" applyAlignment="1">
      <alignment horizontal="center" vertical="top"/>
    </xf>
    <xf numFmtId="0" fontId="3" fillId="0" borderId="0" xfId="2" applyFont="1" applyAlignment="1">
      <alignment horizontal="left" vertical="top"/>
    </xf>
    <xf numFmtId="0" fontId="14" fillId="0" borderId="0" xfId="2" applyFont="1" applyAlignment="1">
      <alignment vertical="top"/>
    </xf>
    <xf numFmtId="43" fontId="14" fillId="0" borderId="0" xfId="2" applyNumberFormat="1" applyFont="1" applyAlignment="1">
      <alignment vertical="top"/>
    </xf>
    <xf numFmtId="43" fontId="13" fillId="20" borderId="21" xfId="1" applyFont="1" applyFill="1" applyBorder="1" applyAlignment="1">
      <alignment horizontal="right" vertical="top"/>
    </xf>
    <xf numFmtId="43" fontId="3" fillId="20" borderId="21" xfId="3" applyFont="1" applyFill="1" applyBorder="1" applyAlignment="1">
      <alignment horizontal="right" vertical="top"/>
    </xf>
    <xf numFmtId="0" fontId="3" fillId="0" borderId="23" xfId="2" applyFont="1" applyBorder="1" applyAlignment="1">
      <alignment horizontal="left" vertical="top" wrapText="1"/>
    </xf>
    <xf numFmtId="0" fontId="5" fillId="18" borderId="21" xfId="2" applyFont="1" applyFill="1" applyBorder="1" applyAlignment="1">
      <alignment horizontal="left" vertical="top" wrapText="1"/>
    </xf>
    <xf numFmtId="1" fontId="5" fillId="18" borderId="21" xfId="1" applyNumberFormat="1" applyFont="1" applyFill="1" applyBorder="1" applyAlignment="1">
      <alignment horizontal="center" vertical="top"/>
    </xf>
    <xf numFmtId="3" fontId="5" fillId="18" borderId="21" xfId="1" applyNumberFormat="1" applyFont="1" applyFill="1" applyBorder="1" applyAlignment="1">
      <alignment horizontal="right" vertical="top"/>
    </xf>
    <xf numFmtId="43" fontId="5" fillId="18" borderId="21" xfId="3" applyFont="1" applyFill="1" applyBorder="1" applyAlignment="1">
      <alignment horizontal="right" vertical="top"/>
    </xf>
    <xf numFmtId="3" fontId="5" fillId="18" borderId="21" xfId="3" applyNumberFormat="1" applyFont="1" applyFill="1" applyBorder="1" applyAlignment="1">
      <alignment horizontal="center" vertical="top"/>
    </xf>
    <xf numFmtId="41" fontId="5" fillId="6" borderId="21" xfId="1" applyNumberFormat="1" applyFont="1" applyFill="1" applyBorder="1" applyAlignment="1">
      <alignment horizontal="center" vertical="top"/>
    </xf>
    <xf numFmtId="187" fontId="5" fillId="6" borderId="21" xfId="1" applyNumberFormat="1" applyFont="1" applyFill="1" applyBorder="1" applyAlignment="1">
      <alignment horizontal="center" vertical="top"/>
    </xf>
    <xf numFmtId="2" fontId="5" fillId="6" borderId="21" xfId="1" applyNumberFormat="1" applyFont="1" applyFill="1" applyBorder="1" applyAlignment="1">
      <alignment horizontal="center" vertical="top"/>
    </xf>
    <xf numFmtId="43" fontId="5" fillId="6" borderId="21" xfId="1" applyFont="1" applyFill="1" applyBorder="1" applyAlignment="1">
      <alignment horizontal="center" vertical="top"/>
    </xf>
    <xf numFmtId="188" fontId="5" fillId="6" borderId="21" xfId="1" applyNumberFormat="1" applyFont="1" applyFill="1" applyBorder="1" applyAlignment="1">
      <alignment horizontal="center" vertical="top"/>
    </xf>
    <xf numFmtId="3" fontId="5" fillId="17" borderId="19" xfId="3" applyNumberFormat="1" applyFont="1" applyFill="1" applyBorder="1" applyAlignment="1">
      <alignment horizontal="left" vertical="top"/>
    </xf>
    <xf numFmtId="41" fontId="5" fillId="18" borderId="21" xfId="1" applyNumberFormat="1" applyFont="1" applyFill="1" applyBorder="1" applyAlignment="1">
      <alignment horizontal="center" vertical="top"/>
    </xf>
    <xf numFmtId="187" fontId="5" fillId="18" borderId="21" xfId="1" applyNumberFormat="1" applyFont="1" applyFill="1" applyBorder="1" applyAlignment="1">
      <alignment horizontal="center" vertical="top"/>
    </xf>
    <xf numFmtId="2" fontId="5" fillId="18" borderId="21" xfId="1" applyNumberFormat="1" applyFont="1" applyFill="1" applyBorder="1" applyAlignment="1">
      <alignment horizontal="center" vertical="top"/>
    </xf>
    <xf numFmtId="43" fontId="5" fillId="18" borderId="21" xfId="1" applyFont="1" applyFill="1" applyBorder="1" applyAlignment="1">
      <alignment horizontal="center" vertical="top"/>
    </xf>
    <xf numFmtId="188" fontId="5" fillId="18" borderId="21" xfId="1" applyNumberFormat="1" applyFont="1" applyFill="1" applyBorder="1" applyAlignment="1">
      <alignment horizontal="center" vertical="top"/>
    </xf>
    <xf numFmtId="41" fontId="5" fillId="8" borderId="21" xfId="1" applyNumberFormat="1" applyFont="1" applyFill="1" applyBorder="1" applyAlignment="1">
      <alignment horizontal="center" vertical="top"/>
    </xf>
    <xf numFmtId="187" fontId="5" fillId="8" borderId="21" xfId="1" applyNumberFormat="1" applyFont="1" applyFill="1" applyBorder="1" applyAlignment="1">
      <alignment horizontal="center" vertical="top"/>
    </xf>
    <xf numFmtId="2" fontId="5" fillId="8" borderId="21" xfId="1" applyNumberFormat="1" applyFont="1" applyFill="1" applyBorder="1" applyAlignment="1">
      <alignment horizontal="center" vertical="top"/>
    </xf>
    <xf numFmtId="43" fontId="5" fillId="8" borderId="21" xfId="1" applyFont="1" applyFill="1" applyBorder="1" applyAlignment="1">
      <alignment horizontal="center" vertical="top"/>
    </xf>
    <xf numFmtId="188" fontId="5" fillId="8" borderId="21" xfId="1" applyNumberFormat="1" applyFont="1" applyFill="1" applyBorder="1" applyAlignment="1">
      <alignment horizontal="center" vertical="top"/>
    </xf>
    <xf numFmtId="3" fontId="3" fillId="5" borderId="21" xfId="2" applyNumberFormat="1" applyFont="1" applyFill="1" applyBorder="1" applyAlignment="1">
      <alignment horizontal="center" vertical="top"/>
    </xf>
    <xf numFmtId="43" fontId="3" fillId="0" borderId="0" xfId="2" applyNumberFormat="1" applyFont="1" applyAlignment="1">
      <alignment vertical="top"/>
    </xf>
    <xf numFmtId="0" fontId="13" fillId="5" borderId="23" xfId="2" applyFont="1" applyFill="1" applyBorder="1" applyAlignment="1">
      <alignment horizontal="left" vertical="top"/>
    </xf>
    <xf numFmtId="0" fontId="13" fillId="5" borderId="21" xfId="2" applyFont="1" applyFill="1" applyBorder="1" applyAlignment="1">
      <alignment vertical="top" wrapText="1" shrinkToFit="1"/>
    </xf>
    <xf numFmtId="3" fontId="13" fillId="0" borderId="21" xfId="2" applyNumberFormat="1" applyFont="1" applyBorder="1" applyAlignment="1">
      <alignment horizontal="center" vertical="top"/>
    </xf>
    <xf numFmtId="187" fontId="13" fillId="0" borderId="21" xfId="1" applyNumberFormat="1" applyFont="1" applyFill="1" applyBorder="1" applyAlignment="1">
      <alignment horizontal="right" vertical="top"/>
    </xf>
    <xf numFmtId="189" fontId="13" fillId="0" borderId="21" xfId="2" applyNumberFormat="1" applyFont="1" applyBorder="1" applyAlignment="1">
      <alignment horizontal="center" vertical="top"/>
    </xf>
    <xf numFmtId="3" fontId="13" fillId="5" borderId="21" xfId="1" applyNumberFormat="1" applyFont="1" applyFill="1" applyBorder="1" applyAlignment="1">
      <alignment horizontal="center" vertical="top"/>
    </xf>
    <xf numFmtId="189" fontId="13" fillId="5" borderId="21" xfId="1" applyNumberFormat="1" applyFont="1" applyFill="1" applyBorder="1" applyAlignment="1">
      <alignment horizontal="center" vertical="top"/>
    </xf>
    <xf numFmtId="3" fontId="13" fillId="5" borderId="21" xfId="1" applyNumberFormat="1" applyFont="1" applyFill="1" applyBorder="1" applyAlignment="1">
      <alignment horizontal="right" vertical="top"/>
    </xf>
    <xf numFmtId="1" fontId="13" fillId="5" borderId="21" xfId="2" applyNumberFormat="1" applyFont="1" applyFill="1" applyBorder="1" applyAlignment="1">
      <alignment horizontal="center" vertical="top"/>
    </xf>
    <xf numFmtId="189" fontId="13" fillId="5" borderId="21" xfId="2" applyNumberFormat="1" applyFont="1" applyFill="1" applyBorder="1" applyAlignment="1">
      <alignment horizontal="center" vertical="top"/>
    </xf>
    <xf numFmtId="43" fontId="13" fillId="5" borderId="21" xfId="1" applyFont="1" applyFill="1" applyBorder="1" applyAlignment="1">
      <alignment horizontal="right" vertical="top"/>
    </xf>
    <xf numFmtId="3" fontId="13" fillId="5" borderId="21" xfId="2" applyNumberFormat="1" applyFont="1" applyFill="1" applyBorder="1" applyAlignment="1">
      <alignment horizontal="center" vertical="top"/>
    </xf>
    <xf numFmtId="14" fontId="13" fillId="5" borderId="21" xfId="2" applyNumberFormat="1" applyFont="1" applyFill="1" applyBorder="1" applyAlignment="1">
      <alignment horizontal="center" vertical="top"/>
    </xf>
    <xf numFmtId="3" fontId="13" fillId="5" borderId="21" xfId="2" applyNumberFormat="1" applyFont="1" applyFill="1" applyBorder="1" applyAlignment="1">
      <alignment horizontal="right" vertical="top"/>
    </xf>
    <xf numFmtId="189" fontId="13" fillId="0" borderId="21" xfId="1" applyNumberFormat="1" applyFont="1" applyFill="1" applyBorder="1" applyAlignment="1">
      <alignment horizontal="center" vertical="top"/>
    </xf>
    <xf numFmtId="3" fontId="13" fillId="0" borderId="21" xfId="1" applyNumberFormat="1" applyFont="1" applyFill="1" applyBorder="1" applyAlignment="1">
      <alignment horizontal="right" vertical="top"/>
    </xf>
    <xf numFmtId="3" fontId="13" fillId="0" borderId="21" xfId="1" applyNumberFormat="1" applyFont="1" applyFill="1" applyBorder="1" applyAlignment="1">
      <alignment horizontal="center" vertical="top"/>
    </xf>
    <xf numFmtId="43" fontId="13" fillId="5" borderId="21" xfId="3" applyFont="1" applyFill="1" applyBorder="1" applyAlignment="1">
      <alignment horizontal="right" vertical="top"/>
    </xf>
    <xf numFmtId="3" fontId="13" fillId="5" borderId="21" xfId="4" applyNumberFormat="1" applyFont="1" applyFill="1" applyBorder="1" applyAlignment="1">
      <alignment horizontal="center" vertical="top"/>
    </xf>
    <xf numFmtId="49" fontId="13" fillId="5" borderId="21" xfId="4" applyNumberFormat="1" applyFont="1" applyFill="1" applyBorder="1" applyAlignment="1">
      <alignment horizontal="center" vertical="top"/>
    </xf>
    <xf numFmtId="43" fontId="13" fillId="5" borderId="22" xfId="1" applyFont="1" applyFill="1" applyBorder="1" applyAlignment="1">
      <alignment horizontal="right" vertical="top"/>
    </xf>
    <xf numFmtId="43" fontId="13" fillId="5" borderId="23" xfId="1" applyFont="1" applyFill="1" applyBorder="1" applyAlignment="1">
      <alignment horizontal="right" vertical="top"/>
    </xf>
    <xf numFmtId="187" fontId="13" fillId="5" borderId="21" xfId="1" applyNumberFormat="1" applyFont="1" applyFill="1" applyBorder="1" applyAlignment="1">
      <alignment horizontal="right" vertical="top"/>
    </xf>
    <xf numFmtId="41" fontId="13" fillId="5" borderId="21" xfId="4" applyNumberFormat="1" applyFont="1" applyFill="1" applyBorder="1" applyAlignment="1">
      <alignment horizontal="center" vertical="top"/>
    </xf>
    <xf numFmtId="187" fontId="13" fillId="5" borderId="21" xfId="1" applyNumberFormat="1" applyFont="1" applyFill="1" applyBorder="1" applyAlignment="1">
      <alignment horizontal="center" vertical="top"/>
    </xf>
    <xf numFmtId="2" fontId="13" fillId="5" borderId="21" xfId="4" applyNumberFormat="1" applyFont="1" applyFill="1" applyBorder="1" applyAlignment="1">
      <alignment horizontal="center" vertical="top"/>
    </xf>
    <xf numFmtId="43" fontId="13" fillId="5" borderId="21" xfId="1" applyFont="1" applyFill="1" applyBorder="1" applyAlignment="1">
      <alignment horizontal="center" vertical="top"/>
    </xf>
    <xf numFmtId="188" fontId="13" fillId="5" borderId="21" xfId="1" applyNumberFormat="1" applyFont="1" applyFill="1" applyBorder="1" applyAlignment="1">
      <alignment horizontal="center" vertical="top"/>
    </xf>
    <xf numFmtId="0" fontId="13" fillId="5" borderId="0" xfId="2" applyFont="1" applyFill="1" applyAlignment="1">
      <alignment horizontal="left" vertical="top"/>
    </xf>
    <xf numFmtId="0" fontId="13" fillId="5" borderId="0" xfId="2" applyFont="1" applyFill="1" applyAlignment="1">
      <alignment vertical="top"/>
    </xf>
    <xf numFmtId="43" fontId="15" fillId="5" borderId="0" xfId="2" applyNumberFormat="1" applyFont="1" applyFill="1" applyAlignment="1">
      <alignment vertical="top"/>
    </xf>
    <xf numFmtId="0" fontId="13" fillId="0" borderId="23" xfId="2" applyFont="1" applyBorder="1" applyAlignment="1">
      <alignment horizontal="left" vertical="top"/>
    </xf>
    <xf numFmtId="0" fontId="13" fillId="0" borderId="21" xfId="2" applyFont="1" applyBorder="1" applyAlignment="1">
      <alignment vertical="top" wrapText="1" shrinkToFit="1"/>
    </xf>
    <xf numFmtId="3" fontId="13" fillId="0" borderId="21" xfId="2" applyNumberFormat="1" applyFont="1" applyBorder="1" applyAlignment="1">
      <alignment horizontal="right" vertical="top"/>
    </xf>
    <xf numFmtId="49" fontId="13" fillId="0" borderId="21" xfId="4" applyNumberFormat="1" applyFont="1" applyFill="1" applyBorder="1" applyAlignment="1">
      <alignment horizontal="center" vertical="top"/>
    </xf>
    <xf numFmtId="3" fontId="13" fillId="0" borderId="21" xfId="4" applyNumberFormat="1" applyFont="1" applyFill="1" applyBorder="1" applyAlignment="1">
      <alignment horizontal="center" vertical="top"/>
    </xf>
    <xf numFmtId="41" fontId="13" fillId="0" borderId="21" xfId="4" applyNumberFormat="1" applyFont="1" applyFill="1" applyBorder="1" applyAlignment="1">
      <alignment horizontal="center" vertical="top"/>
    </xf>
    <xf numFmtId="187" fontId="13" fillId="0" borderId="21" xfId="1" applyNumberFormat="1" applyFont="1" applyFill="1" applyBorder="1" applyAlignment="1">
      <alignment horizontal="center" vertical="top"/>
    </xf>
    <xf numFmtId="2" fontId="13" fillId="0" borderId="21" xfId="4" applyNumberFormat="1" applyFont="1" applyFill="1" applyBorder="1" applyAlignment="1">
      <alignment horizontal="center" vertical="top"/>
    </xf>
    <xf numFmtId="43" fontId="13" fillId="0" borderId="21" xfId="1" applyFont="1" applyFill="1" applyBorder="1" applyAlignment="1">
      <alignment horizontal="center" vertical="top"/>
    </xf>
    <xf numFmtId="188" fontId="13" fillId="0" borderId="21" xfId="1" applyNumberFormat="1" applyFont="1" applyFill="1" applyBorder="1" applyAlignment="1">
      <alignment horizontal="center" vertical="top"/>
    </xf>
    <xf numFmtId="0" fontId="13" fillId="0" borderId="0" xfId="2" applyFont="1" applyAlignment="1">
      <alignment horizontal="left" vertical="top"/>
    </xf>
    <xf numFmtId="0" fontId="13" fillId="0" borderId="0" xfId="2" applyFont="1" applyAlignment="1">
      <alignment vertical="top"/>
    </xf>
    <xf numFmtId="43" fontId="15" fillId="0" borderId="0" xfId="2" applyNumberFormat="1" applyFont="1" applyAlignment="1">
      <alignment vertical="top"/>
    </xf>
    <xf numFmtId="0" fontId="3" fillId="21" borderId="23" xfId="2" applyFont="1" applyFill="1" applyBorder="1" applyAlignment="1">
      <alignment horizontal="left" vertical="top"/>
    </xf>
    <xf numFmtId="0" fontId="3" fillId="0" borderId="21" xfId="2" applyFont="1" applyBorder="1" applyAlignment="1">
      <alignment horizontal="left" vertical="top" wrapText="1"/>
    </xf>
    <xf numFmtId="1" fontId="13" fillId="0" borderId="21" xfId="2" applyNumberFormat="1" applyFont="1" applyBorder="1" applyAlignment="1">
      <alignment horizontal="center" vertical="top"/>
    </xf>
    <xf numFmtId="14" fontId="13" fillId="0" borderId="21" xfId="2" applyNumberFormat="1" applyFont="1" applyBorder="1" applyAlignment="1">
      <alignment horizontal="center" vertical="top"/>
    </xf>
    <xf numFmtId="189" fontId="3" fillId="5" borderId="21" xfId="2" applyNumberFormat="1" applyFont="1" applyFill="1" applyBorder="1" applyAlignment="1">
      <alignment horizontal="center" vertical="top"/>
    </xf>
    <xf numFmtId="187" fontId="3" fillId="5" borderId="21" xfId="1" applyNumberFormat="1" applyFont="1" applyFill="1" applyBorder="1" applyAlignment="1">
      <alignment horizontal="right" vertical="top"/>
    </xf>
    <xf numFmtId="43" fontId="3" fillId="5" borderId="21" xfId="1" applyFont="1" applyFill="1" applyBorder="1" applyAlignment="1">
      <alignment horizontal="right" vertical="top"/>
    </xf>
    <xf numFmtId="3" fontId="3" fillId="5" borderId="21" xfId="1" applyNumberFormat="1" applyFont="1" applyFill="1" applyBorder="1" applyAlignment="1">
      <alignment horizontal="center" vertical="top"/>
    </xf>
    <xf numFmtId="189" fontId="3" fillId="5" borderId="21" xfId="1" applyNumberFormat="1" applyFont="1" applyFill="1" applyBorder="1" applyAlignment="1">
      <alignment horizontal="center" vertical="top"/>
    </xf>
    <xf numFmtId="3" fontId="3" fillId="5" borderId="21" xfId="1" applyNumberFormat="1" applyFont="1" applyFill="1" applyBorder="1" applyAlignment="1">
      <alignment horizontal="right" vertical="top"/>
    </xf>
    <xf numFmtId="1" fontId="3" fillId="5" borderId="21" xfId="2" applyNumberFormat="1" applyFont="1" applyFill="1" applyBorder="1" applyAlignment="1">
      <alignment horizontal="center" vertical="top"/>
    </xf>
    <xf numFmtId="14" fontId="3" fillId="5" borderId="21" xfId="2" applyNumberFormat="1" applyFont="1" applyFill="1" applyBorder="1" applyAlignment="1">
      <alignment horizontal="center" vertical="top"/>
    </xf>
    <xf numFmtId="3" fontId="3" fillId="5" borderId="21" xfId="2" applyNumberFormat="1" applyFont="1" applyFill="1" applyBorder="1" applyAlignment="1">
      <alignment horizontal="right" vertical="top"/>
    </xf>
    <xf numFmtId="43" fontId="13" fillId="20" borderId="21" xfId="1" applyFont="1" applyFill="1" applyBorder="1" applyAlignment="1">
      <alignment horizontal="center" vertical="top"/>
    </xf>
    <xf numFmtId="0" fontId="5" fillId="19" borderId="21" xfId="2" applyFont="1" applyFill="1" applyBorder="1" applyAlignment="1">
      <alignment horizontal="left" vertical="top"/>
    </xf>
    <xf numFmtId="1" fontId="5" fillId="19" borderId="21" xfId="2" applyNumberFormat="1" applyFont="1" applyFill="1" applyBorder="1" applyAlignment="1">
      <alignment horizontal="center" vertical="top"/>
    </xf>
    <xf numFmtId="3" fontId="5" fillId="19" borderId="21" xfId="2" applyNumberFormat="1" applyFont="1" applyFill="1" applyBorder="1" applyAlignment="1">
      <alignment horizontal="right" vertical="top"/>
    </xf>
    <xf numFmtId="189" fontId="5" fillId="19" borderId="21" xfId="2" applyNumberFormat="1" applyFont="1" applyFill="1" applyBorder="1" applyAlignment="1">
      <alignment horizontal="center" vertical="top"/>
    </xf>
    <xf numFmtId="3" fontId="5" fillId="19" borderId="19" xfId="3" applyNumberFormat="1" applyFont="1" applyFill="1" applyBorder="1" applyAlignment="1">
      <alignment horizontal="left" vertical="top"/>
    </xf>
    <xf numFmtId="41" fontId="5" fillId="19" borderId="21" xfId="1" applyNumberFormat="1" applyFont="1" applyFill="1" applyBorder="1" applyAlignment="1">
      <alignment horizontal="center" vertical="top"/>
    </xf>
    <xf numFmtId="187" fontId="5" fillId="19" borderId="21" xfId="1" applyNumberFormat="1" applyFont="1" applyFill="1" applyBorder="1" applyAlignment="1">
      <alignment horizontal="center" vertical="top"/>
    </xf>
    <xf numFmtId="2" fontId="5" fillId="19" borderId="21" xfId="1" applyNumberFormat="1" applyFont="1" applyFill="1" applyBorder="1" applyAlignment="1">
      <alignment horizontal="center" vertical="top"/>
    </xf>
    <xf numFmtId="43" fontId="5" fillId="19" borderId="21" xfId="1" applyFont="1" applyFill="1" applyBorder="1" applyAlignment="1">
      <alignment horizontal="center" vertical="top"/>
    </xf>
    <xf numFmtId="188" fontId="5" fillId="19" borderId="21" xfId="1" applyNumberFormat="1" applyFont="1" applyFill="1" applyBorder="1" applyAlignment="1">
      <alignment horizontal="center" vertical="top"/>
    </xf>
    <xf numFmtId="0" fontId="5" fillId="19" borderId="0" xfId="2" applyFont="1" applyFill="1" applyAlignment="1">
      <alignment horizontal="left" vertical="top"/>
    </xf>
    <xf numFmtId="0" fontId="3" fillId="19" borderId="0" xfId="2" applyFont="1" applyFill="1" applyAlignment="1">
      <alignment vertical="top"/>
    </xf>
    <xf numFmtId="43" fontId="14" fillId="19" borderId="0" xfId="2" applyNumberFormat="1" applyFont="1" applyFill="1" applyAlignment="1">
      <alignment vertical="top"/>
    </xf>
    <xf numFmtId="41" fontId="5" fillId="8" borderId="21" xfId="1" applyNumberFormat="1" applyFont="1" applyFill="1" applyBorder="1" applyAlignment="1">
      <alignment horizontal="right" vertical="top"/>
    </xf>
    <xf numFmtId="187" fontId="5" fillId="8" borderId="21" xfId="1" applyNumberFormat="1" applyFont="1" applyFill="1" applyBorder="1" applyAlignment="1">
      <alignment horizontal="right" vertical="top"/>
    </xf>
    <xf numFmtId="43" fontId="3" fillId="20" borderId="21" xfId="1" applyFont="1" applyFill="1" applyBorder="1" applyAlignment="1">
      <alignment horizontal="right" vertical="top"/>
    </xf>
    <xf numFmtId="0" fontId="13" fillId="0" borderId="21" xfId="2" applyFont="1" applyBorder="1" applyAlignment="1">
      <alignment horizontal="left" vertical="top" wrapText="1"/>
    </xf>
    <xf numFmtId="43" fontId="13" fillId="0" borderId="21" xfId="3" applyFont="1" applyFill="1" applyBorder="1" applyAlignment="1">
      <alignment horizontal="right" vertical="top"/>
    </xf>
    <xf numFmtId="43" fontId="13" fillId="0" borderId="22" xfId="1" applyFont="1" applyFill="1" applyBorder="1" applyAlignment="1">
      <alignment horizontal="right" vertical="top"/>
    </xf>
    <xf numFmtId="43" fontId="13" fillId="0" borderId="23" xfId="1" applyFont="1" applyFill="1" applyBorder="1" applyAlignment="1">
      <alignment horizontal="right" vertical="top"/>
    </xf>
    <xf numFmtId="43" fontId="13" fillId="22" borderId="21" xfId="1" applyFont="1" applyFill="1" applyBorder="1" applyAlignment="1">
      <alignment horizontal="right" vertical="top"/>
    </xf>
    <xf numFmtId="3" fontId="3" fillId="0" borderId="21" xfId="4" applyNumberFormat="1" applyFont="1" applyFill="1" applyBorder="1" applyAlignment="1">
      <alignment horizontal="left" vertical="top" wrapText="1"/>
    </xf>
    <xf numFmtId="2" fontId="3" fillId="5" borderId="21" xfId="4" applyNumberFormat="1" applyFont="1" applyFill="1" applyBorder="1" applyAlignment="1">
      <alignment horizontal="center" vertical="top"/>
    </xf>
    <xf numFmtId="3" fontId="3" fillId="5" borderId="21" xfId="4" applyNumberFormat="1" applyFont="1" applyFill="1" applyBorder="1" applyAlignment="1">
      <alignment horizontal="center" vertical="top"/>
    </xf>
    <xf numFmtId="43" fontId="3" fillId="5" borderId="21" xfId="1" applyFont="1" applyFill="1" applyBorder="1" applyAlignment="1">
      <alignment horizontal="center" vertical="top"/>
    </xf>
    <xf numFmtId="188" fontId="3" fillId="5" borderId="21" xfId="1" applyNumberFormat="1" applyFont="1" applyFill="1" applyBorder="1" applyAlignment="1">
      <alignment horizontal="center" vertical="top"/>
    </xf>
    <xf numFmtId="187" fontId="3" fillId="0" borderId="24" xfId="1" applyNumberFormat="1" applyFont="1" applyFill="1" applyBorder="1" applyAlignment="1">
      <alignment horizontal="right" vertical="top"/>
    </xf>
    <xf numFmtId="0" fontId="3" fillId="18" borderId="23" xfId="2" applyFont="1" applyFill="1" applyBorder="1" applyAlignment="1">
      <alignment horizontal="left" vertical="top"/>
    </xf>
    <xf numFmtId="0" fontId="3" fillId="0" borderId="25" xfId="2" applyFont="1" applyBorder="1" applyAlignment="1">
      <alignment horizontal="left" vertical="top"/>
    </xf>
    <xf numFmtId="0" fontId="3" fillId="0" borderId="26" xfId="2" applyFont="1" applyBorder="1" applyAlignment="1">
      <alignment vertical="top" wrapText="1" shrinkToFit="1"/>
    </xf>
    <xf numFmtId="3" fontId="3" fillId="0" borderId="26" xfId="2" applyNumberFormat="1" applyFont="1" applyBorder="1" applyAlignment="1">
      <alignment horizontal="center" vertical="top"/>
    </xf>
    <xf numFmtId="187" fontId="3" fillId="0" borderId="26" xfId="1" applyNumberFormat="1" applyFont="1" applyBorder="1" applyAlignment="1">
      <alignment horizontal="right" vertical="top"/>
    </xf>
    <xf numFmtId="189" fontId="3" fillId="0" borderId="26" xfId="2" applyNumberFormat="1" applyFont="1" applyBorder="1" applyAlignment="1">
      <alignment horizontal="center" vertical="top"/>
    </xf>
    <xf numFmtId="43" fontId="3" fillId="0" borderId="26" xfId="1" applyFont="1" applyBorder="1" applyAlignment="1">
      <alignment horizontal="right" vertical="top"/>
    </xf>
    <xf numFmtId="3" fontId="3" fillId="0" borderId="26" xfId="1" applyNumberFormat="1" applyFont="1" applyBorder="1" applyAlignment="1">
      <alignment horizontal="center" vertical="top"/>
    </xf>
    <xf numFmtId="189" fontId="3" fillId="0" borderId="26" xfId="1" applyNumberFormat="1" applyFont="1" applyBorder="1" applyAlignment="1">
      <alignment horizontal="center" vertical="top"/>
    </xf>
    <xf numFmtId="3" fontId="3" fillId="0" borderId="26" xfId="1" applyNumberFormat="1" applyFont="1" applyBorder="1" applyAlignment="1">
      <alignment horizontal="right" vertical="top"/>
    </xf>
    <xf numFmtId="1" fontId="3" fillId="0" borderId="26" xfId="2" applyNumberFormat="1" applyFont="1" applyBorder="1" applyAlignment="1">
      <alignment horizontal="center" vertical="top"/>
    </xf>
    <xf numFmtId="14" fontId="3" fillId="0" borderId="26" xfId="2" applyNumberFormat="1" applyFont="1" applyBorder="1" applyAlignment="1">
      <alignment horizontal="center" vertical="top"/>
    </xf>
    <xf numFmtId="43" fontId="12" fillId="0" borderId="26" xfId="1" applyFont="1" applyBorder="1" applyAlignment="1">
      <alignment horizontal="right" vertical="top"/>
    </xf>
    <xf numFmtId="43" fontId="3" fillId="0" borderId="26" xfId="1" applyFont="1" applyFill="1" applyBorder="1" applyAlignment="1">
      <alignment horizontal="right" vertical="top"/>
    </xf>
    <xf numFmtId="43" fontId="13" fillId="0" borderId="26" xfId="1" applyFont="1" applyBorder="1" applyAlignment="1">
      <alignment horizontal="right" vertical="top"/>
    </xf>
    <xf numFmtId="43" fontId="3" fillId="0" borderId="26" xfId="3" applyFont="1" applyBorder="1" applyAlignment="1">
      <alignment horizontal="right" vertical="top"/>
    </xf>
    <xf numFmtId="3" fontId="3" fillId="0" borderId="26" xfId="4" applyNumberFormat="1" applyFont="1" applyBorder="1" applyAlignment="1">
      <alignment horizontal="center" vertical="top"/>
    </xf>
    <xf numFmtId="43" fontId="3" fillId="0" borderId="27" xfId="1" applyFont="1" applyBorder="1" applyAlignment="1">
      <alignment horizontal="right" vertical="top"/>
    </xf>
    <xf numFmtId="43" fontId="3" fillId="0" borderId="25" xfId="1" applyFont="1" applyBorder="1" applyAlignment="1">
      <alignment horizontal="right" vertical="top"/>
    </xf>
    <xf numFmtId="43" fontId="3" fillId="0" borderId="28" xfId="1" applyFont="1" applyBorder="1" applyAlignment="1">
      <alignment horizontal="right" vertical="top"/>
    </xf>
    <xf numFmtId="41" fontId="3" fillId="0" borderId="21" xfId="4" applyNumberFormat="1" applyFont="1" applyBorder="1" applyAlignment="1">
      <alignment horizontal="center" vertical="top"/>
    </xf>
    <xf numFmtId="187" fontId="3" fillId="0" borderId="21" xfId="1" applyNumberFormat="1" applyFont="1" applyBorder="1" applyAlignment="1">
      <alignment horizontal="center" vertical="top"/>
    </xf>
    <xf numFmtId="2" fontId="3" fillId="0" borderId="21" xfId="4" applyNumberFormat="1" applyFont="1" applyBorder="1" applyAlignment="1">
      <alignment horizontal="center" vertical="top"/>
    </xf>
    <xf numFmtId="3" fontId="3" fillId="0" borderId="21" xfId="4" applyNumberFormat="1" applyFont="1" applyBorder="1" applyAlignment="1">
      <alignment horizontal="center" vertical="top"/>
    </xf>
    <xf numFmtId="43" fontId="3" fillId="0" borderId="21" xfId="1" applyFont="1" applyBorder="1" applyAlignment="1">
      <alignment horizontal="center" vertical="top"/>
    </xf>
    <xf numFmtId="188" fontId="3" fillId="0" borderId="21" xfId="1" applyNumberFormat="1" applyFont="1" applyBorder="1" applyAlignment="1">
      <alignment horizontal="center" vertical="top"/>
    </xf>
    <xf numFmtId="2" fontId="3" fillId="0" borderId="21" xfId="1" applyNumberFormat="1" applyFont="1" applyBorder="1" applyAlignment="1">
      <alignment horizontal="center" vertical="top"/>
    </xf>
    <xf numFmtId="3" fontId="3" fillId="0" borderId="0" xfId="2" applyNumberFormat="1" applyFont="1"/>
    <xf numFmtId="0" fontId="3" fillId="0" borderId="0" xfId="2" applyFont="1" applyAlignment="1">
      <alignment horizontal="center"/>
    </xf>
    <xf numFmtId="14" fontId="3" fillId="0" borderId="0" xfId="2" applyNumberFormat="1" applyFont="1" applyAlignment="1">
      <alignment horizontal="center"/>
    </xf>
    <xf numFmtId="43" fontId="3" fillId="0" borderId="0" xfId="1" applyFont="1" applyAlignment="1">
      <alignment horizontal="right"/>
    </xf>
    <xf numFmtId="1" fontId="3" fillId="0" borderId="0" xfId="1" applyNumberFormat="1" applyFont="1" applyAlignment="1">
      <alignment horizontal="center"/>
    </xf>
    <xf numFmtId="189" fontId="3" fillId="0" borderId="0" xfId="1" applyNumberFormat="1" applyFont="1" applyAlignment="1">
      <alignment horizontal="center"/>
    </xf>
    <xf numFmtId="3" fontId="3" fillId="0" borderId="0" xfId="1" applyNumberFormat="1" applyFont="1" applyAlignment="1">
      <alignment horizontal="right"/>
    </xf>
    <xf numFmtId="1" fontId="3" fillId="0" borderId="0" xfId="2" applyNumberFormat="1" applyFont="1" applyAlignment="1">
      <alignment horizontal="center"/>
    </xf>
    <xf numFmtId="189" fontId="3" fillId="0" borderId="0" xfId="2" applyNumberFormat="1" applyFont="1" applyAlignment="1">
      <alignment horizontal="center"/>
    </xf>
    <xf numFmtId="3" fontId="3" fillId="0" borderId="0" xfId="2" applyNumberFormat="1" applyFont="1" applyAlignment="1">
      <alignment horizontal="right"/>
    </xf>
    <xf numFmtId="43" fontId="12" fillId="0" borderId="0" xfId="1" applyFont="1" applyAlignment="1">
      <alignment horizontal="right"/>
    </xf>
    <xf numFmtId="43" fontId="3" fillId="5" borderId="0" xfId="1" applyFont="1" applyFill="1" applyAlignment="1">
      <alignment horizontal="right"/>
    </xf>
    <xf numFmtId="43" fontId="13" fillId="0" borderId="0" xfId="1" applyFont="1" applyAlignment="1">
      <alignment horizontal="right"/>
    </xf>
    <xf numFmtId="43" fontId="3" fillId="0" borderId="0" xfId="3" applyFont="1" applyAlignment="1">
      <alignment horizontal="right"/>
    </xf>
    <xf numFmtId="3" fontId="3" fillId="0" borderId="0" xfId="3" applyNumberFormat="1" applyFont="1" applyAlignment="1">
      <alignment horizontal="center"/>
    </xf>
    <xf numFmtId="0" fontId="3" fillId="0" borderId="0" xfId="2" applyFont="1" applyAlignment="1">
      <alignment horizontal="left" wrapText="1"/>
    </xf>
    <xf numFmtId="0" fontId="5" fillId="0" borderId="0" xfId="2" applyFont="1" applyAlignment="1">
      <alignment horizontal="right" wrapText="1"/>
    </xf>
    <xf numFmtId="3" fontId="5" fillId="0" borderId="0" xfId="2" applyNumberFormat="1" applyFont="1"/>
    <xf numFmtId="187" fontId="5" fillId="0" borderId="0" xfId="1" applyNumberFormat="1" applyFont="1" applyAlignment="1">
      <alignment horizontal="right"/>
    </xf>
    <xf numFmtId="43" fontId="3" fillId="23" borderId="0" xfId="1" applyFont="1" applyFill="1" applyAlignment="1">
      <alignment horizontal="right"/>
    </xf>
    <xf numFmtId="49" fontId="3" fillId="0" borderId="0" xfId="3" applyNumberFormat="1" applyFont="1" applyAlignment="1">
      <alignment horizontal="center"/>
    </xf>
    <xf numFmtId="0" fontId="5" fillId="0" borderId="0" xfId="2" applyFont="1" applyAlignment="1">
      <alignment horizontal="left" wrapText="1"/>
    </xf>
    <xf numFmtId="0" fontId="5" fillId="0" borderId="0" xfId="2" applyFont="1" applyAlignment="1">
      <alignment horizontal="left"/>
    </xf>
    <xf numFmtId="0" fontId="5" fillId="0" borderId="0" xfId="2" applyFont="1" applyAlignment="1">
      <alignment wrapText="1"/>
    </xf>
    <xf numFmtId="0" fontId="5" fillId="0" borderId="0" xfId="2" applyFont="1"/>
    <xf numFmtId="14" fontId="5" fillId="0" borderId="0" xfId="2" applyNumberFormat="1" applyFont="1" applyAlignment="1">
      <alignment horizontal="center"/>
    </xf>
    <xf numFmtId="3" fontId="5" fillId="0" borderId="0" xfId="3" applyNumberFormat="1" applyFont="1" applyAlignment="1">
      <alignment horizontal="center"/>
    </xf>
    <xf numFmtId="49" fontId="5" fillId="0" borderId="0" xfId="3" applyNumberFormat="1" applyFont="1" applyAlignment="1">
      <alignment horizontal="center"/>
    </xf>
    <xf numFmtId="187" fontId="5" fillId="0" borderId="0" xfId="1" applyNumberFormat="1" applyFont="1"/>
    <xf numFmtId="0" fontId="3" fillId="0" borderId="0" xfId="2" applyFont="1" applyAlignment="1">
      <alignment wrapText="1"/>
    </xf>
    <xf numFmtId="43" fontId="3" fillId="0" borderId="0" xfId="3" applyFont="1" applyFill="1" applyAlignment="1">
      <alignment horizontal="right"/>
    </xf>
  </cellXfs>
  <cellStyles count="5">
    <cellStyle name="Comma" xfId="1" builtinId="3"/>
    <cellStyle name="Comma 2 2" xfId="4" xr:uid="{4F8A5560-CEC0-448B-92D2-9BEFC9540DCF}"/>
    <cellStyle name="Normal" xfId="0" builtinId="0"/>
    <cellStyle name="เครื่องหมายจุลภาค 3 2 2" xfId="3" xr:uid="{1918A173-BC82-49A8-834B-4185B58A804B}"/>
    <cellStyle name="ปกติ 4" xfId="2" xr:uid="{6E1604B6-B7F9-42AD-9091-5D2414C9507E}"/>
  </cellStyles>
  <dxfs count="79"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all-pc\Downloads\&#3586;&#3657;&#3629;&#3617;&#3641;&#3621;%20&#3603;%2014%20&#3585;.&#3588;.%2068.xlsx" TargetMode="External"/><Relationship Id="rId1" Type="http://schemas.openxmlformats.org/officeDocument/2006/relationships/externalLinkPath" Target="file:///C:\Users\ball-pc\Downloads\&#3586;&#3657;&#3629;&#3617;&#3641;&#3621;%20&#3603;%2014%20&#3585;.&#3588;.%206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3611;&#3599;&#3636;&#3610;&#3633;&#3605;&#3636;&#3585;&#3634;&#3619;-3\My%20Documents\Chat\&#3586;&#3629;&#3629;&#3609;&#3640;&#3597;&#3634;&#3605;&#3651;&#3594;&#3657;&#3614;&#3607;.&#3611;&#3656;&#3634;\REPOR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tthichai\data\E-Links\links-form\Form-comm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3611;&#3599;&#3636;&#3610;&#3633;&#3605;&#3636;&#3585;&#3634;&#3619;-3\My%20Documents\adb\spar&#3585;&#3619;&#3617;\money4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3\driveC%20COM3\&#3586;&#3609;&#3634;&#3604;&#3585;&#3621;&#3634;&#3591;\&#3611;&#3619;&#3632;&#3617;&#3634;&#3603;&#3585;&#3634;&#3619;\&#3649;&#3617;&#3656;&#3611;&#3619;&#3632;&#3592;&#3633;&#3609;&#3605;&#3660;\&#3611;&#3617;&#3585;.&#3607;&#3640;&#3656;&#3591;&#3648;&#3588;&#3621;&#3655;&#3604;&#3585;&#3621;&#3640;&#3656;&#3617;3\&#3611;&#3617;&#3585;.%20&#3627;&#3657;&#3623;&#3618;&#3614;&#3640;&#3648;&#3586;&#3655;&#3617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3\driveC%20COM3\&#3586;&#3609;&#3634;&#3604;&#3585;&#3621;&#3634;&#3591;\&#3611;&#3619;&#3632;&#3617;&#3634;&#3603;&#3585;&#3634;&#3619;\&#3649;&#3617;&#3656;&#3611;&#3619;&#3632;&#3592;&#3633;&#3609;&#3605;&#3660;\&#3611;&#3617;&#3585;.&#3629;&#3657;&#3634;&#3618;&#3649;&#3604;&#3591;&#3585;&#3621;&#3640;&#3656;&#3617;2\&#3611;&#3617;&#3585;.&#3607;&#3656;&#3634;&#3648;&#3626;&#3621;&#3634;&#3585;&#3621;&#3640;&#3656;&#3617;3\&#3611;&#3617;&#3585;&#3607;&#3656;&#3634;&#3648;&#3626;&#3621;&#3634;&#3592;&#3657;&#3634;&#3591;&#3648;&#3627;&#3617;&#3634;&#3607;&#3633;&#3657;&#3591;&#3627;&#3617;&#3604;&#3611;&#3637;4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&#3586;&#3657;&#3629;&#3617;&#3641;&#3621;&#3607;&#3633;&#3656;&#3623;&#3652;&#3611;/&#3649;&#3612;&#3609;&#3591;&#3634;&#3609;&#3649;&#3621;&#3632;&#3591;&#3610;&#3611;&#3619;&#3632;&#3617;&#3634;&#3603;/&#3649;&#3612;&#3609;&#3591;&#3634;&#3609;/2557/&#3605;&#3634;&#3619;&#3634;&#3591;&#3649;&#3612;&#3609;5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3\driveC%20COM3\&#3586;&#3609;&#3634;&#3604;&#3585;&#3621;&#3634;&#3591;\&#3611;&#3619;&#3632;&#3617;&#3634;&#3603;&#3585;&#3634;&#3619;\&#3649;&#3617;&#3656;&#3611;&#3619;&#3632;&#3592;&#3633;&#3609;&#3605;&#3660;\&#3611;&#3617;&#3585;.&#3629;&#3657;&#3634;&#3618;&#3649;&#3604;&#3591;&#3585;&#3621;&#3640;&#3656;&#3617;2\&#3611;&#3617;&#3585;.&#3607;&#3656;&#3634;&#3648;&#3626;&#3621;&#3634;&#3585;&#3621;&#3640;&#3656;&#3617;3\&#3611;&#3617;&#3585;&#3607;&#3656;&#3634;&#3648;&#3626;&#3621;&#3634;&#3592;&#3657;&#3634;&#3591;&#3648;&#3627;&#3617;&#3634;&#3607;&#3633;&#3657;&#3591;&#3627;&#3617;&#3604;&#3611;&#3637;45&#3619;&#3634;&#3588;&#3634;&#3651;&#3627;&#3617;&#3656;&#3605;.&#3588;.4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สรุปประชุม"/>
      <sheetName val="สชป.1-17"/>
      <sheetName val="คป.เชียงราย"/>
      <sheetName val="กราฟโครงการ"/>
      <sheetName val="จ้างแรงงาน"/>
      <sheetName val="แผน"/>
      <sheetName val="cash flow โครงการ"/>
      <sheetName val="Sheet1"/>
      <sheetName val="ภาพรวม"/>
      <sheetName val="เป้าหมาย"/>
      <sheetName val="cash flow"/>
      <sheetName val="cashflowไตรมาส"/>
      <sheetName val="สรุปพ.ร.บ."/>
      <sheetName val="พรบ.(โครงการ)"/>
      <sheetName val="สรุป(online)"/>
      <sheetName val="แผนใหญ่"/>
      <sheetName val="สรุปแผน"/>
      <sheetName val="พรบ"/>
      <sheetName val="300"/>
      <sheetName val="900"/>
      <sheetName val="เหลื่อมปี67"/>
      <sheetName val="งานฝาก"/>
      <sheetName val="ลงทุน"/>
      <sheetName val="งบอุดหนุน"/>
      <sheetName val="กราฟ"/>
      <sheetName val="สรุปงบกลาง"/>
      <sheetName val="งบกลาง"/>
      <sheetName val="กปร68"/>
      <sheetName val="ค่าK"/>
      <sheetName val="เงินทุนหมุนเวียน"/>
      <sheetName val="450"/>
      <sheetName val="งบจังหวัด"/>
      <sheetName val="แผนเหลื่อมปี"/>
      <sheetName val="กราฟเหลื่อมปี"/>
      <sheetName val="สรุปกันเหลื่อมปี"/>
      <sheetName val="เหลื่อมปีโครงการ"/>
      <sheetName val="รหัสลุ่มน้ำ"/>
      <sheetName val="สรุปผลการ"/>
      <sheetName val="ชื่อแผน"/>
      <sheetName val="ชื่อคป."/>
      <sheetName val="index (2)"/>
      <sheetName val="index"/>
      <sheetName val="วาระที่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ผ1-ผ2 (2538)"/>
      <sheetName val="กต.ผง.51-2"/>
      <sheetName val="กต.ผง.51-2 (2)"/>
      <sheetName val="กันเหลื่อม,กันขยาย"/>
      <sheetName val="รูปตัดดินขุด"/>
      <sheetName val="unit-cost"/>
      <sheetName val="เข็มพืด(กส.)"/>
      <sheetName val="คอนกรีต SW"/>
      <sheetName val="ดินขุดML"/>
      <sheetName val="ดินขุดM1R"/>
      <sheetName val="ผ1-ผ2_(2538)"/>
      <sheetName val="กต_ผง_51-2"/>
      <sheetName val="กต_ผง_51-2_(2)"/>
      <sheetName val="รูปตัด-สูบน้ำ(ระหว่าง)"/>
      <sheetName val="12.ภาค"/>
      <sheetName val="10.ลักษณะงาน"/>
      <sheetName val="9.ประเภทงาน"/>
      <sheetName val="8.ผลผลิตโครงการ"/>
      <sheetName val="7.ยุทธศาสตร์"/>
      <sheetName val="4.จังหวัด"/>
      <sheetName val="3.อำเภอ"/>
      <sheetName val="2.ตำบล"/>
      <sheetName val="1.สำนัก-กอง"/>
      <sheetName val="16.สถานะดำเนินการ"/>
      <sheetName val="25.ความจำเป็นของการดำเนินการ"/>
      <sheetName val="6.ลุ่มน้ำย่อย"/>
      <sheetName val="26.หน่วยงานรับผิดชอบ"/>
      <sheetName val="ปลูกหญ้า"/>
      <sheetName val="SECTION"/>
      <sheetName val="ผ1-ผ2_(2538)1"/>
      <sheetName val="กต_ผง_51-21"/>
      <sheetName val="กต_ผง_51-2_(2)1"/>
      <sheetName val="เข็มพืด(กส_)"/>
      <sheetName val="คอนกรีต_SW"/>
      <sheetName val="12_ภาค"/>
      <sheetName val="10_ลักษณะงาน"/>
      <sheetName val="9_ประเภทงาน"/>
      <sheetName val="8_ผลผลิตโครงการ"/>
      <sheetName val="7_ยุทธศาสตร์"/>
      <sheetName val="4_จังหวัด"/>
      <sheetName val="3_อำเภอ"/>
      <sheetName val="2_ตำบล"/>
      <sheetName val="1_สำนัก-กอง"/>
      <sheetName val="16_สถานะดำเนินการ"/>
      <sheetName val="25_ความจำเป็นของการดำเนินการ"/>
      <sheetName val="6_ลุ่มน้ำย่อย"/>
      <sheetName val="26_หน่วยงานรับผิดชอบ"/>
      <sheetName val="ผ1-ผ2_(2538)4"/>
      <sheetName val="กต_ผง_51-24"/>
      <sheetName val="กต_ผง_51-2_(2)4"/>
      <sheetName val="เข็มพืด(กส_)3"/>
      <sheetName val="คอนกรีต_SW3"/>
      <sheetName val="12_ภาค3"/>
      <sheetName val="10_ลักษณะงาน3"/>
      <sheetName val="9_ประเภทงาน3"/>
      <sheetName val="8_ผลผลิตโครงการ3"/>
      <sheetName val="7_ยุทธศาสตร์3"/>
      <sheetName val="4_จังหวัด3"/>
      <sheetName val="3_อำเภอ3"/>
      <sheetName val="2_ตำบล3"/>
      <sheetName val="1_สำนัก-กอง3"/>
      <sheetName val="16_สถานะดำเนินการ3"/>
      <sheetName val="25_ความจำเป็นของการดำเนินการ3"/>
      <sheetName val="6_ลุ่มน้ำย่อย3"/>
      <sheetName val="26_หน่วยงานรับผิดชอบ3"/>
      <sheetName val="ผ1-ผ2_(2538)2"/>
      <sheetName val="กต_ผง_51-22"/>
      <sheetName val="กต_ผง_51-2_(2)2"/>
      <sheetName val="เข็มพืด(กส_)1"/>
      <sheetName val="คอนกรีต_SW1"/>
      <sheetName val="12_ภาค1"/>
      <sheetName val="10_ลักษณะงาน1"/>
      <sheetName val="9_ประเภทงาน1"/>
      <sheetName val="8_ผลผลิตโครงการ1"/>
      <sheetName val="7_ยุทธศาสตร์1"/>
      <sheetName val="4_จังหวัด1"/>
      <sheetName val="3_อำเภอ1"/>
      <sheetName val="2_ตำบล1"/>
      <sheetName val="1_สำนัก-กอง1"/>
      <sheetName val="16_สถานะดำเนินการ1"/>
      <sheetName val="25_ความจำเป็นของการดำเนินการ1"/>
      <sheetName val="6_ลุ่มน้ำย่อย1"/>
      <sheetName val="26_หน่วยงานรับผิดชอบ1"/>
      <sheetName val="ผ1-ผ2_(2538)3"/>
      <sheetName val="กต_ผง_51-23"/>
      <sheetName val="กต_ผง_51-2_(2)3"/>
      <sheetName val="เข็มพืด(กส_)2"/>
      <sheetName val="คอนกรีต_SW2"/>
      <sheetName val="12_ภาค2"/>
      <sheetName val="10_ลักษณะงาน2"/>
      <sheetName val="9_ประเภทงาน2"/>
      <sheetName val="8_ผลผลิตโครงการ2"/>
      <sheetName val="7_ยุทธศาสตร์2"/>
      <sheetName val="4_จังหวัด2"/>
      <sheetName val="3_อำเภอ2"/>
      <sheetName val="2_ตำบล2"/>
      <sheetName val="1_สำนัก-กอง2"/>
      <sheetName val="16_สถานะดำเนินการ2"/>
      <sheetName val="25_ความจำเป็นของการดำเนินการ2"/>
      <sheetName val="6_ลุ่มน้ำย่อย2"/>
      <sheetName val="26_หน่วยงานรับผิดชอบ2"/>
      <sheetName val="คำชี้แจง"/>
      <sheetName val="ชป.325"/>
      <sheetName val="แผนงาน"/>
      <sheetName val="รายละเอียด"/>
      <sheetName val="02รายละเอียดการคำนวณปรับใหม (2)"/>
      <sheetName val="รายละเอียดราคา"/>
      <sheetName val="สรุปขุดลอก (หลัขุด) (2)"/>
      <sheetName val="Sheet1"/>
      <sheetName val="สรุปขุดลอก (หลัขุด)"/>
      <sheetName val="ค่าระดับ"/>
      <sheetName val="สรุปขุดลอก"/>
      <sheetName val="ราคากลาง"/>
      <sheetName val="0+000"/>
      <sheetName val="0+200"/>
      <sheetName val="0+400"/>
      <sheetName val="0+600"/>
      <sheetName val="0+800"/>
      <sheetName val="1+000"/>
      <sheetName val="1+200"/>
      <sheetName val="1+400"/>
      <sheetName val="1+600"/>
      <sheetName val="1+800"/>
      <sheetName val="2+000"/>
      <sheetName val="2+200"/>
      <sheetName val="2+400"/>
      <sheetName val="2+600"/>
      <sheetName val="2+800"/>
      <sheetName val="3+000"/>
      <sheetName val="3+200 "/>
      <sheetName val="3+400"/>
      <sheetName val="3+600"/>
      <sheetName val="3+800"/>
      <sheetName val="4+000"/>
      <sheetName val="4+200"/>
      <sheetName val="4+400"/>
      <sheetName val="4+600"/>
      <sheetName val="4+800"/>
      <sheetName val="5+000 "/>
      <sheetName val="5+200"/>
      <sheetName val="5+400"/>
      <sheetName val="5+600"/>
      <sheetName val="5+800"/>
      <sheetName val="6+000"/>
      <sheetName val="6+200"/>
      <sheetName val="6+400"/>
      <sheetName val="6+600"/>
      <sheetName val="น้ำมัน"/>
      <sheetName val="แผนที่"/>
      <sheetName val="Sheet2"/>
      <sheetName val="2558"/>
      <sheetName val="2559"/>
      <sheetName val="2560"/>
      <sheetName val="2561"/>
      <sheetName val="2562"/>
      <sheetName val="table แจ้งปริมาณงาและราคา(BOQ)"/>
      <sheetName val="แผนงาน+ข้อมูลงาน"/>
      <sheetName val="คำชี้แจง(ข้อมูลงาน)"/>
      <sheetName val="2.คำชี้แจง"/>
      <sheetName val="3.แบบ ปมก.ปก"/>
      <sheetName val="3.1 ฟอร์ม ชป.325 "/>
      <sheetName val="3.2-3.3 รายละเอืยดสรุปงบประมาณ"/>
      <sheetName val="3.4-(1)แผนงาน"/>
      <sheetName val="3.4-(2)แผนเงิน"/>
      <sheetName val="3.5.1รายละเอียด-จ้างเหมา"/>
      <sheetName val="3.5.1(1)จ้างเหมา-Factor F ชป."/>
      <sheetName val="3.5.1(2)จ้างเหมา-Factor Fงานทาง"/>
      <sheetName val="Rate data ทำเอง"/>
      <sheetName val="3.5.2รายละเอียด-ทำเอง"/>
      <sheetName val="3.6รคน.ค่าจ้างชั่วคราวทำเอง"/>
      <sheetName val="3.7ใบแจ้งปริมาณงานและราคา(BOQ)"/>
      <sheetName val="3.8ทำเอง-ชป."/>
      <sheetName val="3.8ทำเอง-ท่อเหลี่ยม"/>
      <sheetName val="3.8ทำเอง-ไม่มี"/>
      <sheetName val="3.9Factor F(งานจ้างเหมา)"/>
      <sheetName val="3.9ค่าอำนวยการ(งานทำเอง)"/>
      <sheetName val="3.10 1 แผ่น 1 โครงการ"/>
      <sheetName val="3.11แผนที่ 50000"/>
      <sheetName val="3.12รูปภาพ 1"/>
      <sheetName val="4.ราคาน้ำมัน"/>
      <sheetName val="4.1รายการคำนวณอัตราราคางาน"/>
      <sheetName val="4.2แผนที่แสดงระยะทางSSK."/>
      <sheetName val="4.2-(1)อัตราค่าขนssk.- donghula"/>
      <sheetName val="4.3 ต.1 ราคางานดินจ้างเหมา"/>
      <sheetName val="4.3 ต.1 ราคางานดินดำเนินเอง "/>
      <sheetName val="4.3 ต.2 ราคางานคอนกรีต "/>
      <sheetName val="4.3 ต.3 ราคางานไม้"/>
      <sheetName val="4.3 ต.4 ราคางานท่อ คสล."/>
      <sheetName val="เล่มที่ 3"/>
      <sheetName val="5.รายการคำนวณปริมาณงาน"/>
      <sheetName val="5.1สรุป"/>
      <sheetName val="2.ตัวอย่าง จาก นม."/>
      <sheetName val="182588 1"/>
      <sheetName val="182588 1 (2)"/>
      <sheetName val="S"/>
      <sheetName val="รายการแบบประกอบ"/>
      <sheetName val="งานปลูกหญ้า"/>
      <sheetName val="งานนั่งร้านค้ำยัน"/>
      <sheetName val="R09_1"/>
      <sheetName val="ผ1-ผ2_(2538)5"/>
      <sheetName val="กต_ผง_51-25"/>
      <sheetName val="กต_ผง_51-2_(2)5"/>
      <sheetName val="เข็มพืด(กส_)4"/>
      <sheetName val="คอนกรีต_SW4"/>
      <sheetName val="12_ภาค4"/>
      <sheetName val="10_ลักษณะงาน4"/>
      <sheetName val="9_ประเภทงาน4"/>
      <sheetName val="8_ผลผลิตโครงการ4"/>
      <sheetName val="7_ยุทธศาสตร์4"/>
      <sheetName val="4_จังหวัด4"/>
      <sheetName val="3_อำเภอ4"/>
      <sheetName val="2_ตำบล4"/>
      <sheetName val="1_สำนัก-กอง4"/>
      <sheetName val="16_สถานะดำเนินการ4"/>
      <sheetName val="25_ความจำเป็นของการดำเนินการ4"/>
      <sheetName val="6_ลุ่มน้ำย่อย4"/>
      <sheetName val="26_หน่วยงานรับผิดชอบ4"/>
      <sheetName val="ชป_325"/>
      <sheetName val="02รายละเอียดการคำนวณปรับใหม_(2)"/>
      <sheetName val="สรุปขุดลอก_(หลัขุด)_(2)"/>
      <sheetName val="สรุปขุดลอก_(หลัขุด)"/>
      <sheetName val="3+200_"/>
      <sheetName val="5+000_"/>
      <sheetName val="รายการคำนวณ1"/>
      <sheetName val="อัตราราคางานดิน_2"/>
      <sheetName val="ผาย"/>
      <sheetName val="ประเภทคอม"/>
      <sheetName val="หน่วยงาน"/>
      <sheetName val="ประเภทรายการ"/>
      <sheetName val="ผ1-ผ2_(2538)6"/>
      <sheetName val="กต_ผง_51-26"/>
      <sheetName val="กต_ผง_51-2_(2)6"/>
      <sheetName val="เข็มพืด(กส_)5"/>
      <sheetName val="คอนกรีต_SW5"/>
      <sheetName val="12_ภาค5"/>
      <sheetName val="10_ลักษณะงาน5"/>
      <sheetName val="9_ประเภทงาน5"/>
      <sheetName val="8_ผลผลิตโครงการ5"/>
      <sheetName val="7_ยุทธศาสตร์5"/>
      <sheetName val="4_จังหวัด5"/>
      <sheetName val="3_อำเภอ5"/>
      <sheetName val="2_ตำบล5"/>
      <sheetName val="1_สำนัก-กอง5"/>
      <sheetName val="16_สถานะดำเนินการ5"/>
      <sheetName val="25_ความจำเป็นของการดำเนินการ5"/>
      <sheetName val="6_ลุ่มน้ำย่อย5"/>
      <sheetName val="26_หน่วยงานรับผิดชอบ5"/>
      <sheetName val="ชป_3251"/>
      <sheetName val="02รายละเอียดการคำนวณปรับใหม_(21"/>
      <sheetName val="สรุปขุดลอก_(หลัขุด)_(2)1"/>
      <sheetName val="สรุปขุดลอก_(หลัขุด)1"/>
      <sheetName val="3+200_1"/>
      <sheetName val="5+000_1"/>
      <sheetName val="table_แจ้งปริมาณงาและราคา(BOQ)"/>
      <sheetName val="2_คำชี้แจง"/>
      <sheetName val="3_แบบ_ปมก_ปก"/>
      <sheetName val="3_1_ฟอร์ม_ชป_325_"/>
      <sheetName val="3_2-3_3_รายละเอืยดสรุปงบประมาณ"/>
      <sheetName val="3_4-(1)แผนงาน"/>
      <sheetName val="3_4-(2)แผนเงิน"/>
      <sheetName val="3_5_1รายละเอียด-จ้างเหมา"/>
      <sheetName val="3_5_1(1)จ้างเหมา-Factor_F_ชป_"/>
      <sheetName val="3_5_1(2)จ้างเหมา-Factor_Fงานทาง"/>
      <sheetName val="Rate_data_ทำเอง"/>
      <sheetName val="3_5_2รายละเอียด-ทำเอง"/>
      <sheetName val="3_6รคน_ค่าจ้างชั่วคราวทำเอง"/>
      <sheetName val="3_7ใบแจ้งปริมาณงานและราคา(BOQ)"/>
      <sheetName val="3_8ทำเอง-ชป_"/>
      <sheetName val="3_8ทำเอง-ท่อเหลี่ยม"/>
      <sheetName val="3_8ทำเอง-ไม่มี"/>
      <sheetName val="3_9Factor_F(งานจ้างเหมา)"/>
      <sheetName val="3_9ค่าอำนวยการ(งานทำเอง)"/>
      <sheetName val="3_10_1_แผ่น_1_โครงการ"/>
      <sheetName val="3_11แผนที่_50000"/>
      <sheetName val="3_12รูปภาพ_1"/>
      <sheetName val="4_ราคาน้ำมัน"/>
      <sheetName val="4_1รายการคำนวณอัตราราคางาน"/>
      <sheetName val="4_2แผนที่แสดงระยะทางSSK_"/>
      <sheetName val="4_2-(1)อัตราค่าขนssk_-_donghula"/>
      <sheetName val="4_3_ต_1_ราคางานดินจ้างเหมา"/>
      <sheetName val="4_3_ต_1_ราคางานดินดำเนินเอง_"/>
      <sheetName val="4_3_ต_2_ราคางานคอนกรีต_"/>
      <sheetName val="4_3_ต_3_ราคางานไม้"/>
      <sheetName val="4_3_ต_4_ราคางานท่อ_คสล_"/>
      <sheetName val="เล่มที่_3"/>
      <sheetName val="5_รายการคำนวณปริมาณงาน"/>
      <sheetName val="5_1สรุป"/>
      <sheetName val="2_ตัวอย่าง_จาก_นม_"/>
      <sheetName val="182588_1"/>
      <sheetName val="182588_1_(2)"/>
      <sheetName val="Cal Fto"/>
      <sheetName val="G-ลักษณะงาน "/>
      <sheetName val="F-ผลผลิต"/>
      <sheetName val="K-จังหวัด "/>
      <sheetName val="M-ลุ่มน้ำย่อย"/>
      <sheetName val="L-ลุ่มน้ำหลัก"/>
      <sheetName val="220"/>
      <sheetName val="ชื่อลุ่มน้ำสาขา"/>
      <sheetName val="ชื่อลุ่มน้ำหลัก 22 ลุ่มน้ำ"/>
      <sheetName val="ผ1-ผ2_(2538)7"/>
      <sheetName val="กต_ผง_51-27"/>
      <sheetName val="กต_ผง_51-2_(2)7"/>
      <sheetName val="เข็มพืด(กส_)6"/>
      <sheetName val="คอนกรีต_SW6"/>
      <sheetName val="12_ภาค6"/>
      <sheetName val="10_ลักษณะงาน6"/>
      <sheetName val="9_ประเภทงาน6"/>
      <sheetName val="8_ผลผลิตโครงการ6"/>
      <sheetName val="7_ยุทธศาสตร์6"/>
      <sheetName val="4_จังหวัด6"/>
      <sheetName val="3_อำเภอ6"/>
      <sheetName val="2_ตำบล6"/>
      <sheetName val="1_สำนัก-กอง6"/>
      <sheetName val="16_สถานะดำเนินการ6"/>
      <sheetName val="25_ความจำเป็นของการดำเนินการ6"/>
      <sheetName val="6_ลุ่มน้ำย่อย6"/>
      <sheetName val="26_หน่วยงานรับผิดชอบ6"/>
      <sheetName val="ชป_3252"/>
      <sheetName val="02รายละเอียดการคำนวณปรับใหม_(22"/>
      <sheetName val="สรุปขุดลอก_(หลัขุด)_(2)2"/>
      <sheetName val="สรุปขุดลอก_(หลัขุด)2"/>
      <sheetName val="3+200_2"/>
      <sheetName val="5+000_2"/>
      <sheetName val="table_แจ้งปริมาณงาและราคา(BOQ)1"/>
      <sheetName val="2_คำชี้แจง1"/>
      <sheetName val="3_แบบ_ปมก_ปก1"/>
      <sheetName val="3_1_ฟอร์ม_ชป_325_1"/>
      <sheetName val="3_2-3_3_รายละเอืยดสรุปงบประมาณ1"/>
      <sheetName val="3_4-(1)แผนงาน1"/>
      <sheetName val="3_4-(2)แผนเงิน1"/>
      <sheetName val="3_5_1รายละเอียด-จ้างเหมา1"/>
      <sheetName val="3_5_1(1)จ้างเหมา-Factor_F_ชป_1"/>
      <sheetName val="3_5_1(2)จ้างเหมา-Factor_Fงานทา1"/>
      <sheetName val="Rate_data_ทำเอง1"/>
      <sheetName val="3_5_2รายละเอียด-ทำเอง1"/>
      <sheetName val="3_6รคน_ค่าจ้างชั่วคราวทำเอง1"/>
      <sheetName val="3_7ใบแจ้งปริมาณงานและราคา(BOQ)1"/>
      <sheetName val="3_8ทำเอง-ชป_1"/>
      <sheetName val="3_8ทำเอง-ท่อเหลี่ยม1"/>
      <sheetName val="3_8ทำเอง-ไม่มี1"/>
      <sheetName val="3_9Factor_F(งานจ้างเหมา)1"/>
      <sheetName val="3_9ค่าอำนวยการ(งานทำเอง)1"/>
      <sheetName val="3_10_1_แผ่น_1_โครงการ1"/>
      <sheetName val="3_11แผนที่_500001"/>
      <sheetName val="3_12รูปภาพ_11"/>
      <sheetName val="4_ราคาน้ำมัน1"/>
      <sheetName val="4_1รายการคำนวณอัตราราคางาน1"/>
      <sheetName val="4_2แผนที่แสดงระยะทางSSK_1"/>
      <sheetName val="4_2-(1)อัตราค่าขนssk_-_donghul1"/>
      <sheetName val="4_3_ต_1_ราคางานดินจ้างเหมา1"/>
      <sheetName val="4_3_ต_1_ราคางานดินดำเนินเอง_1"/>
      <sheetName val="4_3_ต_2_ราคางานคอนกรีต_1"/>
      <sheetName val="4_3_ต_3_ราคางานไม้1"/>
      <sheetName val="4_3_ต_4_ราคางานท่อ_คสล_1"/>
      <sheetName val="เล่มที่_31"/>
      <sheetName val="5_รายการคำนวณปริมาณงาน1"/>
      <sheetName val="5_1สรุป1"/>
      <sheetName val="2_ตัวอย่าง_จาก_นม_1"/>
      <sheetName val="182588_11"/>
      <sheetName val="182588_1_(2)1"/>
      <sheetName val="Cal_Fto"/>
      <sheetName val=""/>
      <sheetName val="ปี"/>
      <sheetName val="กรอกข้อมูล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 refreshError="1"/>
      <sheetData sheetId="362" refreshError="1"/>
      <sheetData sheetId="36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ชป.ง.01"/>
      <sheetName val="ชป.ง.02"/>
      <sheetName val="ชป.ง.03"/>
      <sheetName val="ชป.ง.04"/>
      <sheetName val="ง.700"/>
      <sheetName val="ง.800"/>
      <sheetName val="ง.801"/>
      <sheetName val="ง.900"/>
      <sheetName val="220"/>
      <sheetName val="Sheet1"/>
      <sheetName val="Sheet2"/>
      <sheetName val="Sheet3"/>
      <sheetName val="ผ1-ผ2 (2538)"/>
      <sheetName val="ชป_ง_01"/>
      <sheetName val="ชป_ง_02"/>
      <sheetName val="ชป_ง_03"/>
      <sheetName val="ชป_ง_04"/>
      <sheetName val="ง_700"/>
      <sheetName val="ง_800"/>
      <sheetName val="ง_801"/>
      <sheetName val="ง_900"/>
      <sheetName val="ผ1-ผ2_(2538)"/>
      <sheetName val="00-Intro"/>
      <sheetName val="01-สทนช.001"/>
      <sheetName val="02-Questionnaire"/>
      <sheetName val="03-WorkingSheet"/>
      <sheetName val="04-Result"/>
      <sheetName val="05-CopySheet"/>
      <sheetName val="DropDown"/>
      <sheetName val="Form-comm"/>
      <sheetName val="ชป_ง_011"/>
      <sheetName val="ชป_ง_021"/>
      <sheetName val="ชป_ง_031"/>
      <sheetName val="ชป_ง_041"/>
      <sheetName val="ง_7001"/>
      <sheetName val="ง_8001"/>
      <sheetName val="ง_8011"/>
      <sheetName val="ง_9001"/>
      <sheetName val="ผ1-ผ2_(2538)1"/>
      <sheetName val="ผาย"/>
      <sheetName val="กต.ผง.51-2"/>
      <sheetName val="กต.ผง.51-2 (2)"/>
      <sheetName val="กันเหลื่อม,กันขยาย"/>
      <sheetName val="รูปตัดดินขุด"/>
      <sheetName val="unit-cost"/>
      <sheetName val="เข็มพืด(กส.)"/>
      <sheetName val="คอนกรีต SW"/>
      <sheetName val="ดินขุดML"/>
      <sheetName val="ดินขุดM1R"/>
      <sheetName val="กต_ผง_51-2"/>
      <sheetName val="กต_ผง_51-2_(2)"/>
      <sheetName val="รูปตัด-สูบน้ำ(ระหว่าง)"/>
      <sheetName val="12.ภาค"/>
      <sheetName val="10.ลักษณะงาน"/>
      <sheetName val="9.ประเภทงาน"/>
      <sheetName val="8.ผลผลิตโครงการ"/>
      <sheetName val="7.ยุทธศาสตร์"/>
      <sheetName val="4.จังหวัด"/>
      <sheetName val="3.อำเภอ"/>
      <sheetName val="2.ตำบล"/>
      <sheetName val="1.สำนัก-กอง"/>
      <sheetName val="16.สถานะดำเนินการ"/>
      <sheetName val="25.ความจำเป็นของการดำเนินการ"/>
      <sheetName val="6.ลุ่มน้ำย่อย"/>
      <sheetName val="26.หน่วยงานรับผิดชอบ"/>
      <sheetName val="SECTION"/>
      <sheetName val="ปลูกหญ้า"/>
      <sheetName val="กต_ผง_51-21"/>
      <sheetName val="กต_ผง_51-2_(2)1"/>
      <sheetName val="เข็มพืด(กส_)"/>
      <sheetName val="คอนกรีต_SW"/>
      <sheetName val="12_ภาค"/>
      <sheetName val="10_ลักษณะงาน"/>
      <sheetName val="9_ประเภทงาน"/>
      <sheetName val="8_ผลผลิตโครงการ"/>
      <sheetName val="7_ยุทธศาสตร์"/>
      <sheetName val="4_จังหวัด"/>
      <sheetName val="3_อำเภอ"/>
      <sheetName val="2_ตำบล"/>
      <sheetName val="1_สำนัก-กอง"/>
      <sheetName val="16_สถานะดำเนินการ"/>
      <sheetName val="25_ความจำเป็นของการดำเนินการ"/>
      <sheetName val="6_ลุ่มน้ำย่อย"/>
      <sheetName val="26_หน่วยงานรับผิดชอบ"/>
      <sheetName val="ผ1-ผ2_(2538)4"/>
      <sheetName val="กต_ผง_51-24"/>
      <sheetName val="กต_ผง_51-2_(2)4"/>
      <sheetName val="เข็มพืด(กส_)3"/>
      <sheetName val="คอนกรีต_SW3"/>
      <sheetName val="12_ภาค3"/>
      <sheetName val="10_ลักษณะงาน3"/>
      <sheetName val="9_ประเภทงาน3"/>
      <sheetName val="8_ผลผลิตโครงการ3"/>
      <sheetName val="7_ยุทธศาสตร์3"/>
      <sheetName val="4_จังหวัด3"/>
      <sheetName val="3_อำเภอ3"/>
      <sheetName val="2_ตำบล3"/>
      <sheetName val="1_สำนัก-กอง3"/>
      <sheetName val="16_สถานะดำเนินการ3"/>
      <sheetName val="25_ความจำเป็นของการดำเนินการ3"/>
      <sheetName val="6_ลุ่มน้ำย่อย3"/>
      <sheetName val="26_หน่วยงานรับผิดชอบ3"/>
      <sheetName val="ผ1-ผ2_(2538)2"/>
      <sheetName val="กต_ผง_51-22"/>
      <sheetName val="กต_ผง_51-2_(2)2"/>
      <sheetName val="เข็มพืด(กส_)1"/>
      <sheetName val="คอนกรีต_SW1"/>
      <sheetName val="12_ภาค1"/>
      <sheetName val="10_ลักษณะงาน1"/>
      <sheetName val="9_ประเภทงาน1"/>
      <sheetName val="8_ผลผลิตโครงการ1"/>
      <sheetName val="7_ยุทธศาสตร์1"/>
      <sheetName val="4_จังหวัด1"/>
      <sheetName val="3_อำเภอ1"/>
      <sheetName val="2_ตำบล1"/>
      <sheetName val="1_สำนัก-กอง1"/>
      <sheetName val="16_สถานะดำเนินการ1"/>
      <sheetName val="25_ความจำเป็นของการดำเนินการ1"/>
      <sheetName val="6_ลุ่มน้ำย่อย1"/>
      <sheetName val="26_หน่วยงานรับผิดชอบ1"/>
      <sheetName val="ผ1-ผ2_(2538)3"/>
      <sheetName val="กต_ผง_51-23"/>
      <sheetName val="กต_ผง_51-2_(2)3"/>
      <sheetName val="เข็มพืด(กส_)2"/>
      <sheetName val="คอนกรีต_SW2"/>
      <sheetName val="12_ภาค2"/>
      <sheetName val="10_ลักษณะงาน2"/>
      <sheetName val="9_ประเภทงาน2"/>
      <sheetName val="8_ผลผลิตโครงการ2"/>
      <sheetName val="7_ยุทธศาสตร์2"/>
      <sheetName val="4_จังหวัด2"/>
      <sheetName val="3_อำเภอ2"/>
      <sheetName val="2_ตำบล2"/>
      <sheetName val="1_สำนัก-กอง2"/>
      <sheetName val="16_สถานะดำเนินการ2"/>
      <sheetName val="25_ความจำเป็นของการดำเนินการ2"/>
      <sheetName val="6_ลุ่มน้ำย่อย2"/>
      <sheetName val="26_หน่วยงานรับผิดชอบ2"/>
      <sheetName val="คำชี้แจง"/>
      <sheetName val="ชป.325"/>
      <sheetName val="แผนงาน"/>
      <sheetName val="รายละเอียด"/>
      <sheetName val="02รายละเอียดการคำนวณปรับใหม (2)"/>
      <sheetName val="รายละเอียดราคา"/>
      <sheetName val="สรุปขุดลอก (หลัขุด) (2)"/>
      <sheetName val="สรุปขุดลอก (หลัขุด)"/>
      <sheetName val="ค่าระดับ"/>
      <sheetName val="สรุปขุดลอก"/>
      <sheetName val="ราคากลาง"/>
      <sheetName val="0+000"/>
      <sheetName val="0+200"/>
      <sheetName val="0+400"/>
      <sheetName val="0+600"/>
      <sheetName val="0+800"/>
      <sheetName val="1+000"/>
      <sheetName val="1+200"/>
      <sheetName val="1+400"/>
      <sheetName val="1+600"/>
      <sheetName val="1+800"/>
      <sheetName val="2+000"/>
      <sheetName val="2+200"/>
      <sheetName val="2+400"/>
      <sheetName val="2+600"/>
      <sheetName val="2+800"/>
      <sheetName val="3+000"/>
      <sheetName val="3+200 "/>
      <sheetName val="3+400"/>
      <sheetName val="3+600"/>
      <sheetName val="3+800"/>
      <sheetName val="4+000"/>
      <sheetName val="4+200"/>
      <sheetName val="4+400"/>
      <sheetName val="4+600"/>
      <sheetName val="4+800"/>
      <sheetName val="5+000 "/>
      <sheetName val="5+200"/>
      <sheetName val="5+400"/>
      <sheetName val="5+600"/>
      <sheetName val="5+800"/>
      <sheetName val="6+000"/>
      <sheetName val="6+200"/>
      <sheetName val="6+400"/>
      <sheetName val="6+600"/>
      <sheetName val="น้ำมัน"/>
      <sheetName val="แผนที่"/>
      <sheetName val="2558"/>
      <sheetName val="2559"/>
      <sheetName val="2560"/>
      <sheetName val="2561"/>
      <sheetName val="2562"/>
      <sheetName val="table แจ้งปริมาณงาและราคา(BOQ)"/>
      <sheetName val="แผนงาน+ข้อมูลงาน"/>
      <sheetName val="คำชี้แจง(ข้อมูลงาน)"/>
      <sheetName val="2.คำชี้แจง"/>
      <sheetName val="3.แบบ ปมก.ปก"/>
      <sheetName val="3.1 ฟอร์ม ชป.325 "/>
      <sheetName val="3.2-3.3 รายละเอืยดสรุปงบประมาณ"/>
      <sheetName val="3.4-(1)แผนงาน"/>
      <sheetName val="3.4-(2)แผนเงิน"/>
      <sheetName val="3.5.1รายละเอียด-จ้างเหมา"/>
      <sheetName val="3.5.1(1)จ้างเหมา-Factor F ชป."/>
      <sheetName val="3.5.1(2)จ้างเหมา-Factor Fงานทาง"/>
      <sheetName val="Rate data ทำเอง"/>
      <sheetName val="3.5.2รายละเอียด-ทำเอง"/>
      <sheetName val="3.6รคน.ค่าจ้างชั่วคราวทำเอง"/>
      <sheetName val="3.7ใบแจ้งปริมาณงานและราคา(BOQ)"/>
      <sheetName val="3.8ทำเอง-ชป."/>
      <sheetName val="3.8ทำเอง-ท่อเหลี่ยม"/>
      <sheetName val="3.8ทำเอง-ไม่มี"/>
      <sheetName val="3.9Factor F(งานจ้างเหมา)"/>
      <sheetName val="3.9ค่าอำนวยการ(งานทำเอง)"/>
      <sheetName val="3.10 1 แผ่น 1 โครงการ"/>
      <sheetName val="3.11แผนที่ 50000"/>
      <sheetName val="3.12รูปภาพ 1"/>
      <sheetName val="4.ราคาน้ำมัน"/>
      <sheetName val="4.1รายการคำนวณอัตราราคางาน"/>
      <sheetName val="4.2แผนที่แสดงระยะทางSSK."/>
      <sheetName val="4.2-(1)อัตราค่าขนssk.- donghula"/>
      <sheetName val="4.3 ต.1 ราคางานดินจ้างเหมา"/>
      <sheetName val="4.3 ต.1 ราคางานดินดำเนินเอง "/>
      <sheetName val="4.3 ต.2 ราคางานคอนกรีต "/>
      <sheetName val="4.3 ต.3 ราคางานไม้"/>
      <sheetName val="4.3 ต.4 ราคางานท่อ คสล."/>
      <sheetName val="เล่มที่ 3"/>
      <sheetName val="5.รายการคำนวณปริมาณงาน"/>
      <sheetName val="5.1สรุป"/>
      <sheetName val="2.ตัวอย่าง จาก นม."/>
      <sheetName val="182588 1"/>
      <sheetName val="182588 1 (2)"/>
      <sheetName val="S"/>
      <sheetName val="รายการแบบประกอบ"/>
      <sheetName val="งานปลูกหญ้า"/>
      <sheetName val="งานนั่งร้านค้ำยัน"/>
      <sheetName val="ราคาต้นทุนต่อหน่วย"/>
      <sheetName val="BOQ"/>
      <sheetName val="ค่าขนส่ง-1"/>
      <sheetName val="งานทั่วไปฯ"/>
      <sheetName val="แผน63(ภาพรวม)"/>
      <sheetName val="คำนวน"/>
      <sheetName val="Form1"/>
      <sheetName val="ชป_ง_012"/>
      <sheetName val="ชป_ง_022"/>
      <sheetName val="ชป_ง_032"/>
      <sheetName val="ชป_ง_042"/>
      <sheetName val="ง_7002"/>
      <sheetName val="ง_8002"/>
      <sheetName val="ง_8012"/>
      <sheetName val="ง_9002"/>
      <sheetName val="ผ1-ผ2_(2538)5"/>
      <sheetName val="01-สทนช_001"/>
      <sheetName val="กต_ผง_51-25"/>
      <sheetName val="กต_ผง_51-2_(2)5"/>
      <sheetName val="เข็มพืด(กส_)4"/>
      <sheetName val="คอนกรีต_SW4"/>
      <sheetName val="12_ภาค4"/>
      <sheetName val="10_ลักษณะงาน4"/>
      <sheetName val="9_ประเภทงาน4"/>
      <sheetName val="8_ผลผลิตโครงการ4"/>
      <sheetName val="7_ยุทธศาสตร์4"/>
      <sheetName val="4_จังหวัด4"/>
      <sheetName val="3_อำเภอ4"/>
      <sheetName val="2_ตำบล4"/>
      <sheetName val="1_สำนัก-กอง4"/>
      <sheetName val="16_สถานะดำเนินการ4"/>
      <sheetName val="25_ความจำเป็นของการดำเนินการ4"/>
      <sheetName val="6_ลุ่มน้ำย่อย4"/>
      <sheetName val="26_หน่วยงานรับผิดชอบ4"/>
      <sheetName val="ชป_325"/>
      <sheetName val="02รายละเอียดการคำนวณปรับใหม_(2)"/>
      <sheetName val="สรุปขุดลอก_(หลัขุด)_(2)"/>
      <sheetName val="สรุปขุดลอก_(หลัขุด)"/>
      <sheetName val="3+200_"/>
      <sheetName val="5+000_"/>
      <sheetName val="table_แจ้งปริมาณงาและราคา(BOQ)"/>
      <sheetName val="2_คำชี้แจง"/>
      <sheetName val="3_แบบ_ปมก_ปก"/>
      <sheetName val="3_1_ฟอร์ม_ชป_325_"/>
      <sheetName val="3_2-3_3_รายละเอืยดสรุปงบประมาณ"/>
      <sheetName val="3_4-(1)แผนงาน"/>
      <sheetName val="3_4-(2)แผนเงิน"/>
      <sheetName val="3_5_1รายละเอียด-จ้างเหมา"/>
      <sheetName val="3_5_1(1)จ้างเหมา-Factor_F_ชป_"/>
      <sheetName val="3_5_1(2)จ้างเหมา-Factor_Fงานทาง"/>
      <sheetName val="Rate_data_ทำเอง"/>
      <sheetName val="3_5_2รายละเอียด-ทำเอง"/>
      <sheetName val="3_6รคน_ค่าจ้างชั่วคราวทำเอง"/>
      <sheetName val="3_7ใบแจ้งปริมาณงานและราคา(BOQ)"/>
      <sheetName val="3_8ทำเอง-ชป_"/>
      <sheetName val="3_8ทำเอง-ท่อเหลี่ยม"/>
      <sheetName val="3_8ทำเอง-ไม่มี"/>
      <sheetName val="3_9Factor_F(งานจ้างเหมา)"/>
      <sheetName val="3_9ค่าอำนวยการ(งานทำเอง)"/>
      <sheetName val="3_10_1_แผ่น_1_โครงการ"/>
      <sheetName val="3_11แผนที่_50000"/>
      <sheetName val="3_12รูปภาพ_1"/>
      <sheetName val="4_ราคาน้ำมัน"/>
      <sheetName val="4_1รายการคำนวณอัตราราคางาน"/>
      <sheetName val="4_2แผนที่แสดงระยะทางSSK_"/>
      <sheetName val="4_2-(1)อัตราค่าขนssk_-_donghula"/>
      <sheetName val="4_3_ต_1_ราคางานดินจ้างเหมา"/>
      <sheetName val="4_3_ต_1_ราคางานดินดำเนินเอง_"/>
      <sheetName val="4_3_ต_2_ราคางานคอนกรีต_"/>
      <sheetName val="4_3_ต_3_ราคางานไม้"/>
      <sheetName val="4_3_ต_4_ราคางานท่อ_คสล_"/>
      <sheetName val="เล่มที่_3"/>
      <sheetName val="CODN9"/>
      <sheetName val="82824"/>
      <sheetName val="กิจกรรมต่างๆแท้"/>
      <sheetName val="ราคาต่อหน่วยงานทำเอง"/>
      <sheetName val="ราคา คอนกรีต ไม้แบบ เหล็ก"/>
      <sheetName val="ปริมาณงาน"/>
      <sheetName val="Convert UTM to Lat, Long"/>
      <sheetName val="Convert Lat, Long to UTM"/>
      <sheetName val="Datums"/>
      <sheetName val="ขนาดกลาง"/>
      <sheetName val="ชป_ง_013"/>
      <sheetName val="ชป_ง_023"/>
      <sheetName val="ชป_ง_033"/>
      <sheetName val="ชป_ง_043"/>
      <sheetName val="ง_7003"/>
      <sheetName val="ง_8003"/>
      <sheetName val="ง_8013"/>
      <sheetName val="ง_9003"/>
      <sheetName val="ผ1-ผ2_(2538)6"/>
      <sheetName val="01-สทนช_0011"/>
      <sheetName val="กต_ผง_51-26"/>
      <sheetName val="กต_ผง_51-2_(2)6"/>
      <sheetName val="เข็มพืด(กส_)5"/>
      <sheetName val="คอนกรีต_SW5"/>
      <sheetName val="12_ภาค5"/>
      <sheetName val="10_ลักษณะงาน5"/>
      <sheetName val="9_ประเภทงาน5"/>
      <sheetName val="8_ผลผลิตโครงการ5"/>
      <sheetName val="7_ยุทธศาสตร์5"/>
      <sheetName val="4_จังหวัด5"/>
      <sheetName val="3_อำเภอ5"/>
      <sheetName val="2_ตำบล5"/>
      <sheetName val="1_สำนัก-กอง5"/>
      <sheetName val="16_สถานะดำเนินการ5"/>
      <sheetName val="25_ความจำเป็นของการดำเนินการ5"/>
      <sheetName val="6_ลุ่มน้ำย่อย5"/>
      <sheetName val="26_หน่วยงานรับผิดชอบ5"/>
      <sheetName val="ชป_3251"/>
      <sheetName val="02รายละเอียดการคำนวณปรับใหม_(21"/>
      <sheetName val="สรุปขุดลอก_(หลัขุด)_(2)1"/>
      <sheetName val="สรุปขุดลอก_(หลัขุด)1"/>
      <sheetName val="3+200_1"/>
      <sheetName val="5+000_1"/>
      <sheetName val="table_แจ้งปริมาณงาและราคา(BOQ)1"/>
      <sheetName val="2_คำชี้แจง1"/>
      <sheetName val="3_แบบ_ปมก_ปก1"/>
      <sheetName val="3_1_ฟอร์ม_ชป_325_1"/>
      <sheetName val="3_2-3_3_รายละเอืยดสรุปงบประมาณ1"/>
      <sheetName val="3_4-(1)แผนงาน1"/>
      <sheetName val="3_4-(2)แผนเงิน1"/>
      <sheetName val="3_5_1รายละเอียด-จ้างเหมา1"/>
      <sheetName val="3_5_1(1)จ้างเหมา-Factor_F_ชป_1"/>
      <sheetName val="3_5_1(2)จ้างเหมา-Factor_Fงานทา1"/>
      <sheetName val="Rate_data_ทำเอง1"/>
      <sheetName val="3_5_2รายละเอียด-ทำเอง1"/>
      <sheetName val="3_6รคน_ค่าจ้างชั่วคราวทำเอง1"/>
      <sheetName val="3_7ใบแจ้งปริมาณงานและราคา(BOQ)1"/>
      <sheetName val="3_8ทำเอง-ชป_1"/>
      <sheetName val="3_8ทำเอง-ท่อเหลี่ยม1"/>
      <sheetName val="3_8ทำเอง-ไม่มี1"/>
      <sheetName val="3_9Factor_F(งานจ้างเหมา)1"/>
      <sheetName val="3_9ค่าอำนวยการ(งานทำเอง)1"/>
      <sheetName val="3_10_1_แผ่น_1_โครงการ1"/>
      <sheetName val="3_11แผนที่_500001"/>
      <sheetName val="3_12รูปภาพ_11"/>
      <sheetName val="4_ราคาน้ำมัน1"/>
      <sheetName val="4_1รายการคำนวณอัตราราคางาน1"/>
      <sheetName val="4_2แผนที่แสดงระยะทางSSK_1"/>
      <sheetName val="4_2-(1)อัตราค่าขนssk_-_donghul1"/>
      <sheetName val="4_3_ต_1_ราคางานดินจ้างเหมา1"/>
      <sheetName val="4_3_ต_1_ราคางานดินดำเนินเอง_1"/>
      <sheetName val="4_3_ต_2_ราคางานคอนกรีต_1"/>
      <sheetName val="4_3_ต_3_ราคางานไม้1"/>
      <sheetName val="4_3_ต_4_ราคางานท่อ_คสล_1"/>
      <sheetName val="เล่มที่_31"/>
      <sheetName val="5_รายการคำนวณปริมาณงาน"/>
      <sheetName val="5_1สรุป"/>
      <sheetName val="2_ตัวอย่าง_จาก_นม_"/>
      <sheetName val="182588_1"/>
      <sheetName val="182588_1_(2)"/>
      <sheetName val="ราคา_คอนกรีต_ไม้แบบ_เหล็ก"/>
      <sheetName val="ปริมาณเหล็กสูบ"/>
      <sheetName val="หน้า ปมก"/>
      <sheetName val="ff"/>
      <sheetName val="A"/>
      <sheetName val="04 Unitcost (งานทำเอง)"/>
      <sheetName val="ใบหน้า"/>
      <sheetName val="ข้อมูล"/>
      <sheetName val="ค่างานต้นทุน"/>
      <sheetName val="TYPE A"/>
      <sheetName val="มิติท่อลอดถนน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 refreshError="1"/>
      <sheetData sheetId="306" refreshError="1"/>
      <sheetData sheetId="307" refreshError="1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ผู้รับผิดชอบ"/>
      <sheetName val="ฟอร์มห้วยหลวง"/>
      <sheetName val="ฟอร์มห้วยหลวง (2)"/>
      <sheetName val="ฟอร์มห้วยหลวง (3)"/>
      <sheetName val="ฟอร์มห้วยหลวง (4)"/>
      <sheetName val="ฟอร์มทุ่งสัมฤทธิ์"/>
      <sheetName val="ฟอร์มทุ่งสัมฤทธิ์ (2)"/>
      <sheetName val="ฟอร์มทุ่งสัมฤทธิ์ (3)"/>
      <sheetName val="ฟอร์มทุ่งสัมฤทธิ์ (4)"/>
      <sheetName val="ฟอร์มทุ่งสัมฤทธิ์ (5)"/>
      <sheetName val="ฟอร์มทุ่งสัมฤทธิ์ (6)"/>
      <sheetName val="ฟอร์มทุ่งสัมฤทธิ์ (7)"/>
      <sheetName val="ฟอร์มลุ่มน้ำปิงตอนล่าง"/>
      <sheetName val="ฟอร์มลุ่มน้ำปิงตอนล่าง (2)"/>
      <sheetName val="ฟอร์มลุ่มน้ำปิงตอนล่าง (3)"/>
      <sheetName val="ฟอร์มลุ่มน้ำปิงตอนล่าง (4)"/>
      <sheetName val="ฟอร์มลุ่มน้ำปิงตอนล่าง (5)"/>
      <sheetName val="ฟอร์มลุ่มน้ำปิงตอนล่าง (6)"/>
      <sheetName val="ฟอร์มลุ่มน้ำปิงตอนล่าง (7)"/>
      <sheetName val="ฟอร์มลุ่มน้ำปิงตอนล่าง (8)"/>
      <sheetName val="ฟอร์มลุ่มน้ำปิงตอนล่าง (9)"/>
      <sheetName val="ฟอร์มลุ่มน้ำปิงตอนล่าง (10)"/>
      <sheetName val="ฟอร์มลุ่มน้ำปิงตอนล่าง (11)"/>
      <sheetName val="ฟอร์มแม่ลาว"/>
      <sheetName val="ทั้งหมด"/>
      <sheetName val="ฟอร์มแม่ลาว (2)"/>
      <sheetName val="ฟอร์มแม่ลาว (3)"/>
      <sheetName val="ฟอร์มแม่ลาว (4)"/>
      <sheetName val="ฟอร์มแม่ลาว (5)"/>
      <sheetName val="ฟอร์มแม่ลาว (6)"/>
      <sheetName val="ฟอร์มกระเสียว"/>
      <sheetName val="ฟอร์มกระเสียว (2)"/>
      <sheetName val="ฟอร์มกระเสียว (3)"/>
      <sheetName val="ขนาดใหญ่ (3)"/>
      <sheetName val="ฟอร์มหนองหญ้าม้า"/>
      <sheetName val="ฟอร์มบ้านบุ่ง"/>
      <sheetName val="ฟอร์มกระแสสินธุ์"/>
      <sheetName val="ฟอร์มกระแสสินธุ์ (2)"/>
      <sheetName val="ฟอร์มวังร่มเกล้า"/>
      <sheetName val="ฟอร์มบ้านดง"/>
      <sheetName val="ขนาดกลาง"/>
      <sheetName val="แบบฟอร์มท่อ"/>
      <sheetName val="แบบฟอร์มขุดลอก"/>
      <sheetName val="สรุป (รายเดือน44)"/>
      <sheetName val="ทาง"/>
      <sheetName val="ขุดลอก"/>
      <sheetName val="²耀ร์มลุ่มน้ำปิงตอนล่าง (3)"/>
      <sheetName val="ฟอรੌมกระเสียว (2)"/>
      <sheetName val="ฟอร์มหนองหญ้ยม้า"/>
      <sheetName val="ฟอਣ์มบ้านบุ่ਇ"/>
      <sheetName val="ฟอร่มกระแสสินธุ์ (2)"/>
      <sheetName val="แบบฟอย์มขุดลอก"/>
      <sheetName val="220"/>
      <sheetName val="อบรม"/>
      <sheetName val="ตปท"/>
      <sheetName val="ฟอร์มห้วยหลวง_(2)"/>
      <sheetName val="ฟอร์มห้วยหลวง_(3)"/>
      <sheetName val="ฟอร์มห้วยหลวง_(4)"/>
      <sheetName val="ฟอร์มทุ่งสัมฤทธิ์_(2)"/>
      <sheetName val="ฟอร์มทุ่งสัมฤทธิ์_(3)"/>
      <sheetName val="ฟอร์มทุ่งสัมฤทธิ์_(4)"/>
      <sheetName val="ฟอร์มทุ่งสัมฤทธิ์_(5)"/>
      <sheetName val="ฟอร์มทุ่งสัมฤทธิ์_(6)"/>
      <sheetName val="ฟอร์มทุ่งสัมฤทธิ์_(7)"/>
      <sheetName val="ฟอร์มลุ่มน้ำปิงตอนล่าง_(2)"/>
      <sheetName val="ฟอร์มลุ่มน้ำปิงตอนล่าง_(3)"/>
      <sheetName val="ฟอร์มลุ่มน้ำปิงตอนล่าง_(4)"/>
      <sheetName val="ฟอร์มลุ่มน้ำปิงตอนล่าง_(5)"/>
      <sheetName val="ฟอร์มลุ่มน้ำปิงตอนล่าง_(6)"/>
      <sheetName val="ฟอร์มลุ่มน้ำปิงตอนล่าง_(7)"/>
      <sheetName val="ฟอร์มลุ่มน้ำปิงตอนล่าง_(8)"/>
      <sheetName val="ฟอร์มลุ่มน้ำปิงตอนล่าง_(9)"/>
      <sheetName val="ฟอร์มลุ่มน้ำปิงตอนล่าง_(10)"/>
      <sheetName val="ฟอร์มลุ่มน้ำปิงตอนล่าง_(11)"/>
      <sheetName val="ฟอร์มแม่ลาว_(2)"/>
      <sheetName val="ฟอร์มแม่ลาว_(3)"/>
      <sheetName val="ฟอร์มแม่ลาว_(4)"/>
      <sheetName val="ฟอร์มแม่ลาว_(5)"/>
      <sheetName val="ฟอร์มแม่ลาว_(6)"/>
      <sheetName val="ฟอร์มกระเสียว_(2)"/>
      <sheetName val="ฟอร์มกระเสียว_(3)"/>
      <sheetName val="ขนาดใหญ่_(3)"/>
      <sheetName val="ฟอร์มกระแสสินธุ์_(2)"/>
      <sheetName val="สรุป_(รายเดือน44)"/>
      <sheetName val="²耀ร์มลุ่มน้ำปิงตอนล่าง_(3)"/>
      <sheetName val="ฟอรੌมกระเสียว_(2)"/>
      <sheetName val="ฟอร่มกระแสสินธุ์_(2)"/>
      <sheetName val="ฟอร์มห้วยหลวง_(2)3"/>
      <sheetName val="ฟอร์มห้วยหลวง_(3)3"/>
      <sheetName val="ฟอร์มห้วยหลวง_(4)3"/>
      <sheetName val="ฟอร์มทุ่งสัมฤทธิ์_(2)3"/>
      <sheetName val="ฟอร์มทุ่งสัมฤทธิ์_(3)3"/>
      <sheetName val="ฟอร์มทุ่งสัมฤทธิ์_(4)3"/>
      <sheetName val="ฟอร์มทุ่งสัมฤทธิ์_(5)3"/>
      <sheetName val="ฟอร์มทุ่งสัมฤทธิ์_(6)3"/>
      <sheetName val="ฟอร์มทุ่งสัมฤทธิ์_(7)3"/>
      <sheetName val="ฟอร์มลุ่มน้ำปิงตอนล่าง_(2)3"/>
      <sheetName val="ฟอร์มลุ่มน้ำปิงตอนล่าง_(3)3"/>
      <sheetName val="ฟอร์มลุ่มน้ำปิงตอนล่าง_(4)3"/>
      <sheetName val="ฟอร์มลุ่มน้ำปิงตอนล่าง_(5)3"/>
      <sheetName val="ฟอร์มลุ่มน้ำปิงตอนล่าง_(6)3"/>
      <sheetName val="ฟอร์มลุ่มน้ำปิงตอนล่าง_(7)3"/>
      <sheetName val="ฟอร์มลุ่มน้ำปิงตอนล่าง_(8)3"/>
      <sheetName val="ฟอร์มลุ่มน้ำปิงตอนล่าง_(9)3"/>
      <sheetName val="ฟอร์มลุ่มน้ำปิงตอนล่าง_(10)3"/>
      <sheetName val="ฟอร์มลุ่มน้ำปิงตอนล่าง_(11)3"/>
      <sheetName val="ฟอร์มแม่ลาว_(2)3"/>
      <sheetName val="ฟอร์มแม่ลาว_(3)3"/>
      <sheetName val="ฟอร์มแม่ลาว_(4)3"/>
      <sheetName val="ฟอร์มแม่ลาว_(5)3"/>
      <sheetName val="ฟอร์มแม่ลาว_(6)3"/>
      <sheetName val="ฟอร์มกระเสียว_(2)3"/>
      <sheetName val="ฟอร์มกระเสียว_(3)3"/>
      <sheetName val="ขนาดใหญ่_(3)3"/>
      <sheetName val="ฟอร์มกระแสสินธุ์_(2)3"/>
      <sheetName val="สรุป_(รายเดือน44)3"/>
      <sheetName val="²耀ร์มลุ่มน้ำปิงตอนล่าง_(3)3"/>
      <sheetName val="ฟอรੌมกระเสียว_(2)3"/>
      <sheetName val="ฟอร่มกระแสสินธุ์_(2)3"/>
      <sheetName val="ฟอร์มห้วยหลวง_(2)1"/>
      <sheetName val="ฟอร์มห้วยหลวง_(3)1"/>
      <sheetName val="ฟอร์มห้วยหลวง_(4)1"/>
      <sheetName val="ฟอร์มทุ่งสัมฤทธิ์_(2)1"/>
      <sheetName val="ฟอร์มทุ่งสัมฤทธิ์_(3)1"/>
      <sheetName val="ฟอร์มทุ่งสัมฤทธิ์_(4)1"/>
      <sheetName val="ฟอร์มทุ่งสัมฤทธิ์_(5)1"/>
      <sheetName val="ฟอร์มทุ่งสัมฤทธิ์_(6)1"/>
      <sheetName val="ฟอร์มทุ่งสัมฤทธิ์_(7)1"/>
      <sheetName val="ฟอร์มลุ่มน้ำปิงตอนล่าง_(2)1"/>
      <sheetName val="ฟอร์มลุ่มน้ำปิงตอนล่าง_(3)1"/>
      <sheetName val="ฟอร์มลุ่มน้ำปิงตอนล่าง_(4)1"/>
      <sheetName val="ฟอร์มลุ่มน้ำปิงตอนล่าง_(5)1"/>
      <sheetName val="ฟอร์มลุ่มน้ำปิงตอนล่าง_(6)1"/>
      <sheetName val="ฟอร์มลุ่มน้ำปิงตอนล่าง_(7)1"/>
      <sheetName val="ฟอร์มลุ่มน้ำปิงตอนล่าง_(8)1"/>
      <sheetName val="ฟอร์มลุ่มน้ำปิงตอนล่าง_(9)1"/>
      <sheetName val="ฟอร์มลุ่มน้ำปิงตอนล่าง_(10)1"/>
      <sheetName val="ฟอร์มลุ่มน้ำปิงตอนล่าง_(11)1"/>
      <sheetName val="ฟอร์มแม่ลาว_(2)1"/>
      <sheetName val="ฟอร์มแม่ลาว_(3)1"/>
      <sheetName val="ฟอร์มแม่ลาว_(4)1"/>
      <sheetName val="ฟอร์มแม่ลาว_(5)1"/>
      <sheetName val="ฟอร์มแม่ลาว_(6)1"/>
      <sheetName val="ฟอร์มกระเสียว_(2)1"/>
      <sheetName val="ฟอร์มกระเสียว_(3)1"/>
      <sheetName val="ขนาดใหญ่_(3)1"/>
      <sheetName val="ฟอร์มกระแสสินธุ์_(2)1"/>
      <sheetName val="สรุป_(รายเดือน44)1"/>
      <sheetName val="²耀ร์มลุ่มน้ำปิงตอนล่าง_(3)1"/>
      <sheetName val="ฟอรੌมกระเสียว_(2)1"/>
      <sheetName val="ฟอร่มกระแสสินธุ์_(2)1"/>
      <sheetName val="ฟอร์มห้วยหลวง_(2)2"/>
      <sheetName val="ฟอร์มห้วยหลวง_(3)2"/>
      <sheetName val="ฟอร์มห้วยหลวง_(4)2"/>
      <sheetName val="ฟอร์มทุ่งสัมฤทธิ์_(2)2"/>
      <sheetName val="ฟอร์มทุ่งสัมฤทธิ์_(3)2"/>
      <sheetName val="ฟอร์มทุ่งสัมฤทธิ์_(4)2"/>
      <sheetName val="ฟอร์มทุ่งสัมฤทธิ์_(5)2"/>
      <sheetName val="ฟอร์มทุ่งสัมฤทธิ์_(6)2"/>
      <sheetName val="ฟอร์มทุ่งสัมฤทธิ์_(7)2"/>
      <sheetName val="ฟอร์มลุ่มน้ำปิงตอนล่าง_(2)2"/>
      <sheetName val="ฟอร์มลุ่มน้ำปิงตอนล่าง_(3)2"/>
      <sheetName val="ฟอร์มลุ่มน้ำปิงตอนล่าง_(4)2"/>
      <sheetName val="ฟอร์มลุ่มน้ำปิงตอนล่าง_(5)2"/>
      <sheetName val="ฟอร์มลุ่มน้ำปิงตอนล่าง_(6)2"/>
      <sheetName val="ฟอร์มลุ่มน้ำปิงตอนล่าง_(7)2"/>
      <sheetName val="ฟอร์มลุ่มน้ำปิงตอนล่าง_(8)2"/>
      <sheetName val="ฟอร์มลุ่มน้ำปิงตอนล่าง_(9)2"/>
      <sheetName val="ฟอร์มลุ่มน้ำปิงตอนล่าง_(10)2"/>
      <sheetName val="ฟอร์มลุ่มน้ำปิงตอนล่าง_(11)2"/>
      <sheetName val="ฟอร์มแม่ลาว_(2)2"/>
      <sheetName val="ฟอร์มแม่ลาว_(3)2"/>
      <sheetName val="ฟอร์มแม่ลาว_(4)2"/>
      <sheetName val="ฟอร์มแม่ลาว_(5)2"/>
      <sheetName val="ฟอร์มแม่ลาว_(6)2"/>
      <sheetName val="ฟอร์มกระเสียว_(2)2"/>
      <sheetName val="ฟอร์มกระเสียว_(3)2"/>
      <sheetName val="ขนาดใหญ่_(3)2"/>
      <sheetName val="ฟอร์มกระแสสินธุ์_(2)2"/>
      <sheetName val="สรุป_(รายเดือน44)2"/>
      <sheetName val="²耀ร์มลุ่มน้ำปิงตอนล่าง_(3)2"/>
      <sheetName val="ฟอรੌมกระเสียว_(2)2"/>
      <sheetName val="ฟอร่มกระแสสินธุ์_(2)2"/>
      <sheetName val="ฟอร์มห้วยหลวง_(2)4"/>
      <sheetName val="ฟอร์มห้วยหลวง_(3)4"/>
      <sheetName val="ฟอร์มห้วยหลวง_(4)4"/>
      <sheetName val="ฟอร์มทุ่งสัมฤทธิ์_(2)4"/>
      <sheetName val="ฟอร์มทุ่งสัมฤทธิ์_(3)4"/>
      <sheetName val="ฟอร์มทุ่งสัมฤทธิ์_(4)4"/>
      <sheetName val="ฟอร์มทุ่งสัมฤทธิ์_(5)4"/>
      <sheetName val="ฟอร์มทุ่งสัมฤทธิ์_(6)4"/>
      <sheetName val="ฟอร์มทุ่งสัมฤทธิ์_(7)4"/>
      <sheetName val="ฟอร์มลุ่มน้ำปิงตอนล่าง_(2)4"/>
      <sheetName val="ฟอร์มลุ่มน้ำปิงตอนล่าง_(3)4"/>
      <sheetName val="ฟอร์มลุ่มน้ำปิงตอนล่าง_(4)4"/>
      <sheetName val="ฟอร์มลุ่มน้ำปิงตอนล่าง_(5)4"/>
      <sheetName val="ฟอร์มลุ่มน้ำปิงตอนล่าง_(6)4"/>
      <sheetName val="ฟอร์มลุ่มน้ำปิงตอนล่าง_(7)4"/>
      <sheetName val="ฟอร์มลุ่มน้ำปิงตอนล่าง_(8)4"/>
      <sheetName val="ฟอร์มลุ่มน้ำปิงตอนล่าง_(9)4"/>
      <sheetName val="ฟอร์มลุ่มน้ำปิงตอนล่าง_(10)4"/>
      <sheetName val="ฟอร์มลุ่มน้ำปิงตอนล่าง_(11)4"/>
      <sheetName val="ฟอร์มแม่ลาว_(2)4"/>
      <sheetName val="ฟอร์มแม่ลาว_(3)4"/>
      <sheetName val="ฟอร์มแม่ลาว_(4)4"/>
      <sheetName val="ฟอร์มแม่ลาว_(5)4"/>
      <sheetName val="ฟอร์มแม่ลาว_(6)4"/>
      <sheetName val="ฟอร์มกระเสียว_(2)4"/>
      <sheetName val="ฟอร์มกระเสียว_(3)4"/>
      <sheetName val="ขนาดใหญ่_(3)4"/>
      <sheetName val="ฟอร์มกระแสสินธุ์_(2)4"/>
      <sheetName val="สรุป_(รายเดือน44)4"/>
      <sheetName val="²耀ร์มลุ่มน้ำปิงตอนล่าง_(3)4"/>
      <sheetName val="ฟอรੌมกระเสียว_(2)4"/>
      <sheetName val="ฟอร่มกระแสสินธุ์_(2)4"/>
      <sheetName val="ฟอร์มห้วยหลวง_(2)5"/>
      <sheetName val="ฟอร์มห้วยหลวง_(3)5"/>
      <sheetName val="ฟอร์มห้วยหลวง_(4)5"/>
      <sheetName val="ฟอร์มทุ่งสัมฤทธิ์_(2)5"/>
      <sheetName val="ฟอร์มทุ่งสัมฤทธิ์_(3)5"/>
      <sheetName val="ทำนบดิน 4"/>
      <sheetName val="ฟอร์มห้วยหลวง_(2)6"/>
      <sheetName val="ฟอร์มห้วยหลวง_(3)6"/>
      <sheetName val="ฟอร์มห้วยหลวง_(4)6"/>
      <sheetName val="ฟอร์มทุ่งสัมฤทธิ์_(2)6"/>
      <sheetName val="ฟอร์มทุ่งสัมฤทธิ์_(3)6"/>
      <sheetName val="ฟอร์มทุ่งสัมฤทธิ์_(4)5"/>
      <sheetName val="ฟอร์มทุ่งสัมฤทธิ์_(5)5"/>
      <sheetName val="ฟอร์มทุ่งสัมฤทธิ์_(6)5"/>
      <sheetName val="ฟอร์มทุ่งสัมฤทธิ์_(7)5"/>
      <sheetName val="ฟอร์มลุ่มน้ำปิงตอนล่าง_(2)5"/>
      <sheetName val="ฟอร์มลุ่มน้ำปิงตอนล่าง_(3)5"/>
      <sheetName val="ฟอร์มลุ่มน้ำปิงตอนล่าง_(4)5"/>
      <sheetName val="ฟอร์มลุ่มน้ำปิงตอนล่าง_(5)5"/>
      <sheetName val="ฟอร์มลุ่มน้ำปิงตอนล่าง_(6)5"/>
      <sheetName val="ฟอร์มลุ่มน้ำปิงตอนล่าง_(7)5"/>
      <sheetName val="ฟอร์มลุ่มน้ำปิงตอนล่าง_(8)5"/>
      <sheetName val="ฟอร์มลุ่มน้ำปิงตอนล่าง_(9)5"/>
      <sheetName val="ฟอร์มลุ่มน้ำปิงตอนล่าง_(10)5"/>
      <sheetName val="ฟอร์มลุ่มน้ำปิงตอนล่าง_(11)5"/>
      <sheetName val="ฟอร์มแม่ลาว_(2)5"/>
      <sheetName val="ฟอร์มแม่ลาว_(3)5"/>
      <sheetName val="ฟอร์มแม่ลาว_(4)5"/>
      <sheetName val="ฟอร์มแม่ลาว_(5)5"/>
      <sheetName val="ฟอร์มแม่ลาว_(6)5"/>
      <sheetName val="ฟอร์มกระเสียว_(2)5"/>
      <sheetName val="ฟอร์มกระเสียว_(3)5"/>
      <sheetName val="ขนาดใหญ่_(3)5"/>
      <sheetName val="ฟอร์มกระแสสินธุ์_(2)5"/>
      <sheetName val="สรุป_(รายเดือน44)5"/>
      <sheetName val="²耀ร์มลุ่มน้ำปิงตอนล่าง_(3)5"/>
      <sheetName val="ฟอรੌมกระเสียว_(2)5"/>
      <sheetName val="ฟอร่มกระแสสินธุ์_(2)5"/>
      <sheetName val="อัตราไม้แบบ"/>
      <sheetName val="อัตราค่าขนส่งวัสดุ_งานทำเอง"/>
      <sheetName val="Cal Fto"/>
      <sheetName val="หกล้อขนส่ง"/>
      <sheetName val="ค่างานต้นทุน"/>
      <sheetName val="มิติท่อลอดถนน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*01"/>
      <sheetName val="ประมาณการ"/>
      <sheetName val="ข้อมูลเบื้องต้น"/>
      <sheetName val="ทำนบดิน 1"/>
      <sheetName val="ทำนบดิน 3"/>
      <sheetName val="ทำนบดิน 4"/>
      <sheetName val="ประมาณการเก่า "/>
      <sheetName val="คสลsp (2)"/>
      <sheetName val="S-SP new"/>
      <sheetName val="unit-p"/>
      <sheetName val="UNIT"/>
      <sheetName val="ราคาวัสดุ"/>
      <sheetName val="KS11"/>
      <sheetName val="KS12 "/>
      <sheetName val="ตารางแยก"/>
      <sheetName val="จัดชื้อ"/>
      <sheetName val="แผนจัดจ้าง "/>
      <sheetName val="ML"/>
      <sheetName val="ราคากลาง1"/>
      <sheetName val="ราคากลาง2"/>
      <sheetName val="ไม้-เหล็ก"/>
      <sheetName val="รากลางจ้างเหมา"/>
      <sheetName val="ข้อมูลเบื้ฬงต้น"/>
      <sheetName val="ఈัఔชื้อ"/>
      <sheetName val="ుผఙจัดจ੉าง "/>
      <sheetName val="ไม้-เษล็ก"/>
      <sheetName val="أากลางจ้างเหมา"/>
      <sheetName val="ราคากลางⴔ"/>
      <sheetName val="_x0000_=vòv_x0000__x0000__x0000__x0000__x0014_-_x0015__x0000_ø,_x0015__x0000_oxòv"/>
      <sheetName val="_x0000_"/>
      <sheetName val="25BASIN"/>
      <sheetName val="____01"/>
      <sheetName val="ขนาดกลาง"/>
      <sheetName val="ทำนบดิน"/>
      <sheetName val="?=vòv????_x0014_-_x0015_?ø,_x0015_?oxòv"/>
      <sheetName val="?"/>
      <sheetName val="Sheet1"/>
      <sheetName val="เพิ่มเติม A"/>
      <sheetName val="ทำนบดิน_1"/>
      <sheetName val="ทำนบดิน_3"/>
      <sheetName val="ทำนบดิน_4"/>
      <sheetName val="ประมาณการเก่า_"/>
      <sheetName val="คสลsp_(2)"/>
      <sheetName val="S-SP_new"/>
      <sheetName val="KS12_"/>
      <sheetName val="แผนจัดจ้าง_"/>
      <sheetName val="ుผఙจัดจ੉าง_"/>
      <sheetName val="=vòv-ø,oxòv"/>
      <sheetName val=""/>
      <sheetName val="?=vòv????-?ø,?oxòv"/>
      <sheetName val="เพิ่มเติม_A"/>
      <sheetName val="ค่ากำกับ ก่อสร้าง 12 (2)"/>
      <sheetName val="ค่ากำกับ ก่อสร้าง 12"/>
      <sheetName val="3"/>
      <sheetName val="10"/>
      <sheetName val="12"/>
      <sheetName val="รวม"/>
      <sheetName val="เลขประมาณการ"/>
      <sheetName val="ตารางที่ 1"/>
      <sheetName val="ตารางที่ 2"/>
      <sheetName val="รายละเอียดหน่วยงานฝาก สชป.12"/>
      <sheetName val="ค่าเตรียม1"/>
      <sheetName val="ค่าเตรียม2"/>
      <sheetName val="งบดำเนินงาน"/>
      <sheetName val="งบรายจ่ายอื่น"/>
      <sheetName val="งบลงทุน"/>
      <sheetName val="งานฝาก+อื่นๆ"/>
      <sheetName val="รวม สชป.12"/>
      <sheetName val="2562 เพิ่มเติม"/>
      <sheetName val="สรุป สชป.12 (2)"/>
      <sheetName val="สรุป"/>
      <sheetName val="พลเทพ"/>
      <sheetName val="ท่าโบสถ์"/>
      <sheetName val="สามชุก"/>
      <sheetName val="ดอนเจดีย์"/>
      <sheetName val="โพธิ์พระยา"/>
      <sheetName val="บรมธาตุ"/>
      <sheetName val="ชัณสูตร"/>
      <sheetName val="ยางมณี"/>
      <sheetName val="ผักไห่"/>
      <sheetName val="กระเสียว"/>
      <sheetName val="เจ้าพระยา"/>
      <sheetName val="ทับเสลา"/>
      <sheetName val="อุทัยธานี"/>
      <sheetName val="ชัยนาท"/>
      <sheetName val="สิงห์บุรี"/>
      <sheetName val="อ่างทอง"/>
      <sheetName val="สุพรรณบุรี"/>
      <sheetName val="คส."/>
      <sheetName val="ผคก."/>
      <sheetName val="ผจบ."/>
      <sheetName val="ผวศ."/>
      <sheetName val="รวม กผง."/>
      <sheetName val="สรุป สชป.12"/>
      <sheetName val="คบ.พลเทพ"/>
      <sheetName val="คบ.ท่าโบสถ์"/>
      <sheetName val="คบ.สามชุก"/>
      <sheetName val="คบ.ดอนเจดีย์"/>
      <sheetName val="คบ.โพธิ์พระยา"/>
      <sheetName val="คบ.บรมธาตุ"/>
      <sheetName val="คบ.ชัณสูตร"/>
      <sheetName val="คบ.ยางมณี"/>
      <sheetName val="คบ.ผักไห่"/>
      <sheetName val="คบ.กระเสียว"/>
      <sheetName val="คบ.เจ้าพระยา"/>
      <sheetName val="คบ.ทับเสลา"/>
      <sheetName val="คป.อุทัยธานี"/>
      <sheetName val="คป.ชัยนาท"/>
      <sheetName val="คป.สิงห์บุรี"/>
      <sheetName val="คป.อ่างทอง"/>
      <sheetName val="คป.สุพรรณบุรี"/>
      <sheetName val="คส.12"/>
      <sheetName val="ผคก.ชป.12"/>
      <sheetName val="ผจบ.ชป.12"/>
      <sheetName val="ผวศ.ชป.12"/>
      <sheetName val="ค่ากำกับ_ก่อสร้าง_12_(2)"/>
      <sheetName val="ค่ากำกับ_ก่อสร้าง_12"/>
      <sheetName val="ตารางที่_1"/>
      <sheetName val="ตารางที่_2"/>
      <sheetName val="รายละเอียดหน่วยงานฝาก_สชป_12"/>
      <sheetName val="รวม_สชป_12"/>
      <sheetName val="2562_เพิ่มเติม"/>
      <sheetName val="สรุป_สชป_12_(2)"/>
      <sheetName val="คส_"/>
      <sheetName val="ผคก_"/>
      <sheetName val="ผจบ_"/>
      <sheetName val="ผวศ_"/>
      <sheetName val="รวม_กผง_"/>
      <sheetName val="สรุป_สชป_12"/>
      <sheetName val="คบ_พลเทพ"/>
      <sheetName val="คบ_ท่าโบสถ์"/>
      <sheetName val="คบ_สามชุก"/>
      <sheetName val="คบ_ดอนเจดีย์"/>
      <sheetName val="คบ_โพธิ์พระยา"/>
      <sheetName val="คบ_บรมธาตุ"/>
      <sheetName val="คบ_ชัณสูตร"/>
      <sheetName val="คบ_ยางมณี"/>
      <sheetName val="คบ_ผักไห่"/>
      <sheetName val="คบ_กระเสียว"/>
      <sheetName val="คบ_เจ้าพระยา"/>
      <sheetName val="คบ_ทับเสลา"/>
      <sheetName val="คป_อุทัยธานี"/>
      <sheetName val="คป_ชัยนาท"/>
      <sheetName val="คป_สิงห์บุรี"/>
      <sheetName val="คป_อ่างทอง"/>
      <sheetName val="คป_สุพรรณบุรี"/>
      <sheetName val="คส_12"/>
      <sheetName val="ผคก_ชป_12"/>
      <sheetName val="ผจบ_ชป_12"/>
      <sheetName val="ผวศ_ชป_12"/>
      <sheetName val="ทำนบดิน_13"/>
      <sheetName val="ทำนบดิน_33"/>
      <sheetName val="ทำนบดิน_43"/>
      <sheetName val="ประมาณการเก่า_3"/>
      <sheetName val="คสลsp_(2)3"/>
      <sheetName val="S-SP_new3"/>
      <sheetName val="KS12_3"/>
      <sheetName val="แผนจัดจ้าง_3"/>
      <sheetName val="ుผఙจัดจ੉าง_3"/>
      <sheetName val="เพิ่มเติม_A3"/>
      <sheetName val="ทำนบดิน_11"/>
      <sheetName val="ทำนบดิน_31"/>
      <sheetName val="ทำนบดิน_41"/>
      <sheetName val="ประมาณการเก่า_1"/>
      <sheetName val="คสลsp_(2)1"/>
      <sheetName val="S-SP_new1"/>
      <sheetName val="KS12_1"/>
      <sheetName val="แผนจัดจ้าง_1"/>
      <sheetName val="ుผఙจัดจ੉าง_1"/>
      <sheetName val="เพิ่มเติม_A1"/>
      <sheetName val="ทำนบดิน_12"/>
      <sheetName val="ทำนบดิน_32"/>
      <sheetName val="ทำนบดิน_42"/>
      <sheetName val="ประมาณการเก่า_2"/>
      <sheetName val="คสลsp_(2)2"/>
      <sheetName val="S-SP_new2"/>
      <sheetName val="KS12_2"/>
      <sheetName val="แผนจัดจ้าง_2"/>
      <sheetName val="ుผఙจัดจ੉าง_2"/>
      <sheetName val="เพิ่มเติม_A2"/>
      <sheetName val="_=vòv_____x0014_-_x0015__ø,_x0015__oxòv"/>
      <sheetName val="_"/>
      <sheetName val="_=vòv____-_ø,_oxòv"/>
      <sheetName val="ทำนบดิน_14"/>
      <sheetName val="ทำนบดิน_34"/>
      <sheetName val="ทำนบดิน_44"/>
      <sheetName val="ประมาณการเก่า_4"/>
      <sheetName val="คสลsp_(2)4"/>
      <sheetName val="S-SP_new4"/>
      <sheetName val="KS12_4"/>
      <sheetName val="แผนจัดจ้าง_4"/>
      <sheetName val="ుผఙจัดจ੉าง_4"/>
      <sheetName val="เพิ่มเติม_A4"/>
      <sheetName val="ค่ากำกับ_ก่อสร้าง_12_(2)1"/>
      <sheetName val="ค่ากำกับ_ก่อสร้าง_121"/>
      <sheetName val="ตารางที่_11"/>
      <sheetName val="ตารางที่_21"/>
      <sheetName val="รายละเอียดหน่วยงานฝาก_สชป_121"/>
      <sheetName val="รวม_สชป_121"/>
      <sheetName val="2562_เพิ่มเติม1"/>
      <sheetName val="สรุป_สชป_12_(2)1"/>
      <sheetName val="คส_1"/>
      <sheetName val="ผคก_1"/>
      <sheetName val="ผจบ_1"/>
      <sheetName val="ผวศ_1"/>
      <sheetName val="รวม_กผง_1"/>
      <sheetName val="สรุป_สชป_121"/>
      <sheetName val="คบ_พลเทพ1"/>
      <sheetName val="คบ_ท่าโบสถ์1"/>
      <sheetName val="คบ_สามชุก1"/>
      <sheetName val="คบ_ดอนเจดีย์1"/>
      <sheetName val="คบ_โพธิ์พระยา1"/>
      <sheetName val="คบ_บรมธาตุ1"/>
      <sheetName val="คบ_ชัณสูตร1"/>
      <sheetName val="คบ_ยางมณี1"/>
      <sheetName val="คบ_ผักไห่1"/>
      <sheetName val="คบ_กระเสียว1"/>
      <sheetName val="คบ_เจ้าพระยา1"/>
      <sheetName val="คบ_ทับเสลา1"/>
      <sheetName val="คป_อุทัยธานี1"/>
      <sheetName val="คป_ชัยนาท1"/>
      <sheetName val="คป_สิงห์บุรี1"/>
      <sheetName val="คป_อ่างทอง1"/>
      <sheetName val="คป_สุพรรณบุรี1"/>
      <sheetName val="คส_121"/>
      <sheetName val="ผคก_ชป_121"/>
      <sheetName val="ผจบ_ชป_121"/>
      <sheetName val="ผวศ_ชป_121"/>
      <sheetName val="ทำนบดิน_15"/>
      <sheetName val="ทำนบดิน_35"/>
      <sheetName val="ทำนบดิน_45"/>
      <sheetName val="ประมาณการเก่า_5"/>
      <sheetName val="คสลsp_(2)5"/>
      <sheetName val="S-SP_new5"/>
      <sheetName val="KS12_5"/>
      <sheetName val="แผนจัดจ้าง_5"/>
      <sheetName val="ుผఙจัดจ੉าง_5"/>
      <sheetName val="เพิ่มเติม_A5"/>
      <sheetName val="ค่ากำกับ_ก่อสร้าง_12_(2)2"/>
      <sheetName val="ค่ากำกับ_ก่อสร้าง_122"/>
      <sheetName val="ตารางที่_12"/>
      <sheetName val="ตารางที่_22"/>
      <sheetName val="รายละเอียดหน่วยงานฝาก_สชป_122"/>
      <sheetName val="รวม_สชป_122"/>
      <sheetName val="2562_เพิ่มเติม2"/>
      <sheetName val="สรุป_สชป_12_(2)2"/>
      <sheetName val="คส_2"/>
      <sheetName val="ผคก_2"/>
      <sheetName val="ผจบ_2"/>
      <sheetName val="ผวศ_2"/>
      <sheetName val="รวม_กผง_2"/>
      <sheetName val="สรุป_สชป_122"/>
      <sheetName val="คบ_พลเทพ2"/>
      <sheetName val="คบ_ท่าโบสถ์2"/>
      <sheetName val="คบ_สามชุก2"/>
      <sheetName val="คบ_ดอนเจดีย์2"/>
      <sheetName val="คบ_โพธิ์พระยา2"/>
      <sheetName val="คบ_บรมธาตุ2"/>
      <sheetName val="คบ_ชัณสูตร2"/>
      <sheetName val="คบ_ยางมณี2"/>
      <sheetName val="คบ_ผักไห่2"/>
      <sheetName val="คบ_กระเสียว2"/>
      <sheetName val="คบ_เจ้าพระยา2"/>
      <sheetName val="คบ_ทับเสลา2"/>
      <sheetName val="คป_อุทัยธานี2"/>
      <sheetName val="คป_ชัยนาท2"/>
      <sheetName val="คป_สิงห์บุรี2"/>
      <sheetName val="คป_อ่างทอง2"/>
      <sheetName val="คป_สุพรรณบุรี2"/>
      <sheetName val="คส_122"/>
      <sheetName val="ผคก_ชป_122"/>
      <sheetName val="ผจบ_ชป_122"/>
      <sheetName val="ผวศ_ชป_122"/>
      <sheetName val="ทำนบดิน_16"/>
      <sheetName val="ทำนบดิน_36"/>
      <sheetName val="ทำนบดิน_46"/>
      <sheetName val="ประมาณการเก่า_6"/>
      <sheetName val="คสลsp_(2)6"/>
      <sheetName val="S-SP_new6"/>
      <sheetName val="KS12_6"/>
      <sheetName val="แผนจัดจ้าง_6"/>
      <sheetName val="ుผఙจัดจ੉าง_6"/>
      <sheetName val="เพิ่มเติม_A6"/>
      <sheetName val="ค่ากำกับ_ก่อสร้าง_12_(2)3"/>
      <sheetName val="ค่ากำกับ_ก่อสร้าง_123"/>
      <sheetName val="ตารางที่_13"/>
      <sheetName val="ตารางที่_23"/>
      <sheetName val="รายละเอียดหน่วยงานฝาก_สชป_123"/>
      <sheetName val="รวม_สชป_123"/>
      <sheetName val="2562_เพิ่มเติม3"/>
      <sheetName val="สรุป_สชป_12_(2)3"/>
      <sheetName val="คส_3"/>
      <sheetName val="ผคก_3"/>
      <sheetName val="ผจบ_3"/>
      <sheetName val="ผวศ_3"/>
      <sheetName val="รวม_กผง_3"/>
      <sheetName val="สรุป_สชป_123"/>
      <sheetName val="คบ_พลเทพ3"/>
      <sheetName val="คบ_ท่าโบสถ์3"/>
      <sheetName val="คบ_สามชุก3"/>
      <sheetName val="คบ_ดอนเจดีย์3"/>
      <sheetName val="คบ_โพธิ์พระยา3"/>
      <sheetName val="คบ_บรมธาตุ3"/>
      <sheetName val="คบ_ชัณสูตร3"/>
      <sheetName val="คบ_ยางมณี3"/>
      <sheetName val="คบ_ผักไห่3"/>
      <sheetName val="คบ_กระเสียว3"/>
      <sheetName val="คบ_เจ้าพระยา3"/>
      <sheetName val="คบ_ทับเสลา3"/>
      <sheetName val="คป_อุทัยธานี3"/>
      <sheetName val="คป_ชัยนาท3"/>
      <sheetName val="คป_สิงห์บุรี3"/>
      <sheetName val="คป_อ่างทอง3"/>
      <sheetName val="คป_สุพรรณบุรี3"/>
      <sheetName val="คส_123"/>
      <sheetName val="ผคก_ชป_123"/>
      <sheetName val="ผจบ_ชป_123"/>
      <sheetName val="ผวศ_ชป_123"/>
      <sheetName val="Crop"/>
      <sheetName val="ตัวอย่างCwr"/>
      <sheetName val="=vòv_x0014_-_x0015_ø,_x0015_oxòv"/>
      <sheetName val="อาคารท่อปากคลอง ชนิด PL-1"/>
      <sheetName val="อาคารท่อลอด"/>
      <sheetName val="กสย11.1"/>
      <sheetName val="ทำนบดิน_17"/>
      <sheetName val="ทำนบดิน_37"/>
      <sheetName val="ทำนบดิน_47"/>
      <sheetName val="ประมาณการเก่า_7"/>
      <sheetName val="คสลsp_(2)7"/>
      <sheetName val="S-SP_new7"/>
      <sheetName val="KS12_7"/>
      <sheetName val="แผนจัดจ้าง_7"/>
      <sheetName val="ుผఙจัดจ੉าง_7"/>
      <sheetName val="เพิ่มเติม_A7"/>
      <sheetName val="ค่ากำกับ_ก่อสร้าง_12_(2)4"/>
      <sheetName val="ค่ากำกับ_ก่อสร้าง_124"/>
      <sheetName val="ตารางที่_14"/>
      <sheetName val="ตารางที่_24"/>
      <sheetName val="รายละเอียดหน่วยงานฝาก_สชป_124"/>
      <sheetName val="รวม_สชป_124"/>
      <sheetName val="2562_เพิ่มเติม4"/>
      <sheetName val="สรุป_สชป_12_(2)4"/>
      <sheetName val="คส_4"/>
      <sheetName val="ผคก_4"/>
      <sheetName val="ผจบ_4"/>
      <sheetName val="ผวศ_4"/>
      <sheetName val="รวม_กผง_4"/>
      <sheetName val="สรุป_สชป_124"/>
      <sheetName val="คบ_พลเทพ4"/>
      <sheetName val="คบ_ท่าโบสถ์4"/>
      <sheetName val="คบ_สามชุก4"/>
      <sheetName val="คบ_ดอนเจดีย์4"/>
      <sheetName val="คบ_โพธิ์พระยา4"/>
      <sheetName val="คบ_บรมธาตุ4"/>
      <sheetName val="คบ_ชัณสูตร4"/>
      <sheetName val="คบ_ยางมณี4"/>
      <sheetName val="คบ_ผักไห่4"/>
      <sheetName val="คบ_กระเสียว4"/>
      <sheetName val="คบ_เจ้าพระยา4"/>
      <sheetName val="คบ_ทับเสลา4"/>
      <sheetName val="คป_อุทัยธานี4"/>
      <sheetName val="คป_ชัยนาท4"/>
      <sheetName val="คป_สิงห์บุรี4"/>
      <sheetName val="คป_อ่างทอง4"/>
      <sheetName val="คป_สุพรรณบุรี4"/>
      <sheetName val="คส_124"/>
      <sheetName val="ผคก_ชป_124"/>
      <sheetName val="ผจบ_ชป_124"/>
      <sheetName val="ผวศ_ชป_124"/>
      <sheetName val="6"/>
      <sheetName val="สรุปรายละเอียดแผน"/>
      <sheetName val="แผนซื้อ-จ้าง"/>
      <sheetName val="งานจ้าง"/>
      <sheetName val="แผนค่าแรง"/>
      <sheetName val="มิติท่อลอดถนน"/>
      <sheetName val="มิติท่อปากคลอง"/>
      <sheetName val="ท่อลอดคลองส่งน้ำ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 refreshError="1"/>
      <sheetData sheetId="370"/>
      <sheetData sheetId="371"/>
      <sheetData sheetId="372"/>
      <sheetData sheetId="373"/>
      <sheetData sheetId="374" refreshError="1"/>
      <sheetData sheetId="375" refreshError="1"/>
      <sheetData sheetId="37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*01"/>
      <sheetName val="ปก"/>
      <sheetName val="ข้อมูลเบื้องต้น"/>
      <sheetName val="กสย11"/>
      <sheetName val="กสย11.1"/>
      <sheetName val="หน้า ปมก"/>
      <sheetName val="ปมก. "/>
      <sheetName val="รายละเอียด"/>
      <sheetName val="อัตราราคาวัสดุ"/>
      <sheetName val="อัตราลูกรังและงานทาง"/>
      <sheetName val="คสล.และวัสดุ"/>
      <sheetName val="ราคาท่อ"/>
      <sheetName val="ค่าขนส่งท่อ"/>
      <sheetName val="กสย11_1"/>
      <sheetName val="อะตราลูกรังและงานทาง"/>
      <sheetName val="ทำนบดิน 4"/>
      <sheetName val="____01"/>
      <sheetName val="ปมกท่าเสลาจ้างเหมาทั้งหมดปี45"/>
      <sheetName val="ขนาดกลาง"/>
      <sheetName val="กสย11_11"/>
      <sheetName val="หน้า_ปมก"/>
      <sheetName val="ปมก__"/>
      <sheetName val="คสล_และวัสดุ"/>
      <sheetName val="ทำนบดิน_4"/>
      <sheetName val="สรุป"/>
      <sheetName val="62 เพิ่มเติม สูบน้ำ"/>
      <sheetName val="63 เพิ่มเติม นโยบาย"/>
      <sheetName val="63 เพิ่มเติม นโยบาย 1"/>
      <sheetName val="CENPROJ_office12_170562"/>
      <sheetName val="62_เพิ่มเติม_สูบน้ำ"/>
      <sheetName val="63_เพิ่มเติม_นโยบาย"/>
      <sheetName val="63_เพิ่มเติม_นโยบาย_1"/>
      <sheetName val="กสย11_14"/>
      <sheetName val="หน้า_ปมก3"/>
      <sheetName val="ปมก__3"/>
      <sheetName val="คสล_และวัสดุ3"/>
      <sheetName val="ทำนบดิน_43"/>
      <sheetName val="62_เพิ่มเติม_สูบน้ำ2"/>
      <sheetName val="63_เพิ่มเติม_นโยบาย2"/>
      <sheetName val="63_เพิ่มเติม_นโยบาย_12"/>
      <sheetName val="กสย11_12"/>
      <sheetName val="หน้า_ปมก1"/>
      <sheetName val="ปมก__1"/>
      <sheetName val="คสล_และวัสดุ1"/>
      <sheetName val="ทำนบดิน_41"/>
      <sheetName val="กสย11_13"/>
      <sheetName val="หน้า_ปมก2"/>
      <sheetName val="ปมก__2"/>
      <sheetName val="คสล_และวัสดุ2"/>
      <sheetName val="ทำนบดิน_42"/>
      <sheetName val="62_เพิ่มเติม_สูบน้ำ1"/>
      <sheetName val="63_เพิ่มเติม_นโยบาย1"/>
      <sheetName val="63_เพิ่มเติม_นโยบาย_11"/>
      <sheetName val="กบ.1"/>
      <sheetName val="กบ.5 (1)"/>
      <sheetName val="แผน-ผลเครื่องจักร"/>
      <sheetName val="กบ.5 (2)"/>
      <sheetName val="แผน-ผลบุคลากร "/>
      <sheetName val="รายงานผลงาน กจ.3 งิ้วงาม"/>
      <sheetName val="กสย11_15"/>
      <sheetName val="หน้า_ปมก4"/>
      <sheetName val="ปมก__4"/>
      <sheetName val="คสล_และวัสดุ4"/>
      <sheetName val="ทำนบดิน_44"/>
      <sheetName val="62_เพิ่มเติม_สูบน้ำ3"/>
      <sheetName val="63_เพิ่มเติม_นโยบาย3"/>
      <sheetName val="63_เพิ่มเติม_นโยบาย_13"/>
      <sheetName val="ส่วนการคำนวณและแสดงผล.2"/>
      <sheetName val="กสย11_16"/>
      <sheetName val="หน้า_ปมก5"/>
      <sheetName val="ปมก__5"/>
      <sheetName val="คสล_และวัสดุ5"/>
      <sheetName val="ทำนบดิน_45"/>
      <sheetName val="62_เพิ่มเติม_สูบน้ำ4"/>
      <sheetName val="63_เพิ่มเติม_นโยบาย4"/>
      <sheetName val="63_เพิ่มเติม_นโยบาย_14"/>
      <sheetName val="กบ_1"/>
      <sheetName val="กบ_5_(1)"/>
      <sheetName val="กบ_5_(2)"/>
      <sheetName val="แผน-ผลบุคลากร_"/>
      <sheetName val="รายงานผลงาน_กจ_3_งิ้วงาม"/>
      <sheetName val="ส่วนการคำนวณและแสดงผล_2"/>
      <sheetName val="กสย11_17"/>
      <sheetName val="หน้า_ปมก6"/>
      <sheetName val="ปมก__6"/>
      <sheetName val="คสล_และวัสดุ6"/>
      <sheetName val="ทำนบดิน_46"/>
      <sheetName val="62_เพิ่มเติม_สูบน้ำ5"/>
      <sheetName val="63_เพิ่มเติม_นโยบาย5"/>
      <sheetName val="63_เพิ่มเติม_นโยบาย_15"/>
      <sheetName val="กบ_11"/>
      <sheetName val="กบ_5_(1)1"/>
      <sheetName val="กบ_5_(2)1"/>
      <sheetName val="แผน-ผลบุคลากร_1"/>
      <sheetName val="รายงานผลงาน_กจ_3_งิ้วงาม1"/>
      <sheetName val="ส่วนการคำนวณและแสดงผล_21"/>
      <sheetName val="Cal Fto"/>
      <sheetName val="มิติ"/>
      <sheetName val="00 สรุป"/>
      <sheetName val="F(ของเรา)"/>
      <sheetName val="แผนงาน"/>
      <sheetName val="กสย11_18"/>
      <sheetName val="หน้า_ปมก7"/>
      <sheetName val="ปมก__7"/>
      <sheetName val="คสล_และวัสดุ7"/>
      <sheetName val="ทำนบดิน_47"/>
      <sheetName val="62_เพิ่มเติม_สูบน้ำ6"/>
      <sheetName val="63_เพิ่มเติม_นโยบาย6"/>
      <sheetName val="63_เพิ่มเติม_นโยบาย_16"/>
      <sheetName val="กบ_12"/>
      <sheetName val="กบ_5_(1)2"/>
      <sheetName val="กบ_5_(2)2"/>
      <sheetName val="แผน-ผลบุคลากร_2"/>
      <sheetName val="รายงานผลงาน_กจ_3_งิ้วงาม2"/>
      <sheetName val="ส่วนการคำนวณและแสดงผล_22"/>
      <sheetName val="Cal_Fto"/>
      <sheetName val="detail (2)"/>
      <sheetName val="220"/>
      <sheetName val="แยกวัสดุหลัก (รายแห่ง)"/>
      <sheetName val="cal-เสาไฟฟ้า"/>
      <sheetName val="SH-G"/>
      <sheetName val="SH-A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/>
      <sheetData sheetId="120" refreshError="1"/>
      <sheetData sheetId="12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ตัวอย่าง"/>
      <sheetName val="ฟอร์มเปล่า"/>
      <sheetName val="รายชื่อโครงการ ปี 57"/>
      <sheetName val="โครงการที่ส่งแบบฟอร์มแล้ว"/>
      <sheetName val="ตารางแนบหมายเลข2ครั้งupdate"/>
      <sheetName val="ตารางแนบหมายเลข2พรด"/>
      <sheetName val="ขอครั้งที่1"/>
      <sheetName val="ขอครั้งที่2"/>
      <sheetName val="Sheet2"/>
      <sheetName val="รายชื่อโครงการ ปี 56"/>
    </sheetNames>
    <sheetDataSet>
      <sheetData sheetId="0"/>
      <sheetData sheetId="1"/>
      <sheetData sheetId="2"/>
      <sheetData sheetId="3">
        <row r="139">
          <cell r="U139">
            <v>0</v>
          </cell>
        </row>
        <row r="147">
          <cell r="U147">
            <v>0</v>
          </cell>
        </row>
        <row r="148">
          <cell r="U148">
            <v>0</v>
          </cell>
        </row>
      </sheetData>
      <sheetData sheetId="4">
        <row r="6">
          <cell r="F6">
            <v>51209490</v>
          </cell>
        </row>
      </sheetData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*01"/>
      <sheetName val="ปก"/>
      <sheetName val="ข้อมูลเบื้องต้น"/>
      <sheetName val="กสย11"/>
      <sheetName val="กสย11.1"/>
      <sheetName val="หน้า ปมก"/>
      <sheetName val="ปมก. "/>
      <sheetName val="รายละเอียด"/>
      <sheetName val="อัตราราคาวัสดุ"/>
      <sheetName val="อัตราลูกรังและงานทาง"/>
      <sheetName val="คสล.และวัสดุ"/>
      <sheetName val="ราคาท่อ"/>
      <sheetName val="ค่าขนส่งท่อ"/>
      <sheetName val="Irrigation Project code (R16+1)"/>
      <sheetName val="ใบหน้า"/>
      <sheetName val="Data งานจ้างเหมา"/>
      <sheetName val="อัตราราคางานคอนกรีต"/>
      <sheetName val="งานปรับปรุงหัวงาน"/>
      <sheetName val="อัตราราคางานต่างๆ "/>
      <sheetName val="กสย11_1"/>
      <sheetName val="หน้า_ปมก"/>
      <sheetName val="ปมก__"/>
      <sheetName val="คสล_และวัสดุ"/>
      <sheetName val="Irrigation_Project_code_(R16+1)"/>
      <sheetName val="____01"/>
      <sheetName val="ข้อมูล"/>
      <sheetName val="ค่าขนส่ง 23-23.99"/>
      <sheetName val="ผ1-ผ2 (2538)"/>
      <sheetName val="STATUS"/>
      <sheetName val="อ ท่อส่งน้ำเข้านา"/>
      <sheetName val="ด้านหน้าฝาย"/>
      <sheetName val="seminar(O)"/>
      <sheetName val="กสย11_11"/>
      <sheetName val="หน้า_ปมก1"/>
      <sheetName val="ปมก__1"/>
      <sheetName val="คสล_และวัสดุ1"/>
      <sheetName val="Irrigation_Project_code_(R16+11"/>
      <sheetName val="Data_งานจ้างเหมา"/>
      <sheetName val="อัตราราคางานต่างๆ_"/>
      <sheetName val="ค่าขนส่ง_23-23_99"/>
      <sheetName val="ผ1-ผ2_(2538)"/>
      <sheetName val="อ_ท่อส่งน้ำเข้านา"/>
      <sheetName val="โครงการที่ส่งแบบฟอร์มแล้ว"/>
      <sheetName val="กสย11_14"/>
      <sheetName val="หน้า_ปมก4"/>
      <sheetName val="ปมก__4"/>
      <sheetName val="คสล_และวัสดุ4"/>
      <sheetName val="Irrigation_Project_code_(R16+14"/>
      <sheetName val="Data_งานจ้างเหมา3"/>
      <sheetName val="อัตราราคางานต่างๆ_3"/>
      <sheetName val="ค่าขนส่ง_23-23_993"/>
      <sheetName val="ผ1-ผ2_(2538)3"/>
      <sheetName val="อ_ท่อส่งน้ำเข้านา3"/>
      <sheetName val="กสย11_12"/>
      <sheetName val="หน้า_ปมก2"/>
      <sheetName val="ปมก__2"/>
      <sheetName val="คสล_และวัสดุ2"/>
      <sheetName val="Irrigation_Project_code_(R16+12"/>
      <sheetName val="Data_งานจ้างเหมา1"/>
      <sheetName val="อัตราราคางานต่างๆ_1"/>
      <sheetName val="ค่าขนส่ง_23-23_991"/>
      <sheetName val="ผ1-ผ2_(2538)1"/>
      <sheetName val="อ_ท่อส่งน้ำเข้านา1"/>
      <sheetName val="กสย11_13"/>
      <sheetName val="หน้า_ปมก3"/>
      <sheetName val="ปมก__3"/>
      <sheetName val="คสล_และวัสดุ3"/>
      <sheetName val="Irrigation_Project_code_(R16+13"/>
      <sheetName val="Data_งานจ้างเหมา2"/>
      <sheetName val="อัตราราคางานต่างๆ_2"/>
      <sheetName val="ค่าขนส่ง_23-23_992"/>
      <sheetName val="ผ1-ผ2_(2538)2"/>
      <sheetName val="อ_ท่อส่งน้ำเข้านา2"/>
      <sheetName val="ฐานแยกลุ่มน้ำ"/>
      <sheetName val="กสย11_15"/>
      <sheetName val="หน้า_ปมก5"/>
      <sheetName val="ปมก__5"/>
      <sheetName val="คสล_และวัสดุ5"/>
      <sheetName val="Irrigation_Project_code_(R16+15"/>
      <sheetName val="Data_งานจ้างเหมา4"/>
      <sheetName val="อัตราราคางานต่างๆ_4"/>
      <sheetName val="ค่าขนส่ง_23-23_994"/>
      <sheetName val="ผ1-ผ2_(2538)4"/>
      <sheetName val="อ_ท่อส่งน้ำเข้านา4"/>
      <sheetName val="มิติท่อปากคลอง"/>
      <sheetName val="กสย11_17"/>
      <sheetName val="unitcostรวม"/>
      <sheetName val="ค่างานต้นทุน"/>
      <sheetName val="ปร.4"/>
      <sheetName val="กสย11_16"/>
      <sheetName val="หน้า_ปมก6"/>
      <sheetName val="ปมก__6"/>
      <sheetName val="คสล_และวัสดุ6"/>
      <sheetName val="Irrigation_Project_code_(R16+16"/>
      <sheetName val="Data_งานจ้างเหมา5"/>
      <sheetName val="อัตราราคางานต่างๆ_5"/>
      <sheetName val="ค่าขนส่ง_23-23_995"/>
      <sheetName val="ผ1-ผ2_(2538)5"/>
      <sheetName val="อ_ท่อส่งน้ำเข้านา5"/>
      <sheetName val="ปร_4"/>
      <sheetName val="กสย11_18"/>
      <sheetName val="หน้า_ปมก7"/>
      <sheetName val="ปมก__7"/>
      <sheetName val="คสล_และวัสดุ7"/>
      <sheetName val="Irrigation_Project_code_(R16+17"/>
      <sheetName val="Data_งานจ้างเหมา6"/>
      <sheetName val="อัตราราคางานต่างๆ_6"/>
      <sheetName val="ค่าขนส่ง_23-23_996"/>
      <sheetName val="ผ1-ผ2_(2538)6"/>
      <sheetName val="อ_ท่อส่งน้ำเข้านา6"/>
      <sheetName val="1"/>
      <sheetName val="สรุปเรื่องเดิม"/>
      <sheetName val="DETAIL01"/>
      <sheetName val="กสย11_19"/>
      <sheetName val="หน้า_ปมก8"/>
      <sheetName val="ปมก__8"/>
      <sheetName val="คสล_และวัสดุ8"/>
      <sheetName val="Irrigation_Project_code_(R16+18"/>
      <sheetName val="Data_งานจ้างเหมา7"/>
      <sheetName val="อัตราราคางานต่างๆ_7"/>
      <sheetName val="ค่าขนส่ง_23-23_997"/>
      <sheetName val="ผ1-ผ2_(2538)7"/>
      <sheetName val="อ_ท่อส่งน้ำเข้านา7"/>
      <sheetName val="ปร_41"/>
      <sheetName val="สรุป"/>
      <sheetName val="แผนงาน"/>
      <sheetName val="S1"/>
      <sheetName val="ค่าชนส่ง(6ล้อ)"/>
      <sheetName val="ค่าขนส่ง(พ่วง)"/>
      <sheetName val="220"/>
      <sheetName val="Calculation of K"/>
      <sheetName val="DataInput"/>
      <sheetName val="งานเหล็กREVER"/>
      <sheetName val="สรุปค่าขนส่ง"/>
    </sheetNames>
    <sheetDataSet>
      <sheetData sheetId="0" refreshError="1"/>
      <sheetData sheetId="1" refreshError="1"/>
      <sheetData sheetId="2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 refreshError="1"/>
      <sheetData sheetId="13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898F0-0DD8-410E-8808-606B36B6B525}">
  <sheetPr>
    <tabColor rgb="FFFFFF00"/>
  </sheetPr>
  <dimension ref="A1:DU563"/>
  <sheetViews>
    <sheetView showGridLines="0" tabSelected="1" zoomScale="73" zoomScaleNormal="73" zoomScaleSheetLayoutView="50" workbookViewId="0">
      <pane xSplit="4" ySplit="8" topLeftCell="AM555" activePane="bottomRight" state="frozen"/>
      <selection pane="topRight" activeCell="J1" sqref="J1"/>
      <selection pane="bottomLeft" activeCell="A9" sqref="A9"/>
      <selection pane="bottomRight" activeCell="CK12" sqref="CK12"/>
    </sheetView>
  </sheetViews>
  <sheetFormatPr defaultRowHeight="21" x14ac:dyDescent="0.35"/>
  <cols>
    <col min="1" max="1" width="14.75" style="376" customWidth="1"/>
    <col min="2" max="2" width="65.25" style="390" customWidth="1"/>
    <col min="3" max="3" width="8.625" style="361" customWidth="1"/>
    <col min="4" max="4" width="15.125" style="2" customWidth="1"/>
    <col min="5" max="5" width="13.125" style="362" customWidth="1"/>
    <col min="6" max="6" width="12.75" style="362" customWidth="1"/>
    <col min="7" max="7" width="10.125" style="362" customWidth="1"/>
    <col min="8" max="8" width="10.125" style="363" customWidth="1"/>
    <col min="9" max="9" width="13.75" style="2" customWidth="1"/>
    <col min="10" max="11" width="14.75" style="2" customWidth="1"/>
    <col min="12" max="12" width="13.75" style="2" customWidth="1"/>
    <col min="13" max="14" width="14.75" style="2" customWidth="1"/>
    <col min="15" max="15" width="13.75" style="2" customWidth="1"/>
    <col min="16" max="16" width="10.875" style="364" customWidth="1"/>
    <col min="17" max="17" width="8" style="365" customWidth="1"/>
    <col min="18" max="18" width="11" style="366" customWidth="1"/>
    <col min="19" max="19" width="12" style="367" customWidth="1"/>
    <col min="20" max="21" width="14.75" style="2" customWidth="1"/>
    <col min="22" max="22" width="8.5" style="368" customWidth="1"/>
    <col min="23" max="23" width="12.5" style="369" customWidth="1"/>
    <col min="24" max="24" width="15.375" style="364" customWidth="1"/>
    <col min="25" max="25" width="16" style="364" customWidth="1"/>
    <col min="26" max="26" width="14.75" style="364" customWidth="1"/>
    <col min="27" max="27" width="6.625" style="362" customWidth="1"/>
    <col min="28" max="28" width="11.5" style="369" customWidth="1"/>
    <col min="29" max="29" width="14.75" style="364" customWidth="1"/>
    <col min="30" max="30" width="14.5" style="364" customWidth="1"/>
    <col min="31" max="31" width="11.375" style="370" customWidth="1"/>
    <col min="32" max="32" width="11.125" style="366" customWidth="1"/>
    <col min="33" max="33" width="16" style="364" customWidth="1"/>
    <col min="34" max="34" width="16.875" style="364" customWidth="1"/>
    <col min="35" max="35" width="15.25" style="2" customWidth="1"/>
    <col min="36" max="36" width="15.875" style="364" customWidth="1"/>
    <col min="37" max="37" width="17.625" style="364" customWidth="1"/>
    <col min="38" max="38" width="16.875" style="364" customWidth="1"/>
    <col min="39" max="39" width="6" style="362" customWidth="1"/>
    <col min="40" max="40" width="10.25" style="366" customWidth="1"/>
    <col min="41" max="42" width="14.75" style="364" customWidth="1"/>
    <col min="43" max="43" width="17.75" style="372" customWidth="1"/>
    <col min="44" max="44" width="17.75" style="364" customWidth="1"/>
    <col min="45" max="45" width="8.25" style="364" customWidth="1"/>
    <col min="46" max="46" width="15.5" style="364" customWidth="1"/>
    <col min="47" max="47" width="17.625" style="364" customWidth="1"/>
    <col min="48" max="48" width="17.375" style="364" customWidth="1"/>
    <col min="49" max="49" width="10.875" style="364" customWidth="1"/>
    <col min="50" max="50" width="9.75" style="364" customWidth="1"/>
    <col min="51" max="51" width="15.125" style="364" customWidth="1"/>
    <col min="52" max="52" width="14.75" style="364" customWidth="1"/>
    <col min="53" max="53" width="17.625" style="372" customWidth="1"/>
    <col min="54" max="54" width="17.625" style="364" customWidth="1"/>
    <col min="55" max="55" width="14.625" style="364" customWidth="1"/>
    <col min="56" max="56" width="16.5" style="364" customWidth="1"/>
    <col min="57" max="57" width="17.125" style="364" customWidth="1"/>
    <col min="58" max="58" width="15.125" style="364" customWidth="1"/>
    <col min="59" max="59" width="15.625" style="364" customWidth="1"/>
    <col min="60" max="60" width="17.625" style="372" customWidth="1"/>
    <col min="61" max="61" width="17.625" style="364" customWidth="1"/>
    <col min="62" max="62" width="8.875" style="380" customWidth="1"/>
    <col min="63" max="63" width="9.5" style="374" customWidth="1"/>
    <col min="64" max="64" width="9.125" style="374" customWidth="1"/>
    <col min="65" max="65" width="14.25" style="375" customWidth="1"/>
    <col min="66" max="66" width="12" style="381" customWidth="1"/>
    <col min="67" max="67" width="15.75" style="364" customWidth="1"/>
    <col min="68" max="69" width="17.25" style="364" customWidth="1"/>
    <col min="70" max="70" width="15.75" style="364" customWidth="1"/>
    <col min="71" max="71" width="17.375" style="364" customWidth="1"/>
    <col min="72" max="72" width="17.875" style="364" customWidth="1"/>
    <col min="73" max="76" width="14.75" style="364" customWidth="1"/>
    <col min="77" max="77" width="13.5" style="2" customWidth="1"/>
    <col min="78" max="79" width="13" style="2" customWidth="1"/>
    <col min="80" max="84" width="13.25" style="2" customWidth="1"/>
    <col min="85" max="87" width="13" style="2" customWidth="1"/>
    <col min="88" max="88" width="12.375" style="2" customWidth="1"/>
    <col min="89" max="89" width="23.125" style="3" customWidth="1"/>
    <col min="90" max="90" width="20.125" style="3" customWidth="1"/>
    <col min="91" max="91" width="9.875" style="4" customWidth="1"/>
    <col min="92" max="92" width="11.875" style="5" customWidth="1"/>
    <col min="93" max="93" width="12.125" style="5" customWidth="1"/>
    <col min="94" max="94" width="12" style="6" customWidth="1"/>
    <col min="95" max="95" width="13.125" style="7" customWidth="1"/>
    <col min="96" max="96" width="13.125" style="4" customWidth="1"/>
    <col min="97" max="99" width="13.125" style="8" customWidth="1"/>
    <col min="100" max="106" width="13.125" style="4" customWidth="1"/>
    <col min="107" max="109" width="13.125" style="9" customWidth="1"/>
    <col min="110" max="112" width="13.125" style="4" customWidth="1"/>
    <col min="113" max="113" width="13.125" style="7" customWidth="1"/>
    <col min="114" max="114" width="13.125" style="4" customWidth="1"/>
    <col min="115" max="115" width="13.125" style="10" customWidth="1"/>
    <col min="116" max="116" width="17.375" style="11" customWidth="1"/>
    <col min="117" max="117" width="8" style="11" customWidth="1"/>
    <col min="118" max="118" width="10.25" style="11" customWidth="1"/>
    <col min="119" max="119" width="8" style="11" customWidth="1"/>
    <col min="120" max="120" width="14.375" style="12" customWidth="1"/>
    <col min="121" max="123" width="8" style="11" customWidth="1"/>
    <col min="124" max="124" width="12.875" style="11" customWidth="1"/>
    <col min="125" max="137" width="8" style="11" customWidth="1"/>
    <col min="138" max="16384" width="9" style="11"/>
  </cols>
  <sheetData>
    <row r="1" spans="1:125" ht="36" x14ac:dyDescent="0.5500000000000000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125" ht="36" x14ac:dyDescent="0.55000000000000004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</row>
    <row r="3" spans="1:125" ht="24" thickBot="1" x14ac:dyDescent="0.4">
      <c r="A3" s="13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</row>
    <row r="4" spans="1:125" s="52" customFormat="1" x14ac:dyDescent="0.2">
      <c r="A4" s="14" t="s">
        <v>3</v>
      </c>
      <c r="B4" s="15" t="s">
        <v>4</v>
      </c>
      <c r="C4" s="16" t="s">
        <v>5</v>
      </c>
      <c r="D4" s="17" t="s">
        <v>6</v>
      </c>
      <c r="E4" s="18" t="s">
        <v>7</v>
      </c>
      <c r="F4" s="18"/>
      <c r="G4" s="18"/>
      <c r="H4" s="18" t="s">
        <v>8</v>
      </c>
      <c r="I4" s="18"/>
      <c r="J4" s="18"/>
      <c r="K4" s="18"/>
      <c r="L4" s="18"/>
      <c r="M4" s="18"/>
      <c r="N4" s="18"/>
      <c r="O4" s="18"/>
      <c r="P4" s="18"/>
      <c r="Q4" s="19" t="s">
        <v>9</v>
      </c>
      <c r="R4" s="19"/>
      <c r="S4" s="19"/>
      <c r="T4" s="20"/>
      <c r="U4" s="20"/>
      <c r="V4" s="18" t="s">
        <v>10</v>
      </c>
      <c r="W4" s="18"/>
      <c r="X4" s="21"/>
      <c r="Y4" s="21"/>
      <c r="Z4" s="21"/>
      <c r="AA4" s="18" t="s">
        <v>11</v>
      </c>
      <c r="AB4" s="18"/>
      <c r="AC4" s="21"/>
      <c r="AD4" s="21"/>
      <c r="AE4" s="18"/>
      <c r="AF4" s="22" t="s">
        <v>12</v>
      </c>
      <c r="AG4" s="23"/>
      <c r="AH4" s="24"/>
      <c r="AI4" s="23"/>
      <c r="AJ4" s="23"/>
      <c r="AK4" s="24"/>
      <c r="AL4" s="23"/>
      <c r="AM4" s="22"/>
      <c r="AN4" s="22"/>
      <c r="AO4" s="24"/>
      <c r="AP4" s="25" t="s">
        <v>13</v>
      </c>
      <c r="AQ4" s="26"/>
      <c r="AR4" s="25"/>
      <c r="AS4" s="25"/>
      <c r="AT4" s="27"/>
      <c r="AU4" s="27"/>
      <c r="AV4" s="27"/>
      <c r="AW4" s="25"/>
      <c r="AX4" s="25"/>
      <c r="AY4" s="25"/>
      <c r="AZ4" s="26" t="s">
        <v>14</v>
      </c>
      <c r="BA4" s="26"/>
      <c r="BB4" s="26"/>
      <c r="BC4" s="26"/>
      <c r="BD4" s="26"/>
      <c r="BE4" s="26"/>
      <c r="BF4" s="26"/>
      <c r="BG4" s="28" t="s">
        <v>15</v>
      </c>
      <c r="BH4" s="28"/>
      <c r="BI4" s="28"/>
      <c r="BJ4" s="28"/>
      <c r="BK4" s="29" t="s">
        <v>16</v>
      </c>
      <c r="BL4" s="29" t="s">
        <v>17</v>
      </c>
      <c r="BM4" s="30" t="s">
        <v>18</v>
      </c>
      <c r="BN4" s="31" t="s">
        <v>19</v>
      </c>
      <c r="BO4" s="32" t="s">
        <v>20</v>
      </c>
      <c r="BP4" s="33"/>
      <c r="BQ4" s="33"/>
      <c r="BR4" s="33"/>
      <c r="BS4" s="33"/>
      <c r="BT4" s="33"/>
      <c r="BU4" s="34"/>
      <c r="BV4" s="35" t="s">
        <v>21</v>
      </c>
      <c r="BW4" s="36"/>
      <c r="BX4" s="37"/>
      <c r="BY4" s="38" t="s">
        <v>22</v>
      </c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9" t="s">
        <v>23</v>
      </c>
      <c r="CL4" s="39" t="s">
        <v>24</v>
      </c>
      <c r="CM4" s="40" t="s">
        <v>25</v>
      </c>
      <c r="CN4" s="41" t="s">
        <v>26</v>
      </c>
      <c r="CO4" s="41" t="s">
        <v>27</v>
      </c>
      <c r="CP4" s="42" t="s">
        <v>28</v>
      </c>
      <c r="CQ4" s="43" t="s">
        <v>29</v>
      </c>
      <c r="CR4" s="44" t="s">
        <v>30</v>
      </c>
      <c r="CS4" s="44"/>
      <c r="CT4" s="44"/>
      <c r="CU4" s="44"/>
      <c r="CV4" s="45" t="s">
        <v>31</v>
      </c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6"/>
      <c r="DJ4" s="45"/>
      <c r="DK4" s="47"/>
      <c r="DL4" s="48" t="s">
        <v>32</v>
      </c>
      <c r="DM4" s="49">
        <f>COUNTIF($DK$9:$DK$556,"ดำเนินการเอง")-2</f>
        <v>468</v>
      </c>
      <c r="DN4" s="50">
        <f>+DM4-DO4</f>
        <v>206</v>
      </c>
      <c r="DO4" s="50">
        <v>262</v>
      </c>
      <c r="DP4" s="51">
        <f>SUMIF($DK$9:$DK$556,"ดำเนินการเอง",$AI$9:$AI$556)</f>
        <v>1635841319.9399998</v>
      </c>
      <c r="DR4" s="47"/>
    </row>
    <row r="5" spans="1:125" s="52" customFormat="1" x14ac:dyDescent="0.2">
      <c r="A5" s="15"/>
      <c r="B5" s="15"/>
      <c r="C5" s="53"/>
      <c r="D5" s="17"/>
      <c r="E5" s="18"/>
      <c r="F5" s="18"/>
      <c r="G5" s="18"/>
      <c r="H5" s="18" t="s">
        <v>33</v>
      </c>
      <c r="I5" s="18"/>
      <c r="J5" s="18"/>
      <c r="K5" s="18"/>
      <c r="L5" s="18" t="s">
        <v>34</v>
      </c>
      <c r="M5" s="18"/>
      <c r="N5" s="18"/>
      <c r="O5" s="54" t="s">
        <v>35</v>
      </c>
      <c r="P5" s="55" t="s">
        <v>36</v>
      </c>
      <c r="Q5" s="19"/>
      <c r="R5" s="19"/>
      <c r="S5" s="19"/>
      <c r="T5" s="20"/>
      <c r="U5" s="20"/>
      <c r="V5" s="18"/>
      <c r="W5" s="18"/>
      <c r="X5" s="21"/>
      <c r="Y5" s="21"/>
      <c r="Z5" s="21"/>
      <c r="AA5" s="18"/>
      <c r="AB5" s="18"/>
      <c r="AC5" s="21"/>
      <c r="AD5" s="21"/>
      <c r="AE5" s="18"/>
      <c r="AF5" s="56" t="s">
        <v>37</v>
      </c>
      <c r="AG5" s="23" t="s">
        <v>33</v>
      </c>
      <c r="AH5" s="24"/>
      <c r="AI5" s="23"/>
      <c r="AJ5" s="24" t="s">
        <v>34</v>
      </c>
      <c r="AK5" s="24"/>
      <c r="AL5" s="24"/>
      <c r="AM5" s="57" t="s">
        <v>35</v>
      </c>
      <c r="AN5" s="57"/>
      <c r="AO5" s="24"/>
      <c r="AP5" s="58" t="s">
        <v>33</v>
      </c>
      <c r="AQ5" s="59"/>
      <c r="AR5" s="58"/>
      <c r="AS5" s="58"/>
      <c r="AT5" s="27" t="s">
        <v>34</v>
      </c>
      <c r="AU5" s="27"/>
      <c r="AV5" s="27"/>
      <c r="AW5" s="27"/>
      <c r="AX5" s="27"/>
      <c r="AY5" s="60" t="s">
        <v>35</v>
      </c>
      <c r="AZ5" s="59" t="s">
        <v>33</v>
      </c>
      <c r="BA5" s="59"/>
      <c r="BB5" s="59"/>
      <c r="BC5" s="61" t="s">
        <v>34</v>
      </c>
      <c r="BD5" s="61"/>
      <c r="BE5" s="61"/>
      <c r="BF5" s="62" t="s">
        <v>35</v>
      </c>
      <c r="BG5" s="63" t="s">
        <v>33</v>
      </c>
      <c r="BH5" s="63"/>
      <c r="BI5" s="63"/>
      <c r="BJ5" s="63"/>
      <c r="BK5" s="64"/>
      <c r="BL5" s="64"/>
      <c r="BM5" s="30"/>
      <c r="BN5" s="31"/>
      <c r="BO5" s="65" t="s">
        <v>33</v>
      </c>
      <c r="BP5" s="66"/>
      <c r="BQ5" s="66"/>
      <c r="BR5" s="67" t="s">
        <v>34</v>
      </c>
      <c r="BS5" s="67"/>
      <c r="BT5" s="67"/>
      <c r="BU5" s="68" t="s">
        <v>38</v>
      </c>
      <c r="BV5" s="69"/>
      <c r="BW5" s="70"/>
      <c r="BX5" s="71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9"/>
      <c r="CL5" s="39"/>
      <c r="CM5" s="40"/>
      <c r="CN5" s="41"/>
      <c r="CO5" s="41"/>
      <c r="CP5" s="42"/>
      <c r="CQ5" s="43"/>
      <c r="CR5" s="72" t="s">
        <v>39</v>
      </c>
      <c r="CS5" s="73" t="s">
        <v>40</v>
      </c>
      <c r="CT5" s="73" t="s">
        <v>41</v>
      </c>
      <c r="CU5" s="73" t="s">
        <v>42</v>
      </c>
      <c r="CV5" s="74" t="s">
        <v>40</v>
      </c>
      <c r="CW5" s="74" t="s">
        <v>42</v>
      </c>
      <c r="CX5" s="74" t="s">
        <v>43</v>
      </c>
      <c r="CY5" s="75" t="s">
        <v>44</v>
      </c>
      <c r="CZ5" s="76" t="s">
        <v>45</v>
      </c>
      <c r="DA5" s="77" t="s">
        <v>46</v>
      </c>
      <c r="DB5" s="77" t="s">
        <v>47</v>
      </c>
      <c r="DC5" s="78" t="s">
        <v>48</v>
      </c>
      <c r="DD5" s="79" t="s">
        <v>49</v>
      </c>
      <c r="DE5" s="80" t="s">
        <v>50</v>
      </c>
      <c r="DF5" s="45" t="s">
        <v>51</v>
      </c>
      <c r="DG5" s="45"/>
      <c r="DH5" s="45" t="s">
        <v>52</v>
      </c>
      <c r="DI5" s="46"/>
      <c r="DJ5" s="45"/>
      <c r="DK5" s="47"/>
      <c r="DL5" s="81" t="s">
        <v>53</v>
      </c>
      <c r="DM5" s="49">
        <f>COUNTIF($DK$9:$DK$556,"จ้างเหมาบางส่วน")</f>
        <v>39</v>
      </c>
      <c r="DN5" s="50">
        <f>+DM5-DO5</f>
        <v>18</v>
      </c>
      <c r="DO5" s="50">
        <v>21</v>
      </c>
      <c r="DP5" s="51">
        <f>SUMIF($DK$9:$DK$556,"จ้างเหมาบางส่วน",$AI$9:$AI$556)</f>
        <v>571931382.60000002</v>
      </c>
    </row>
    <row r="6" spans="1:125" s="52" customFormat="1" x14ac:dyDescent="0.2">
      <c r="A6" s="15"/>
      <c r="B6" s="15"/>
      <c r="C6" s="53"/>
      <c r="D6" s="17"/>
      <c r="E6" s="18" t="s">
        <v>54</v>
      </c>
      <c r="F6" s="18" t="s">
        <v>55</v>
      </c>
      <c r="G6" s="18" t="s">
        <v>56</v>
      </c>
      <c r="H6" s="82" t="s">
        <v>37</v>
      </c>
      <c r="I6" s="20" t="s">
        <v>57</v>
      </c>
      <c r="J6" s="20" t="s">
        <v>58</v>
      </c>
      <c r="K6" s="20" t="s">
        <v>33</v>
      </c>
      <c r="L6" s="20" t="s">
        <v>57</v>
      </c>
      <c r="M6" s="20" t="s">
        <v>58</v>
      </c>
      <c r="N6" s="20" t="s">
        <v>33</v>
      </c>
      <c r="O6" s="20" t="s">
        <v>58</v>
      </c>
      <c r="P6" s="55"/>
      <c r="Q6" s="19" t="s">
        <v>59</v>
      </c>
      <c r="R6" s="83" t="s">
        <v>60</v>
      </c>
      <c r="S6" s="19" t="s">
        <v>57</v>
      </c>
      <c r="T6" s="20" t="s">
        <v>58</v>
      </c>
      <c r="U6" s="20" t="s">
        <v>61</v>
      </c>
      <c r="V6" s="18" t="s">
        <v>59</v>
      </c>
      <c r="W6" s="84" t="s">
        <v>60</v>
      </c>
      <c r="X6" s="21" t="s">
        <v>57</v>
      </c>
      <c r="Y6" s="21" t="s">
        <v>58</v>
      </c>
      <c r="Z6" s="21" t="s">
        <v>61</v>
      </c>
      <c r="AA6" s="18" t="s">
        <v>59</v>
      </c>
      <c r="AB6" s="82" t="s">
        <v>60</v>
      </c>
      <c r="AC6" s="21" t="s">
        <v>57</v>
      </c>
      <c r="AD6" s="21" t="s">
        <v>58</v>
      </c>
      <c r="AE6" s="19" t="s">
        <v>61</v>
      </c>
      <c r="AF6" s="56"/>
      <c r="AG6" s="24" t="s">
        <v>57</v>
      </c>
      <c r="AH6" s="24" t="s">
        <v>58</v>
      </c>
      <c r="AI6" s="23" t="s">
        <v>33</v>
      </c>
      <c r="AJ6" s="24" t="s">
        <v>57</v>
      </c>
      <c r="AK6" s="24" t="s">
        <v>58</v>
      </c>
      <c r="AL6" s="24" t="s">
        <v>33</v>
      </c>
      <c r="AM6" s="57" t="s">
        <v>59</v>
      </c>
      <c r="AN6" s="85" t="s">
        <v>60</v>
      </c>
      <c r="AO6" s="24" t="s">
        <v>58</v>
      </c>
      <c r="AP6" s="86" t="s">
        <v>57</v>
      </c>
      <c r="AQ6" s="86" t="s">
        <v>58</v>
      </c>
      <c r="AR6" s="86" t="s">
        <v>33</v>
      </c>
      <c r="AS6" s="27" t="s">
        <v>62</v>
      </c>
      <c r="AT6" s="86" t="s">
        <v>57</v>
      </c>
      <c r="AU6" s="86" t="s">
        <v>58</v>
      </c>
      <c r="AV6" s="86" t="s">
        <v>33</v>
      </c>
      <c r="AW6" s="87" t="s">
        <v>63</v>
      </c>
      <c r="AX6" s="87" t="s">
        <v>63</v>
      </c>
      <c r="AY6" s="86" t="s">
        <v>58</v>
      </c>
      <c r="AZ6" s="88" t="s">
        <v>57</v>
      </c>
      <c r="BA6" s="88" t="s">
        <v>58</v>
      </c>
      <c r="BB6" s="88" t="s">
        <v>33</v>
      </c>
      <c r="BC6" s="88" t="s">
        <v>57</v>
      </c>
      <c r="BD6" s="88" t="s">
        <v>58</v>
      </c>
      <c r="BE6" s="88" t="s">
        <v>33</v>
      </c>
      <c r="BF6" s="88" t="s">
        <v>58</v>
      </c>
      <c r="BG6" s="89" t="s">
        <v>57</v>
      </c>
      <c r="BH6" s="89" t="s">
        <v>58</v>
      </c>
      <c r="BI6" s="89" t="s">
        <v>33</v>
      </c>
      <c r="BJ6" s="90" t="s">
        <v>63</v>
      </c>
      <c r="BK6" s="64"/>
      <c r="BL6" s="64"/>
      <c r="BM6" s="30"/>
      <c r="BN6" s="31"/>
      <c r="BO6" s="91" t="s">
        <v>57</v>
      </c>
      <c r="BP6" s="92" t="s">
        <v>58</v>
      </c>
      <c r="BQ6" s="92" t="s">
        <v>33</v>
      </c>
      <c r="BR6" s="92" t="s">
        <v>57</v>
      </c>
      <c r="BS6" s="92" t="s">
        <v>58</v>
      </c>
      <c r="BT6" s="92" t="s">
        <v>33</v>
      </c>
      <c r="BU6" s="93" t="s">
        <v>58</v>
      </c>
      <c r="BV6" s="94" t="s">
        <v>34</v>
      </c>
      <c r="BW6" s="94" t="s">
        <v>35</v>
      </c>
      <c r="BX6" s="94" t="s">
        <v>33</v>
      </c>
      <c r="BY6" s="95"/>
      <c r="BZ6" s="95"/>
      <c r="CA6" s="95"/>
      <c r="CB6" s="95"/>
      <c r="CC6" s="95"/>
      <c r="CD6" s="95"/>
      <c r="CE6" s="95"/>
      <c r="CF6" s="95"/>
      <c r="CG6" s="95"/>
      <c r="CH6" s="95"/>
      <c r="CI6" s="95"/>
      <c r="CJ6" s="95"/>
      <c r="CK6" s="39"/>
      <c r="CL6" s="39"/>
      <c r="CM6" s="40"/>
      <c r="CN6" s="41"/>
      <c r="CO6" s="41"/>
      <c r="CP6" s="42"/>
      <c r="CQ6" s="43" t="s">
        <v>64</v>
      </c>
      <c r="CR6" s="72"/>
      <c r="CS6" s="73"/>
      <c r="CT6" s="73"/>
      <c r="CU6" s="73"/>
      <c r="CV6" s="96"/>
      <c r="CW6" s="96"/>
      <c r="CX6" s="96"/>
      <c r="CY6" s="96"/>
      <c r="CZ6" s="96"/>
      <c r="DA6" s="96"/>
      <c r="DB6" s="96"/>
      <c r="DC6" s="78"/>
      <c r="DD6" s="79"/>
      <c r="DE6" s="80"/>
      <c r="DF6" s="96" t="s">
        <v>65</v>
      </c>
      <c r="DG6" s="96" t="s">
        <v>66</v>
      </c>
      <c r="DH6" s="97" t="s">
        <v>67</v>
      </c>
      <c r="DI6" s="98" t="s">
        <v>68</v>
      </c>
      <c r="DJ6" s="96" t="s">
        <v>66</v>
      </c>
      <c r="DK6" s="47" t="s">
        <v>69</v>
      </c>
      <c r="DL6" s="48" t="s">
        <v>70</v>
      </c>
      <c r="DM6" s="49">
        <f>COUNTIF($DK$9:$DK$556,"จ้างเหมาทั้งโครงการ")</f>
        <v>20</v>
      </c>
      <c r="DN6" s="50">
        <f>+DM6-DO6</f>
        <v>10</v>
      </c>
      <c r="DO6" s="50">
        <f>COUNTIFS($DK$10:$DK$605,"จ้างเหมาทั้งโครงการ",$AS$10:$AS$605,"&gt;99.495")</f>
        <v>10</v>
      </c>
      <c r="DP6" s="51">
        <f>SUMIF($DK$9:$DK$556,"จ้างเหมาทั้งโครงการ",$AI$9:$AI$556)</f>
        <v>58078768.490000002</v>
      </c>
      <c r="DR6" s="47"/>
    </row>
    <row r="7" spans="1:125" s="52" customFormat="1" x14ac:dyDescent="0.2">
      <c r="A7" s="15"/>
      <c r="B7" s="15"/>
      <c r="C7" s="99"/>
      <c r="D7" s="17"/>
      <c r="E7" s="18"/>
      <c r="F7" s="18"/>
      <c r="G7" s="18"/>
      <c r="H7" s="82"/>
      <c r="I7" s="20"/>
      <c r="J7" s="20"/>
      <c r="K7" s="20"/>
      <c r="L7" s="20"/>
      <c r="M7" s="20"/>
      <c r="N7" s="20"/>
      <c r="O7" s="20"/>
      <c r="P7" s="55"/>
      <c r="Q7" s="19"/>
      <c r="R7" s="83"/>
      <c r="S7" s="19"/>
      <c r="T7" s="20"/>
      <c r="U7" s="20"/>
      <c r="V7" s="18"/>
      <c r="W7" s="84"/>
      <c r="X7" s="21"/>
      <c r="Y7" s="21"/>
      <c r="Z7" s="21"/>
      <c r="AA7" s="18"/>
      <c r="AB7" s="82"/>
      <c r="AC7" s="21"/>
      <c r="AD7" s="21"/>
      <c r="AE7" s="19"/>
      <c r="AF7" s="56"/>
      <c r="AG7" s="24"/>
      <c r="AH7" s="24"/>
      <c r="AI7" s="23"/>
      <c r="AJ7" s="24"/>
      <c r="AK7" s="24"/>
      <c r="AL7" s="24"/>
      <c r="AM7" s="57"/>
      <c r="AN7" s="85"/>
      <c r="AO7" s="24"/>
      <c r="AP7" s="86"/>
      <c r="AQ7" s="86"/>
      <c r="AR7" s="86"/>
      <c r="AS7" s="27"/>
      <c r="AT7" s="86"/>
      <c r="AU7" s="86"/>
      <c r="AV7" s="86"/>
      <c r="AW7" s="100" t="s">
        <v>22</v>
      </c>
      <c r="AX7" s="100" t="s">
        <v>71</v>
      </c>
      <c r="AY7" s="86"/>
      <c r="AZ7" s="88"/>
      <c r="BA7" s="88"/>
      <c r="BB7" s="88"/>
      <c r="BC7" s="88"/>
      <c r="BD7" s="88"/>
      <c r="BE7" s="88"/>
      <c r="BF7" s="88"/>
      <c r="BG7" s="89"/>
      <c r="BH7" s="89"/>
      <c r="BI7" s="89"/>
      <c r="BJ7" s="90"/>
      <c r="BK7" s="64"/>
      <c r="BL7" s="64"/>
      <c r="BM7" s="30"/>
      <c r="BN7" s="31"/>
      <c r="BO7" s="91"/>
      <c r="BP7" s="92"/>
      <c r="BQ7" s="92"/>
      <c r="BR7" s="92"/>
      <c r="BS7" s="92"/>
      <c r="BT7" s="92"/>
      <c r="BU7" s="93"/>
      <c r="BV7" s="101"/>
      <c r="BW7" s="101"/>
      <c r="BX7" s="101"/>
      <c r="BY7" s="102" t="s">
        <v>72</v>
      </c>
      <c r="BZ7" s="102" t="s">
        <v>73</v>
      </c>
      <c r="CA7" s="102" t="s">
        <v>74</v>
      </c>
      <c r="CB7" s="102" t="s">
        <v>75</v>
      </c>
      <c r="CC7" s="102" t="s">
        <v>76</v>
      </c>
      <c r="CD7" s="102" t="s">
        <v>77</v>
      </c>
      <c r="CE7" s="102" t="s">
        <v>78</v>
      </c>
      <c r="CF7" s="102" t="s">
        <v>79</v>
      </c>
      <c r="CG7" s="102" t="s">
        <v>80</v>
      </c>
      <c r="CH7" s="102" t="s">
        <v>81</v>
      </c>
      <c r="CI7" s="102" t="s">
        <v>82</v>
      </c>
      <c r="CJ7" s="102" t="s">
        <v>83</v>
      </c>
      <c r="CK7" s="39"/>
      <c r="CL7" s="39"/>
      <c r="CM7" s="40"/>
      <c r="CN7" s="41"/>
      <c r="CO7" s="41"/>
      <c r="CP7" s="42"/>
      <c r="CQ7" s="43" t="s">
        <v>84</v>
      </c>
      <c r="CR7" s="103" t="s">
        <v>85</v>
      </c>
      <c r="CS7" s="104" t="s">
        <v>84</v>
      </c>
      <c r="CT7" s="104" t="s">
        <v>84</v>
      </c>
      <c r="CU7" s="104" t="s">
        <v>84</v>
      </c>
      <c r="CV7" s="74" t="s">
        <v>84</v>
      </c>
      <c r="CW7" s="74" t="s">
        <v>84</v>
      </c>
      <c r="CX7" s="74" t="s">
        <v>84</v>
      </c>
      <c r="CY7" s="105" t="s">
        <v>86</v>
      </c>
      <c r="CZ7" s="106" t="s">
        <v>86</v>
      </c>
      <c r="DA7" s="96" t="s">
        <v>86</v>
      </c>
      <c r="DB7" s="96" t="s">
        <v>86</v>
      </c>
      <c r="DC7" s="107" t="s">
        <v>87</v>
      </c>
      <c r="DD7" s="107" t="s">
        <v>87</v>
      </c>
      <c r="DE7" s="107" t="s">
        <v>87</v>
      </c>
      <c r="DF7" s="96" t="s">
        <v>84</v>
      </c>
      <c r="DG7" s="96" t="s">
        <v>88</v>
      </c>
      <c r="DH7" s="97"/>
      <c r="DI7" s="98" t="s">
        <v>84</v>
      </c>
      <c r="DJ7" s="96" t="s">
        <v>88</v>
      </c>
      <c r="DK7" s="47"/>
      <c r="DL7" s="108" t="s">
        <v>89</v>
      </c>
      <c r="DM7" s="50">
        <f>SUM(DM4:DM6)</f>
        <v>527</v>
      </c>
      <c r="DN7" s="50">
        <f>SUM(DN4:DN6)</f>
        <v>234</v>
      </c>
      <c r="DO7" s="50">
        <f>SUM(DO4:DO6)</f>
        <v>293</v>
      </c>
      <c r="DP7" s="109">
        <f>SUBTOTAL(9,DP4:DP6)</f>
        <v>2265851471.0299997</v>
      </c>
    </row>
    <row r="8" spans="1:125" s="108" customFormat="1" ht="36" customHeight="1" x14ac:dyDescent="0.2">
      <c r="A8" s="110"/>
      <c r="B8" s="111" t="s">
        <v>1</v>
      </c>
      <c r="C8" s="112">
        <f>+C9+C30+C530</f>
        <v>527</v>
      </c>
      <c r="D8" s="113">
        <f>+D9+D30+D530</f>
        <v>2389671900</v>
      </c>
      <c r="E8" s="112"/>
      <c r="F8" s="112"/>
      <c r="G8" s="112"/>
      <c r="H8" s="112">
        <f t="shared" ref="H8:P8" si="0">+H9+H30+H530</f>
        <v>527</v>
      </c>
      <c r="I8" s="113">
        <f t="shared" si="0"/>
        <v>196537576</v>
      </c>
      <c r="J8" s="113">
        <f t="shared" si="0"/>
        <v>2168134324</v>
      </c>
      <c r="K8" s="113">
        <f t="shared" si="0"/>
        <v>2364671900</v>
      </c>
      <c r="L8" s="113">
        <f t="shared" si="0"/>
        <v>196537576</v>
      </c>
      <c r="M8" s="113">
        <f t="shared" si="0"/>
        <v>2168134324</v>
      </c>
      <c r="N8" s="113">
        <f t="shared" si="0"/>
        <v>2364671900</v>
      </c>
      <c r="O8" s="113">
        <f t="shared" si="0"/>
        <v>0</v>
      </c>
      <c r="P8" s="114">
        <f t="shared" si="0"/>
        <v>0</v>
      </c>
      <c r="Q8" s="112"/>
      <c r="R8" s="115"/>
      <c r="S8" s="116">
        <f>+S9+S30+S530</f>
        <v>27544246</v>
      </c>
      <c r="T8" s="113">
        <f>+T9+T30+T530</f>
        <v>2142527046</v>
      </c>
      <c r="U8" s="113">
        <f>+U9+U30+U530</f>
        <v>2170071292</v>
      </c>
      <c r="V8" s="112"/>
      <c r="W8" s="115"/>
      <c r="X8" s="114">
        <f>+X9+X30+X530</f>
        <v>126735963.49000001</v>
      </c>
      <c r="Y8" s="114">
        <f>+Y9+Y30+Y530</f>
        <v>-116814336.84000002</v>
      </c>
      <c r="Z8" s="114">
        <f>+Z9+Z30+Z530</f>
        <v>9921626.650000006</v>
      </c>
      <c r="AA8" s="112"/>
      <c r="AB8" s="115"/>
      <c r="AC8" s="114">
        <f t="shared" ref="AC8:AL8" si="1">+AC9+AC30+AC530</f>
        <v>31378723.5</v>
      </c>
      <c r="AD8" s="114">
        <f t="shared" si="1"/>
        <v>35503328.87999998</v>
      </c>
      <c r="AE8" s="116">
        <f t="shared" si="1"/>
        <v>66882052.379999995</v>
      </c>
      <c r="AF8" s="112">
        <f t="shared" si="1"/>
        <v>521</v>
      </c>
      <c r="AG8" s="114">
        <f t="shared" si="1"/>
        <v>185658932.99000001</v>
      </c>
      <c r="AH8" s="114">
        <f t="shared" si="1"/>
        <v>2080192538.04</v>
      </c>
      <c r="AI8" s="113">
        <f t="shared" si="1"/>
        <v>2265851471.0299997</v>
      </c>
      <c r="AJ8" s="114">
        <f t="shared" si="1"/>
        <v>185658932.99000001</v>
      </c>
      <c r="AK8" s="114">
        <f t="shared" si="1"/>
        <v>2061216038.0400002</v>
      </c>
      <c r="AL8" s="114">
        <f t="shared" si="1"/>
        <v>2246874971.0299997</v>
      </c>
      <c r="AM8" s="117"/>
      <c r="AN8" s="118"/>
      <c r="AO8" s="114">
        <f>+AO9+AO30+AO530</f>
        <v>18976500</v>
      </c>
      <c r="AP8" s="114">
        <f>+AP9+AP30+AP530</f>
        <v>111613281.27</v>
      </c>
      <c r="AQ8" s="114">
        <f>+AQ9+AQ30+AQ530</f>
        <v>1483228760.6099997</v>
      </c>
      <c r="AR8" s="114">
        <f>+AR9+AR30+AR530</f>
        <v>1594842041.8799996</v>
      </c>
      <c r="AS8" s="114">
        <f>IF(AI8= 0,0,(AR8*100/AI8))</f>
        <v>70.385992297854557</v>
      </c>
      <c r="AT8" s="114">
        <f>+AT9+AT30+AT530</f>
        <v>111613281.27</v>
      </c>
      <c r="AU8" s="114">
        <f>+AU9+AU30+AU530</f>
        <v>1472638727.9299998</v>
      </c>
      <c r="AV8" s="114">
        <f>+AV9+AV30+AV530</f>
        <v>1584252009.1999998</v>
      </c>
      <c r="AW8" s="114"/>
      <c r="AX8" s="114">
        <f>IF(AL8= 0,0,(AV8*100/AL8))</f>
        <v>70.509130664878782</v>
      </c>
      <c r="AY8" s="114">
        <f t="shared" ref="AY8:BI8" si="2">+AY9+AY30+AY530</f>
        <v>10358352.580000002</v>
      </c>
      <c r="AZ8" s="114">
        <f t="shared" si="2"/>
        <v>2090106.4300000002</v>
      </c>
      <c r="BA8" s="114">
        <f t="shared" si="2"/>
        <v>177621786.89000002</v>
      </c>
      <c r="BB8" s="114">
        <f t="shared" si="2"/>
        <v>179711893.31999999</v>
      </c>
      <c r="BC8" s="114">
        <f t="shared" si="2"/>
        <v>2090106.4300000002</v>
      </c>
      <c r="BD8" s="114">
        <f t="shared" si="2"/>
        <v>177177059.73000002</v>
      </c>
      <c r="BE8" s="114">
        <f t="shared" si="2"/>
        <v>179267166.16</v>
      </c>
      <c r="BF8" s="114">
        <f t="shared" si="2"/>
        <v>444727.16000000003</v>
      </c>
      <c r="BG8" s="114">
        <f t="shared" si="2"/>
        <v>113703387.69999999</v>
      </c>
      <c r="BH8" s="114">
        <f t="shared" si="2"/>
        <v>1660850547.4999995</v>
      </c>
      <c r="BI8" s="114">
        <f t="shared" si="2"/>
        <v>1774553935.1999998</v>
      </c>
      <c r="BJ8" s="114">
        <f t="shared" ref="BJ8:BJ71" si="3">+BI8*100/AI8</f>
        <v>78.317310639665692</v>
      </c>
      <c r="BK8" s="119"/>
      <c r="BL8" s="119"/>
      <c r="BM8" s="120">
        <f>SUBTOTAL(103,BM9:BM556)</f>
        <v>19</v>
      </c>
      <c r="BN8" s="121">
        <f>SUBTOTAL(103,BN9:BN557)</f>
        <v>25</v>
      </c>
      <c r="BO8" s="122">
        <f t="shared" ref="BO8:BU8" si="4">+BO9+BO30+BO530</f>
        <v>72685651.719999999</v>
      </c>
      <c r="BP8" s="123">
        <f t="shared" si="4"/>
        <v>590497374</v>
      </c>
      <c r="BQ8" s="123">
        <f t="shared" si="4"/>
        <v>663183025.72000003</v>
      </c>
      <c r="BR8" s="123">
        <f t="shared" si="4"/>
        <v>72685651.719999999</v>
      </c>
      <c r="BS8" s="123">
        <f t="shared" si="4"/>
        <v>582110906.68000007</v>
      </c>
      <c r="BT8" s="123">
        <f t="shared" si="4"/>
        <v>654796558.39999998</v>
      </c>
      <c r="BU8" s="124">
        <f t="shared" si="4"/>
        <v>8386467.3200000003</v>
      </c>
      <c r="BV8" s="125">
        <f>SUBTOTAL(109,BV9:BV555)</f>
        <v>79561728.970000029</v>
      </c>
      <c r="BW8" s="125">
        <f>SUBTOTAL(109,BW9:BW555)</f>
        <v>0</v>
      </c>
      <c r="BX8" s="125">
        <f>SUBTOTAL(109,BX9:BX555)</f>
        <v>79561728.970000029</v>
      </c>
      <c r="BY8" s="126">
        <f t="shared" ref="BY8:CJ8" si="5">SUBTOTAL(109,BY9:BY558)</f>
        <v>187872744.4544</v>
      </c>
      <c r="BZ8" s="126">
        <f t="shared" si="5"/>
        <v>260650933.4544</v>
      </c>
      <c r="CA8" s="126">
        <f t="shared" si="5"/>
        <v>345479699.72720003</v>
      </c>
      <c r="CB8" s="126">
        <f t="shared" si="5"/>
        <v>207920858.7272</v>
      </c>
      <c r="CC8" s="126">
        <f t="shared" si="5"/>
        <v>201078052.7272</v>
      </c>
      <c r="CD8" s="126">
        <f t="shared" si="5"/>
        <v>215248442.7272</v>
      </c>
      <c r="CE8" s="126">
        <f t="shared" si="5"/>
        <v>228336772.7272</v>
      </c>
      <c r="CF8" s="126">
        <f t="shared" si="5"/>
        <v>185129022.7272</v>
      </c>
      <c r="CG8" s="126">
        <f t="shared" si="5"/>
        <v>162572412.7272</v>
      </c>
      <c r="CH8" s="126">
        <f t="shared" si="5"/>
        <v>143629660</v>
      </c>
      <c r="CI8" s="126">
        <f t="shared" si="5"/>
        <v>120029060</v>
      </c>
      <c r="CJ8" s="126">
        <f t="shared" si="5"/>
        <v>71605050</v>
      </c>
      <c r="CK8" s="127"/>
      <c r="CL8" s="127"/>
      <c r="CM8" s="128"/>
      <c r="CN8" s="129">
        <f t="shared" ref="CN8:DJ8" si="6">SUBTOTAL(109,CN9:CN557)</f>
        <v>15040</v>
      </c>
      <c r="CO8" s="129">
        <f t="shared" si="6"/>
        <v>173476</v>
      </c>
      <c r="CP8" s="130">
        <f t="shared" si="6"/>
        <v>41786</v>
      </c>
      <c r="CQ8" s="131">
        <f t="shared" si="6"/>
        <v>0</v>
      </c>
      <c r="CR8" s="132">
        <f t="shared" si="6"/>
        <v>0</v>
      </c>
      <c r="CS8" s="133">
        <f t="shared" si="6"/>
        <v>0</v>
      </c>
      <c r="CT8" s="133">
        <f t="shared" si="6"/>
        <v>0</v>
      </c>
      <c r="CU8" s="133">
        <f t="shared" si="6"/>
        <v>0</v>
      </c>
      <c r="CV8" s="132">
        <f t="shared" si="6"/>
        <v>0</v>
      </c>
      <c r="CW8" s="132">
        <f t="shared" si="6"/>
        <v>0</v>
      </c>
      <c r="CX8" s="132">
        <f t="shared" si="6"/>
        <v>0</v>
      </c>
      <c r="CY8" s="132">
        <f t="shared" si="6"/>
        <v>0</v>
      </c>
      <c r="CZ8" s="132">
        <f t="shared" si="6"/>
        <v>0</v>
      </c>
      <c r="DA8" s="132">
        <f t="shared" si="6"/>
        <v>0</v>
      </c>
      <c r="DB8" s="132">
        <f t="shared" si="6"/>
        <v>0</v>
      </c>
      <c r="DC8" s="131">
        <f t="shared" si="6"/>
        <v>0</v>
      </c>
      <c r="DD8" s="131">
        <f t="shared" si="6"/>
        <v>4.6500000000000004</v>
      </c>
      <c r="DE8" s="131">
        <f t="shared" si="6"/>
        <v>0</v>
      </c>
      <c r="DF8" s="132">
        <f t="shared" si="6"/>
        <v>0</v>
      </c>
      <c r="DG8" s="132">
        <f t="shared" si="6"/>
        <v>0</v>
      </c>
      <c r="DH8" s="132">
        <f t="shared" si="6"/>
        <v>0</v>
      </c>
      <c r="DI8" s="134">
        <f t="shared" si="6"/>
        <v>0</v>
      </c>
      <c r="DJ8" s="132">
        <f t="shared" si="6"/>
        <v>0</v>
      </c>
      <c r="DK8" s="135">
        <f>SUBTOTAL(103,DK9:DK556)</f>
        <v>529</v>
      </c>
      <c r="DP8" s="136"/>
    </row>
    <row r="9" spans="1:125" s="108" customFormat="1" ht="27.75" customHeight="1" x14ac:dyDescent="0.2">
      <c r="A9" s="137" t="s">
        <v>90</v>
      </c>
      <c r="B9" s="138" t="s">
        <v>91</v>
      </c>
      <c r="C9" s="139">
        <f>SUBTOTAL(103,C10:C29)</f>
        <v>18</v>
      </c>
      <c r="D9" s="140">
        <f>SUBTOTAL(109,D10:D29)</f>
        <v>28183500</v>
      </c>
      <c r="E9" s="139"/>
      <c r="F9" s="139"/>
      <c r="G9" s="139"/>
      <c r="H9" s="139">
        <f>SUBTOTAL(103,H10:H29)</f>
        <v>18</v>
      </c>
      <c r="I9" s="141">
        <f t="shared" ref="I9:P9" si="7">SUBTOTAL(109,I10:I29)</f>
        <v>0</v>
      </c>
      <c r="J9" s="141">
        <f t="shared" si="7"/>
        <v>28183500</v>
      </c>
      <c r="K9" s="141">
        <f t="shared" si="7"/>
        <v>28183500</v>
      </c>
      <c r="L9" s="141">
        <f t="shared" si="7"/>
        <v>0</v>
      </c>
      <c r="M9" s="141">
        <f t="shared" si="7"/>
        <v>28183500</v>
      </c>
      <c r="N9" s="141">
        <f t="shared" si="7"/>
        <v>28183500</v>
      </c>
      <c r="O9" s="141">
        <f t="shared" si="7"/>
        <v>0</v>
      </c>
      <c r="P9" s="142">
        <f t="shared" si="7"/>
        <v>0</v>
      </c>
      <c r="Q9" s="139"/>
      <c r="R9" s="143"/>
      <c r="S9" s="144">
        <f t="shared" ref="S9:AE9" si="8">SUBTOTAL(109,S10:S29)</f>
        <v>0</v>
      </c>
      <c r="T9" s="144">
        <f t="shared" si="8"/>
        <v>28183500</v>
      </c>
      <c r="U9" s="144">
        <f t="shared" si="8"/>
        <v>28183500</v>
      </c>
      <c r="V9" s="139">
        <f t="shared" si="8"/>
        <v>18892</v>
      </c>
      <c r="W9" s="143">
        <f t="shared" si="8"/>
        <v>548644</v>
      </c>
      <c r="X9" s="144">
        <f t="shared" si="8"/>
        <v>0</v>
      </c>
      <c r="Y9" s="141">
        <f t="shared" si="8"/>
        <v>-172636.96</v>
      </c>
      <c r="Z9" s="144">
        <f t="shared" si="8"/>
        <v>-172636.96</v>
      </c>
      <c r="AA9" s="139">
        <f t="shared" si="8"/>
        <v>0</v>
      </c>
      <c r="AB9" s="143">
        <f t="shared" si="8"/>
        <v>0</v>
      </c>
      <c r="AC9" s="144">
        <f t="shared" si="8"/>
        <v>0</v>
      </c>
      <c r="AD9" s="144">
        <f t="shared" si="8"/>
        <v>0</v>
      </c>
      <c r="AE9" s="144">
        <f t="shared" si="8"/>
        <v>0</v>
      </c>
      <c r="AF9" s="145">
        <f>SUBTOTAL(103,Q10:Q29)</f>
        <v>18</v>
      </c>
      <c r="AG9" s="146">
        <f t="shared" ref="AG9:AR9" si="9">SUBTOTAL(109,AG10:AG29)</f>
        <v>0</v>
      </c>
      <c r="AH9" s="147">
        <f t="shared" si="9"/>
        <v>28010863.039999999</v>
      </c>
      <c r="AI9" s="147">
        <f t="shared" si="9"/>
        <v>28010863.039999999</v>
      </c>
      <c r="AJ9" s="142">
        <f t="shared" si="9"/>
        <v>0</v>
      </c>
      <c r="AK9" s="142">
        <f t="shared" si="9"/>
        <v>28010863.039999999</v>
      </c>
      <c r="AL9" s="142">
        <f t="shared" si="9"/>
        <v>28010863.039999999</v>
      </c>
      <c r="AM9" s="148">
        <f t="shared" si="9"/>
        <v>0</v>
      </c>
      <c r="AN9" s="149">
        <f t="shared" si="9"/>
        <v>0</v>
      </c>
      <c r="AO9" s="150">
        <f t="shared" si="9"/>
        <v>0</v>
      </c>
      <c r="AP9" s="146">
        <f t="shared" si="9"/>
        <v>0</v>
      </c>
      <c r="AQ9" s="146">
        <f t="shared" si="9"/>
        <v>27018011.069999997</v>
      </c>
      <c r="AR9" s="146">
        <f t="shared" si="9"/>
        <v>27018011.069999997</v>
      </c>
      <c r="AS9" s="146">
        <f>IF(AI9= 0,0,(AR9*100/AI9))</f>
        <v>96.455475261214929</v>
      </c>
      <c r="AT9" s="142">
        <f>SUBTOTAL(109,AT10:AT29)</f>
        <v>0</v>
      </c>
      <c r="AU9" s="151">
        <f>SUBTOTAL(109,AU10:AU29)</f>
        <v>27018011.069999997</v>
      </c>
      <c r="AV9" s="142">
        <f>SUBTOTAL(109,AV10:AV29)</f>
        <v>27018011.069999997</v>
      </c>
      <c r="AW9" s="142"/>
      <c r="AX9" s="142">
        <f>IF(AL9= 0,0,(AV9*100/AL9))</f>
        <v>96.455475261214929</v>
      </c>
      <c r="AY9" s="150">
        <f t="shared" ref="AY9:BI9" si="10">SUBTOTAL(109,AY10:AY29)</f>
        <v>0</v>
      </c>
      <c r="AZ9" s="146">
        <f t="shared" si="10"/>
        <v>0</v>
      </c>
      <c r="BA9" s="146">
        <f t="shared" si="10"/>
        <v>0</v>
      </c>
      <c r="BB9" s="146">
        <f t="shared" si="10"/>
        <v>0</v>
      </c>
      <c r="BC9" s="142">
        <f t="shared" si="10"/>
        <v>0</v>
      </c>
      <c r="BD9" s="151">
        <f t="shared" si="10"/>
        <v>0</v>
      </c>
      <c r="BE9" s="142">
        <f t="shared" si="10"/>
        <v>0</v>
      </c>
      <c r="BF9" s="150">
        <f t="shared" si="10"/>
        <v>0</v>
      </c>
      <c r="BG9" s="146">
        <f t="shared" si="10"/>
        <v>0</v>
      </c>
      <c r="BH9" s="146">
        <f t="shared" si="10"/>
        <v>27018011.069999997</v>
      </c>
      <c r="BI9" s="146">
        <f t="shared" si="10"/>
        <v>27018011.069999997</v>
      </c>
      <c r="BJ9" s="146">
        <f t="shared" si="3"/>
        <v>96.455475261214929</v>
      </c>
      <c r="BK9" s="152"/>
      <c r="BL9" s="152"/>
      <c r="BM9" s="153"/>
      <c r="BN9" s="153"/>
      <c r="BO9" s="154">
        <f t="shared" ref="BO9:BU9" si="11">SUBTOTAL(109,BO10:BO29)</f>
        <v>0</v>
      </c>
      <c r="BP9" s="142">
        <f t="shared" si="11"/>
        <v>992851.97</v>
      </c>
      <c r="BQ9" s="142">
        <f t="shared" si="11"/>
        <v>992851.97</v>
      </c>
      <c r="BR9" s="142">
        <f t="shared" si="11"/>
        <v>0</v>
      </c>
      <c r="BS9" s="142">
        <f t="shared" si="11"/>
        <v>992851.97</v>
      </c>
      <c r="BT9" s="142">
        <f t="shared" si="11"/>
        <v>992851.97</v>
      </c>
      <c r="BU9" s="155">
        <f t="shared" si="11"/>
        <v>0</v>
      </c>
      <c r="BV9" s="142"/>
      <c r="BW9" s="142"/>
      <c r="BX9" s="142">
        <f>SUM(BV9:BW9)</f>
        <v>0</v>
      </c>
      <c r="BY9" s="141"/>
      <c r="BZ9" s="141"/>
      <c r="CA9" s="141"/>
      <c r="CB9" s="141"/>
      <c r="CC9" s="141"/>
      <c r="CD9" s="141"/>
      <c r="CE9" s="141"/>
      <c r="CF9" s="141"/>
      <c r="CG9" s="141"/>
      <c r="CH9" s="141"/>
      <c r="CI9" s="141"/>
      <c r="CJ9" s="141"/>
      <c r="CK9" s="156"/>
      <c r="CL9" s="156"/>
      <c r="CM9" s="157"/>
      <c r="CN9" s="141"/>
      <c r="CO9" s="141"/>
      <c r="CP9" s="141"/>
      <c r="CQ9" s="141"/>
      <c r="CR9" s="141"/>
      <c r="CS9" s="141"/>
      <c r="CT9" s="141"/>
      <c r="CU9" s="141"/>
      <c r="CV9" s="141"/>
      <c r="CW9" s="141"/>
      <c r="CX9" s="141"/>
      <c r="CY9" s="141"/>
      <c r="CZ9" s="141"/>
      <c r="DA9" s="141"/>
      <c r="DB9" s="141"/>
      <c r="DC9" s="141"/>
      <c r="DD9" s="141"/>
      <c r="DE9" s="141"/>
      <c r="DF9" s="141"/>
      <c r="DG9" s="141"/>
      <c r="DH9" s="141"/>
      <c r="DI9" s="141"/>
      <c r="DJ9" s="141"/>
      <c r="DK9" s="135"/>
    </row>
    <row r="10" spans="1:125" s="176" customFormat="1" x14ac:dyDescent="0.2">
      <c r="A10" s="158" t="s">
        <v>90</v>
      </c>
      <c r="B10" s="159" t="s">
        <v>92</v>
      </c>
      <c r="C10" s="160">
        <f>SUBTOTAL(103,C11:C29)</f>
        <v>18</v>
      </c>
      <c r="D10" s="161">
        <f>SUBTOTAL(109,D11:D29)</f>
        <v>28183500</v>
      </c>
      <c r="E10" s="160"/>
      <c r="F10" s="160"/>
      <c r="G10" s="160"/>
      <c r="H10" s="160">
        <f>SUBTOTAL(103,H11:H29)</f>
        <v>18</v>
      </c>
      <c r="I10" s="161">
        <f t="shared" ref="I10:P10" si="12">SUBTOTAL(109,I11:I29)</f>
        <v>0</v>
      </c>
      <c r="J10" s="161">
        <f t="shared" si="12"/>
        <v>28183500</v>
      </c>
      <c r="K10" s="161">
        <f t="shared" si="12"/>
        <v>28183500</v>
      </c>
      <c r="L10" s="161">
        <f t="shared" si="12"/>
        <v>0</v>
      </c>
      <c r="M10" s="161">
        <f t="shared" si="12"/>
        <v>28183500</v>
      </c>
      <c r="N10" s="161">
        <f t="shared" si="12"/>
        <v>28183500</v>
      </c>
      <c r="O10" s="161">
        <f t="shared" si="12"/>
        <v>0</v>
      </c>
      <c r="P10" s="162">
        <f t="shared" si="12"/>
        <v>0</v>
      </c>
      <c r="Q10" s="160"/>
      <c r="R10" s="163"/>
      <c r="S10" s="164">
        <f t="shared" ref="S10:AE10" si="13">SUBTOTAL(109,S11:S29)</f>
        <v>0</v>
      </c>
      <c r="T10" s="164">
        <f t="shared" si="13"/>
        <v>28183500</v>
      </c>
      <c r="U10" s="164">
        <f t="shared" si="13"/>
        <v>28183500</v>
      </c>
      <c r="V10" s="160">
        <f t="shared" si="13"/>
        <v>18892</v>
      </c>
      <c r="W10" s="163">
        <f t="shared" si="13"/>
        <v>548644</v>
      </c>
      <c r="X10" s="164">
        <f t="shared" si="13"/>
        <v>0</v>
      </c>
      <c r="Y10" s="161">
        <f t="shared" si="13"/>
        <v>-172636.96</v>
      </c>
      <c r="Z10" s="164">
        <f t="shared" si="13"/>
        <v>-172636.96</v>
      </c>
      <c r="AA10" s="160">
        <f t="shared" si="13"/>
        <v>0</v>
      </c>
      <c r="AB10" s="163">
        <f t="shared" si="13"/>
        <v>0</v>
      </c>
      <c r="AC10" s="164">
        <f t="shared" si="13"/>
        <v>0</v>
      </c>
      <c r="AD10" s="164">
        <f t="shared" si="13"/>
        <v>0</v>
      </c>
      <c r="AE10" s="164">
        <f t="shared" si="13"/>
        <v>0</v>
      </c>
      <c r="AF10" s="165">
        <f>SUBTOTAL(103,Q11:Q29)</f>
        <v>18</v>
      </c>
      <c r="AG10" s="162">
        <f t="shared" ref="AG10:AR10" si="14">SUBTOTAL(109,AG11:AG29)</f>
        <v>0</v>
      </c>
      <c r="AH10" s="166">
        <f t="shared" si="14"/>
        <v>28010863.039999999</v>
      </c>
      <c r="AI10" s="166">
        <f t="shared" si="14"/>
        <v>28010863.039999999</v>
      </c>
      <c r="AJ10" s="162">
        <f t="shared" si="14"/>
        <v>0</v>
      </c>
      <c r="AK10" s="162">
        <f t="shared" si="14"/>
        <v>28010863.039999999</v>
      </c>
      <c r="AL10" s="162">
        <f t="shared" si="14"/>
        <v>28010863.039999999</v>
      </c>
      <c r="AM10" s="167">
        <f t="shared" si="14"/>
        <v>0</v>
      </c>
      <c r="AN10" s="168">
        <f t="shared" si="14"/>
        <v>0</v>
      </c>
      <c r="AO10" s="169">
        <f t="shared" si="14"/>
        <v>0</v>
      </c>
      <c r="AP10" s="162">
        <f t="shared" si="14"/>
        <v>0</v>
      </c>
      <c r="AQ10" s="162">
        <f t="shared" si="14"/>
        <v>27018011.069999997</v>
      </c>
      <c r="AR10" s="162">
        <f t="shared" si="14"/>
        <v>27018011.069999997</v>
      </c>
      <c r="AS10" s="162">
        <f>IF(AI10= 0,0,(AR10*100/AI10))</f>
        <v>96.455475261214929</v>
      </c>
      <c r="AT10" s="162">
        <f>SUBTOTAL(109,AT11:AT29)</f>
        <v>0</v>
      </c>
      <c r="AU10" s="170">
        <f>SUBTOTAL(109,AU11:AU29)</f>
        <v>27018011.069999997</v>
      </c>
      <c r="AV10" s="162">
        <f>SUBTOTAL(109,AV11:AV29)</f>
        <v>27018011.069999997</v>
      </c>
      <c r="AW10" s="162"/>
      <c r="AX10" s="162">
        <f>IF(AL10= 0,0,(AV10*100/AL10))</f>
        <v>96.455475261214929</v>
      </c>
      <c r="AY10" s="169">
        <f t="shared" ref="AY10:BI10" si="15">SUBTOTAL(109,AY11:AY29)</f>
        <v>0</v>
      </c>
      <c r="AZ10" s="162">
        <f t="shared" si="15"/>
        <v>0</v>
      </c>
      <c r="BA10" s="162">
        <f t="shared" si="15"/>
        <v>0</v>
      </c>
      <c r="BB10" s="162">
        <f t="shared" si="15"/>
        <v>0</v>
      </c>
      <c r="BC10" s="162">
        <f t="shared" si="15"/>
        <v>0</v>
      </c>
      <c r="BD10" s="170">
        <f t="shared" si="15"/>
        <v>0</v>
      </c>
      <c r="BE10" s="162">
        <f t="shared" si="15"/>
        <v>0</v>
      </c>
      <c r="BF10" s="169">
        <f t="shared" si="15"/>
        <v>0</v>
      </c>
      <c r="BG10" s="162">
        <f t="shared" si="15"/>
        <v>0</v>
      </c>
      <c r="BH10" s="162">
        <f t="shared" si="15"/>
        <v>27018011.069999997</v>
      </c>
      <c r="BI10" s="162">
        <f t="shared" si="15"/>
        <v>27018011.069999997</v>
      </c>
      <c r="BJ10" s="162">
        <f t="shared" si="3"/>
        <v>96.455475261214929</v>
      </c>
      <c r="BK10" s="171"/>
      <c r="BL10" s="171"/>
      <c r="BM10" s="172"/>
      <c r="BN10" s="172"/>
      <c r="BO10" s="173">
        <f t="shared" ref="BO10:BU10" si="16">SUBTOTAL(109,BO11:BO29)</f>
        <v>0</v>
      </c>
      <c r="BP10" s="162">
        <f t="shared" si="16"/>
        <v>992851.97</v>
      </c>
      <c r="BQ10" s="162">
        <f t="shared" si="16"/>
        <v>992851.97</v>
      </c>
      <c r="BR10" s="162">
        <f t="shared" si="16"/>
        <v>0</v>
      </c>
      <c r="BS10" s="162">
        <f t="shared" si="16"/>
        <v>992851.97</v>
      </c>
      <c r="BT10" s="162">
        <f t="shared" si="16"/>
        <v>992851.97</v>
      </c>
      <c r="BU10" s="174">
        <f t="shared" si="16"/>
        <v>0</v>
      </c>
      <c r="BV10" s="162"/>
      <c r="BW10" s="162"/>
      <c r="BX10" s="162">
        <f t="shared" ref="BX10:BX67" si="17">SUM(BV10:BW10)</f>
        <v>0</v>
      </c>
      <c r="BY10" s="161"/>
      <c r="BZ10" s="161"/>
      <c r="CA10" s="161"/>
      <c r="CB10" s="161"/>
      <c r="CC10" s="161"/>
      <c r="CD10" s="161"/>
      <c r="CE10" s="161"/>
      <c r="CF10" s="161"/>
      <c r="CG10" s="161"/>
      <c r="CH10" s="161"/>
      <c r="CI10" s="161"/>
      <c r="CJ10" s="161"/>
      <c r="CK10" s="175"/>
      <c r="CL10" s="175"/>
      <c r="CM10" s="148"/>
      <c r="CN10" s="161"/>
      <c r="CO10" s="161"/>
      <c r="CP10" s="161"/>
      <c r="CQ10" s="161"/>
      <c r="CR10" s="161"/>
      <c r="CS10" s="161"/>
      <c r="CT10" s="161"/>
      <c r="CU10" s="161"/>
      <c r="CV10" s="161"/>
      <c r="CW10" s="161"/>
      <c r="CX10" s="161"/>
      <c r="CY10" s="161"/>
      <c r="CZ10" s="161"/>
      <c r="DA10" s="161"/>
      <c r="DB10" s="161"/>
      <c r="DC10" s="161"/>
      <c r="DD10" s="161"/>
      <c r="DE10" s="161"/>
      <c r="DF10" s="161"/>
      <c r="DG10" s="161"/>
      <c r="DH10" s="161"/>
      <c r="DI10" s="161"/>
      <c r="DJ10" s="161"/>
      <c r="DK10" s="135"/>
    </row>
    <row r="11" spans="1:125" s="194" customFormat="1" x14ac:dyDescent="0.2">
      <c r="A11" s="177" t="s">
        <v>90</v>
      </c>
      <c r="B11" s="179" t="s">
        <v>93</v>
      </c>
      <c r="C11" s="180">
        <f>SUBTOTAL(103,C12:C29)</f>
        <v>18</v>
      </c>
      <c r="D11" s="181">
        <f>SUBTOTAL(109,D12:D29)</f>
        <v>28183500</v>
      </c>
      <c r="E11" s="182"/>
      <c r="F11" s="182"/>
      <c r="G11" s="182"/>
      <c r="H11" s="180">
        <f>SUBTOTAL(103,H12:H29)</f>
        <v>18</v>
      </c>
      <c r="I11" s="181">
        <f t="shared" ref="I11:P11" si="18">SUBTOTAL(109,I12:I29)</f>
        <v>0</v>
      </c>
      <c r="J11" s="181">
        <f t="shared" si="18"/>
        <v>28183500</v>
      </c>
      <c r="K11" s="181">
        <f t="shared" si="18"/>
        <v>28183500</v>
      </c>
      <c r="L11" s="181">
        <f t="shared" si="18"/>
        <v>0</v>
      </c>
      <c r="M11" s="181">
        <f t="shared" si="18"/>
        <v>28183500</v>
      </c>
      <c r="N11" s="181">
        <f t="shared" si="18"/>
        <v>28183500</v>
      </c>
      <c r="O11" s="181">
        <f t="shared" si="18"/>
        <v>0</v>
      </c>
      <c r="P11" s="183">
        <f t="shared" si="18"/>
        <v>0</v>
      </c>
      <c r="Q11" s="182"/>
      <c r="R11" s="180"/>
      <c r="S11" s="184">
        <f t="shared" ref="S11:AE11" si="19">SUBTOTAL(109,S12:S29)</f>
        <v>0</v>
      </c>
      <c r="T11" s="184">
        <f t="shared" si="19"/>
        <v>28183500</v>
      </c>
      <c r="U11" s="184">
        <f t="shared" si="19"/>
        <v>28183500</v>
      </c>
      <c r="V11" s="180">
        <f t="shared" si="19"/>
        <v>18892</v>
      </c>
      <c r="W11" s="185">
        <f t="shared" si="19"/>
        <v>548644</v>
      </c>
      <c r="X11" s="184">
        <f t="shared" si="19"/>
        <v>0</v>
      </c>
      <c r="Y11" s="181">
        <f t="shared" si="19"/>
        <v>-172636.96</v>
      </c>
      <c r="Z11" s="184">
        <f t="shared" si="19"/>
        <v>-172636.96</v>
      </c>
      <c r="AA11" s="182">
        <f t="shared" si="19"/>
        <v>0</v>
      </c>
      <c r="AB11" s="185">
        <f t="shared" si="19"/>
        <v>0</v>
      </c>
      <c r="AC11" s="184">
        <f t="shared" si="19"/>
        <v>0</v>
      </c>
      <c r="AD11" s="184">
        <f t="shared" si="19"/>
        <v>0</v>
      </c>
      <c r="AE11" s="184">
        <f t="shared" si="19"/>
        <v>0</v>
      </c>
      <c r="AF11" s="180">
        <f>SUBTOTAL(103,Q12:Q29)</f>
        <v>18</v>
      </c>
      <c r="AG11" s="183">
        <f t="shared" ref="AG11:AR11" si="20">SUBTOTAL(109,AG12:AG29)</f>
        <v>0</v>
      </c>
      <c r="AH11" s="184">
        <f t="shared" si="20"/>
        <v>28010863.039999999</v>
      </c>
      <c r="AI11" s="184">
        <f t="shared" si="20"/>
        <v>28010863.039999999</v>
      </c>
      <c r="AJ11" s="183">
        <f t="shared" si="20"/>
        <v>0</v>
      </c>
      <c r="AK11" s="183">
        <f t="shared" si="20"/>
        <v>28010863.039999999</v>
      </c>
      <c r="AL11" s="183">
        <f t="shared" si="20"/>
        <v>28010863.039999999</v>
      </c>
      <c r="AM11" s="182">
        <f t="shared" si="20"/>
        <v>0</v>
      </c>
      <c r="AN11" s="185">
        <f t="shared" si="20"/>
        <v>0</v>
      </c>
      <c r="AO11" s="186">
        <f t="shared" si="20"/>
        <v>0</v>
      </c>
      <c r="AP11" s="183">
        <f t="shared" si="20"/>
        <v>0</v>
      </c>
      <c r="AQ11" s="183">
        <f t="shared" si="20"/>
        <v>27018011.069999997</v>
      </c>
      <c r="AR11" s="183">
        <f t="shared" si="20"/>
        <v>27018011.069999997</v>
      </c>
      <c r="AS11" s="183">
        <f>IF(AI11= 0,0,(AR11*100/AI11))</f>
        <v>96.455475261214929</v>
      </c>
      <c r="AT11" s="183">
        <f>SUBTOTAL(109,AT12:AT29)</f>
        <v>0</v>
      </c>
      <c r="AU11" s="187">
        <f>SUBTOTAL(109,AU12:AU29)</f>
        <v>27018011.069999997</v>
      </c>
      <c r="AV11" s="183">
        <f>SUBTOTAL(109,AV12:AV29)</f>
        <v>27018011.069999997</v>
      </c>
      <c r="AW11" s="183"/>
      <c r="AX11" s="183">
        <f>IF(AL11= 0,0,(AV11*100/AL11))</f>
        <v>96.455475261214929</v>
      </c>
      <c r="AY11" s="186">
        <f t="shared" ref="AY11:BI11" si="21">SUBTOTAL(109,AY12:AY29)</f>
        <v>0</v>
      </c>
      <c r="AZ11" s="183">
        <f t="shared" si="21"/>
        <v>0</v>
      </c>
      <c r="BA11" s="183">
        <f t="shared" si="21"/>
        <v>0</v>
      </c>
      <c r="BB11" s="183">
        <f t="shared" si="21"/>
        <v>0</v>
      </c>
      <c r="BC11" s="183">
        <f t="shared" si="21"/>
        <v>0</v>
      </c>
      <c r="BD11" s="187">
        <f t="shared" si="21"/>
        <v>0</v>
      </c>
      <c r="BE11" s="183">
        <f t="shared" si="21"/>
        <v>0</v>
      </c>
      <c r="BF11" s="186">
        <f t="shared" si="21"/>
        <v>0</v>
      </c>
      <c r="BG11" s="183">
        <f t="shared" si="21"/>
        <v>0</v>
      </c>
      <c r="BH11" s="183">
        <f t="shared" si="21"/>
        <v>27018011.069999997</v>
      </c>
      <c r="BI11" s="183">
        <f t="shared" si="21"/>
        <v>27018011.069999997</v>
      </c>
      <c r="BJ11" s="183">
        <f t="shared" si="3"/>
        <v>96.455475261214929</v>
      </c>
      <c r="BK11" s="188"/>
      <c r="BL11" s="188"/>
      <c r="BM11" s="189"/>
      <c r="BN11" s="189"/>
      <c r="BO11" s="190">
        <f t="shared" ref="BO11:BU11" si="22">SUBTOTAL(109,BO12:BO29)</f>
        <v>0</v>
      </c>
      <c r="BP11" s="183">
        <f t="shared" si="22"/>
        <v>992851.97</v>
      </c>
      <c r="BQ11" s="183">
        <f t="shared" si="22"/>
        <v>992851.97</v>
      </c>
      <c r="BR11" s="183">
        <f t="shared" si="22"/>
        <v>0</v>
      </c>
      <c r="BS11" s="183">
        <f t="shared" si="22"/>
        <v>992851.97</v>
      </c>
      <c r="BT11" s="183">
        <f t="shared" si="22"/>
        <v>992851.97</v>
      </c>
      <c r="BU11" s="191">
        <f t="shared" si="22"/>
        <v>0</v>
      </c>
      <c r="BV11" s="183"/>
      <c r="BW11" s="183"/>
      <c r="BX11" s="183">
        <f t="shared" si="17"/>
        <v>0</v>
      </c>
      <c r="BY11" s="181"/>
      <c r="BZ11" s="181"/>
      <c r="CA11" s="181"/>
      <c r="CB11" s="181"/>
      <c r="CC11" s="181"/>
      <c r="CD11" s="181"/>
      <c r="CE11" s="181"/>
      <c r="CF11" s="181"/>
      <c r="CG11" s="181"/>
      <c r="CH11" s="181"/>
      <c r="CI11" s="181"/>
      <c r="CJ11" s="181"/>
      <c r="CK11" s="192"/>
      <c r="CL11" s="192"/>
      <c r="CM11" s="193"/>
      <c r="CN11" s="181"/>
      <c r="CO11" s="181"/>
      <c r="CP11" s="181"/>
      <c r="CQ11" s="181"/>
      <c r="CR11" s="181"/>
      <c r="CS11" s="181"/>
      <c r="CT11" s="181"/>
      <c r="CU11" s="181"/>
      <c r="CV11" s="181"/>
      <c r="CW11" s="181"/>
      <c r="CX11" s="181"/>
      <c r="CY11" s="181"/>
      <c r="CZ11" s="181"/>
      <c r="DA11" s="181"/>
      <c r="DB11" s="181"/>
      <c r="DC11" s="181"/>
      <c r="DD11" s="181"/>
      <c r="DE11" s="181"/>
      <c r="DF11" s="181"/>
      <c r="DG11" s="181"/>
      <c r="DH11" s="181"/>
      <c r="DI11" s="181"/>
      <c r="DJ11" s="181"/>
      <c r="DK11" s="135"/>
    </row>
    <row r="12" spans="1:125" s="221" customFormat="1" ht="42" x14ac:dyDescent="0.2">
      <c r="A12" s="195" t="s">
        <v>94</v>
      </c>
      <c r="B12" s="197" t="s">
        <v>95</v>
      </c>
      <c r="C12" s="198">
        <v>1</v>
      </c>
      <c r="D12" s="199">
        <v>600000</v>
      </c>
      <c r="E12" s="198" t="s">
        <v>96</v>
      </c>
      <c r="F12" s="198" t="s">
        <v>97</v>
      </c>
      <c r="G12" s="198" t="s">
        <v>98</v>
      </c>
      <c r="H12" s="200">
        <v>1</v>
      </c>
      <c r="I12" s="199">
        <f t="shared" ref="I12:I29" si="23">+L12</f>
        <v>0</v>
      </c>
      <c r="J12" s="199">
        <f t="shared" ref="J12:J29" si="24">+O12+M12+P12</f>
        <v>600000</v>
      </c>
      <c r="K12" s="199">
        <f t="shared" ref="K12:K29" si="25">I12+J12</f>
        <v>600000</v>
      </c>
      <c r="L12" s="199"/>
      <c r="M12" s="199">
        <v>600000</v>
      </c>
      <c r="N12" s="199">
        <f t="shared" ref="N12:N29" si="26">L12+M12</f>
        <v>600000</v>
      </c>
      <c r="O12" s="199"/>
      <c r="P12" s="201">
        <v>0</v>
      </c>
      <c r="Q12" s="202">
        <v>18</v>
      </c>
      <c r="R12" s="203">
        <v>45566</v>
      </c>
      <c r="S12" s="204"/>
      <c r="T12" s="204">
        <v>600000</v>
      </c>
      <c r="U12" s="204">
        <f t="shared" ref="U12:U29" si="27">S12+T12</f>
        <v>600000</v>
      </c>
      <c r="V12" s="205">
        <v>2547</v>
      </c>
      <c r="W12" s="200">
        <v>45834</v>
      </c>
      <c r="X12" s="201"/>
      <c r="Y12" s="201">
        <v>-1517.05</v>
      </c>
      <c r="Z12" s="201">
        <f t="shared" ref="Z12:Z29" si="28">X12+Y12</f>
        <v>-1517.05</v>
      </c>
      <c r="AA12" s="198"/>
      <c r="AB12" s="206"/>
      <c r="AC12" s="207"/>
      <c r="AD12" s="201"/>
      <c r="AE12" s="204">
        <f t="shared" ref="AE12:AE29" si="29">AC12+AD12</f>
        <v>0</v>
      </c>
      <c r="AF12" s="203">
        <f t="shared" ref="AF12:AF29" si="30">+R12</f>
        <v>45566</v>
      </c>
      <c r="AG12" s="201">
        <f t="shared" ref="AG12:AG29" si="31">+AJ12</f>
        <v>0</v>
      </c>
      <c r="AH12" s="204">
        <f t="shared" ref="AH12:AH29" si="32">+AK12+AO12</f>
        <v>598482.94999999995</v>
      </c>
      <c r="AI12" s="204">
        <f t="shared" ref="AI12:AI29" si="33">AG12+AH12</f>
        <v>598482.94999999995</v>
      </c>
      <c r="AJ12" s="201">
        <f t="shared" ref="AJ12:AK27" si="34">+S12+X12+AC12</f>
        <v>0</v>
      </c>
      <c r="AK12" s="201">
        <f t="shared" si="34"/>
        <v>598482.94999999995</v>
      </c>
      <c r="AL12" s="201">
        <f t="shared" ref="AL12:AL29" si="35">SUM(AJ12:AK12)</f>
        <v>598482.94999999995</v>
      </c>
      <c r="AM12" s="198"/>
      <c r="AN12" s="203"/>
      <c r="AO12" s="208"/>
      <c r="AP12" s="201">
        <f t="shared" ref="AP12:AP29" si="36">+AT12</f>
        <v>0</v>
      </c>
      <c r="AQ12" s="201">
        <f t="shared" ref="AQ12:AQ29" si="37">+AU12+AY12</f>
        <v>598482.94999999995</v>
      </c>
      <c r="AR12" s="201">
        <f t="shared" ref="AR12:AR15" si="38">SUM(AP12:AQ12)</f>
        <v>598482.94999999995</v>
      </c>
      <c r="AS12" s="201">
        <f t="shared" ref="AS12:AS29" si="39">IF(AI12= 0,0,(AR12*100/AI12))</f>
        <v>100</v>
      </c>
      <c r="AT12" s="201"/>
      <c r="AU12" s="209">
        <v>598482.94999999995</v>
      </c>
      <c r="AV12" s="201">
        <f>SUM(AT12:AU12)</f>
        <v>598482.94999999995</v>
      </c>
      <c r="AW12" s="201">
        <f>+CF12*100/AL12</f>
        <v>0</v>
      </c>
      <c r="AX12" s="201">
        <f t="shared" ref="AX12:AX29" si="40">IF(AL12= 0,0,(AV12*100/AL12))</f>
        <v>100</v>
      </c>
      <c r="AY12" s="208"/>
      <c r="AZ12" s="201">
        <f>+BC12</f>
        <v>0</v>
      </c>
      <c r="BA12" s="201">
        <f t="shared" ref="BA12:BA29" si="41">+BD12+BF12</f>
        <v>0</v>
      </c>
      <c r="BB12" s="201">
        <f>SUM(AZ12:BA12)</f>
        <v>0</v>
      </c>
      <c r="BC12" s="201"/>
      <c r="BD12" s="209">
        <v>0</v>
      </c>
      <c r="BE12" s="201">
        <f t="shared" ref="BE12:BE29" si="42">SUM(BC12:BD12)</f>
        <v>0</v>
      </c>
      <c r="BF12" s="208"/>
      <c r="BG12" s="201">
        <f>+AP12+AZ12</f>
        <v>0</v>
      </c>
      <c r="BH12" s="201">
        <f>+AQ12+BA12</f>
        <v>598482.94999999995</v>
      </c>
      <c r="BI12" s="201">
        <f>SUM(BG12:BH12)</f>
        <v>598482.94999999995</v>
      </c>
      <c r="BJ12" s="201">
        <f>+BI12*100/AI12</f>
        <v>100</v>
      </c>
      <c r="BK12" s="210">
        <v>30</v>
      </c>
      <c r="BL12" s="210">
        <v>100</v>
      </c>
      <c r="BM12" s="211"/>
      <c r="BN12" s="211"/>
      <c r="BO12" s="212">
        <f t="shared" ref="BO12:BO29" si="43">+BR12</f>
        <v>0</v>
      </c>
      <c r="BP12" s="201">
        <f t="shared" ref="BP12:BP29" si="44">+BS12+BU12</f>
        <v>0</v>
      </c>
      <c r="BQ12" s="201">
        <f t="shared" ref="BQ12" si="45">SUM(BO12:BP12)</f>
        <v>0</v>
      </c>
      <c r="BR12" s="201">
        <f t="shared" ref="BR12:BS27" si="46">+AJ12-AT12</f>
        <v>0</v>
      </c>
      <c r="BS12" s="201">
        <f t="shared" si="46"/>
        <v>0</v>
      </c>
      <c r="BT12" s="201">
        <f t="shared" ref="BT12" si="47">SUM(BR12:BS12)</f>
        <v>0</v>
      </c>
      <c r="BU12" s="213">
        <f>+AO12-AY12</f>
        <v>0</v>
      </c>
      <c r="BV12" s="201">
        <v>1517.05</v>
      </c>
      <c r="BW12" s="201"/>
      <c r="BX12" s="201">
        <f t="shared" ref="BX12" si="48">SUM(BV12:BW12)</f>
        <v>1517.05</v>
      </c>
      <c r="BY12" s="199">
        <v>200000</v>
      </c>
      <c r="BZ12" s="199">
        <v>200000</v>
      </c>
      <c r="CA12" s="199">
        <v>200000</v>
      </c>
      <c r="CB12" s="199">
        <v>0</v>
      </c>
      <c r="CC12" s="199"/>
      <c r="CD12" s="199"/>
      <c r="CE12" s="199"/>
      <c r="CF12" s="199"/>
      <c r="CG12" s="199"/>
      <c r="CH12" s="199"/>
      <c r="CI12" s="199"/>
      <c r="CJ12" s="199"/>
      <c r="CK12" s="214" t="s">
        <v>99</v>
      </c>
      <c r="CL12" s="214" t="s">
        <v>100</v>
      </c>
      <c r="CM12" s="211">
        <v>202</v>
      </c>
      <c r="CN12" s="215"/>
      <c r="CO12" s="215"/>
      <c r="CP12" s="216"/>
      <c r="CQ12" s="217"/>
      <c r="CR12" s="211"/>
      <c r="CS12" s="218"/>
      <c r="CT12" s="218"/>
      <c r="CU12" s="218"/>
      <c r="CV12" s="211"/>
      <c r="CW12" s="211"/>
      <c r="CX12" s="211"/>
      <c r="CY12" s="211"/>
      <c r="CZ12" s="211"/>
      <c r="DA12" s="211"/>
      <c r="DB12" s="211"/>
      <c r="DC12" s="219"/>
      <c r="DD12" s="219"/>
      <c r="DE12" s="219"/>
      <c r="DF12" s="211"/>
      <c r="DG12" s="211"/>
      <c r="DH12" s="211"/>
      <c r="DI12" s="211"/>
      <c r="DJ12" s="211"/>
      <c r="DK12" s="220" t="s">
        <v>32</v>
      </c>
      <c r="DT12" s="222"/>
    </row>
    <row r="13" spans="1:125" s="221" customFormat="1" ht="42" x14ac:dyDescent="0.2">
      <c r="A13" s="195" t="s">
        <v>94</v>
      </c>
      <c r="B13" s="197" t="s">
        <v>101</v>
      </c>
      <c r="C13" s="198">
        <v>1</v>
      </c>
      <c r="D13" s="199">
        <v>600000</v>
      </c>
      <c r="E13" s="198" t="s">
        <v>102</v>
      </c>
      <c r="F13" s="198" t="s">
        <v>97</v>
      </c>
      <c r="G13" s="198" t="s">
        <v>98</v>
      </c>
      <c r="H13" s="200">
        <v>1</v>
      </c>
      <c r="I13" s="199">
        <f t="shared" si="23"/>
        <v>0</v>
      </c>
      <c r="J13" s="199">
        <f t="shared" si="24"/>
        <v>600000</v>
      </c>
      <c r="K13" s="199">
        <f t="shared" si="25"/>
        <v>600000</v>
      </c>
      <c r="L13" s="199"/>
      <c r="M13" s="199">
        <v>600000</v>
      </c>
      <c r="N13" s="199">
        <f t="shared" si="26"/>
        <v>600000</v>
      </c>
      <c r="O13" s="199"/>
      <c r="P13" s="201">
        <v>0</v>
      </c>
      <c r="Q13" s="202">
        <v>18</v>
      </c>
      <c r="R13" s="203">
        <v>45566</v>
      </c>
      <c r="S13" s="204"/>
      <c r="T13" s="204">
        <v>600000</v>
      </c>
      <c r="U13" s="204">
        <f t="shared" si="27"/>
        <v>600000</v>
      </c>
      <c r="V13" s="205">
        <v>2547</v>
      </c>
      <c r="W13" s="200">
        <v>45834</v>
      </c>
      <c r="X13" s="201"/>
      <c r="Y13" s="201">
        <v>-1422.7</v>
      </c>
      <c r="Z13" s="201">
        <f t="shared" si="28"/>
        <v>-1422.7</v>
      </c>
      <c r="AA13" s="198"/>
      <c r="AB13" s="206"/>
      <c r="AC13" s="207"/>
      <c r="AD13" s="201"/>
      <c r="AE13" s="204">
        <f t="shared" si="29"/>
        <v>0</v>
      </c>
      <c r="AF13" s="203">
        <f t="shared" si="30"/>
        <v>45566</v>
      </c>
      <c r="AG13" s="201">
        <f t="shared" si="31"/>
        <v>0</v>
      </c>
      <c r="AH13" s="204">
        <f t="shared" si="32"/>
        <v>598577.30000000005</v>
      </c>
      <c r="AI13" s="204">
        <f t="shared" si="33"/>
        <v>598577.30000000005</v>
      </c>
      <c r="AJ13" s="201">
        <f t="shared" si="34"/>
        <v>0</v>
      </c>
      <c r="AK13" s="201">
        <f t="shared" si="34"/>
        <v>598577.30000000005</v>
      </c>
      <c r="AL13" s="201">
        <f t="shared" si="35"/>
        <v>598577.30000000005</v>
      </c>
      <c r="AM13" s="198"/>
      <c r="AN13" s="203"/>
      <c r="AO13" s="208"/>
      <c r="AP13" s="201">
        <f t="shared" si="36"/>
        <v>0</v>
      </c>
      <c r="AQ13" s="201">
        <f t="shared" si="37"/>
        <v>598577.30000000005</v>
      </c>
      <c r="AR13" s="201">
        <f t="shared" si="38"/>
        <v>598577.30000000005</v>
      </c>
      <c r="AS13" s="201">
        <f t="shared" si="39"/>
        <v>100</v>
      </c>
      <c r="AT13" s="201"/>
      <c r="AU13" s="209">
        <v>598577.30000000005</v>
      </c>
      <c r="AV13" s="201">
        <f t="shared" ref="AV13:AV29" si="49">SUM(AT13:AU13)</f>
        <v>598577.30000000005</v>
      </c>
      <c r="AW13" s="201">
        <f>+CF13*100/AL13</f>
        <v>0</v>
      </c>
      <c r="AX13" s="201">
        <f t="shared" si="40"/>
        <v>100</v>
      </c>
      <c r="AY13" s="208"/>
      <c r="AZ13" s="201">
        <f t="shared" ref="AZ13:AZ29" si="50">+BC13</f>
        <v>0</v>
      </c>
      <c r="BA13" s="201">
        <f t="shared" si="41"/>
        <v>0</v>
      </c>
      <c r="BB13" s="201">
        <f t="shared" ref="BB13:BB15" si="51">SUM(AZ13:BA13)</f>
        <v>0</v>
      </c>
      <c r="BC13" s="201"/>
      <c r="BD13" s="209">
        <v>0</v>
      </c>
      <c r="BE13" s="201">
        <f t="shared" si="42"/>
        <v>0</v>
      </c>
      <c r="BF13" s="208"/>
      <c r="BG13" s="201">
        <f t="shared" ref="BG13:BH28" si="52">+AP13+AZ13</f>
        <v>0</v>
      </c>
      <c r="BH13" s="201">
        <f t="shared" si="52"/>
        <v>598577.30000000005</v>
      </c>
      <c r="BI13" s="201">
        <f t="shared" ref="BI13:BI29" si="53">SUM(BG13:BH13)</f>
        <v>598577.30000000005</v>
      </c>
      <c r="BJ13" s="201">
        <f t="shared" si="3"/>
        <v>100</v>
      </c>
      <c r="BK13" s="210">
        <v>10</v>
      </c>
      <c r="BL13" s="210">
        <v>100</v>
      </c>
      <c r="BM13" s="211"/>
      <c r="BN13" s="211"/>
      <c r="BO13" s="212">
        <f t="shared" si="43"/>
        <v>0</v>
      </c>
      <c r="BP13" s="201">
        <f t="shared" si="44"/>
        <v>0</v>
      </c>
      <c r="BQ13" s="201">
        <f t="shared" ref="BQ13:BQ29" si="54">SUM(BO13:BP13)</f>
        <v>0</v>
      </c>
      <c r="BR13" s="201">
        <f t="shared" si="46"/>
        <v>0</v>
      </c>
      <c r="BS13" s="201">
        <f t="shared" si="46"/>
        <v>0</v>
      </c>
      <c r="BT13" s="201">
        <f t="shared" ref="BT13:BT29" si="55">SUM(BR13:BS13)</f>
        <v>0</v>
      </c>
      <c r="BU13" s="213">
        <f>+AO13-AY13</f>
        <v>0</v>
      </c>
      <c r="BV13" s="201">
        <v>1422.7</v>
      </c>
      <c r="BW13" s="201"/>
      <c r="BX13" s="201">
        <f t="shared" ref="BX13:BX29" si="56">SUM(BV13:BW13)</f>
        <v>1422.7</v>
      </c>
      <c r="BY13" s="199">
        <v>200000</v>
      </c>
      <c r="BZ13" s="199">
        <v>200000</v>
      </c>
      <c r="CA13" s="199">
        <v>200000</v>
      </c>
      <c r="CB13" s="199">
        <v>0</v>
      </c>
      <c r="CC13" s="199"/>
      <c r="CD13" s="199"/>
      <c r="CE13" s="199"/>
      <c r="CF13" s="199"/>
      <c r="CG13" s="199"/>
      <c r="CH13" s="199"/>
      <c r="CI13" s="199"/>
      <c r="CJ13" s="199"/>
      <c r="CK13" s="214" t="s">
        <v>103</v>
      </c>
      <c r="CL13" s="214" t="s">
        <v>100</v>
      </c>
      <c r="CM13" s="211">
        <v>202</v>
      </c>
      <c r="CN13" s="215"/>
      <c r="CO13" s="215"/>
      <c r="CP13" s="216"/>
      <c r="CQ13" s="217"/>
      <c r="CR13" s="211"/>
      <c r="CS13" s="218"/>
      <c r="CT13" s="218"/>
      <c r="CU13" s="218"/>
      <c r="CV13" s="211"/>
      <c r="CW13" s="211"/>
      <c r="CX13" s="211"/>
      <c r="CY13" s="211"/>
      <c r="CZ13" s="211"/>
      <c r="DA13" s="211"/>
      <c r="DB13" s="211"/>
      <c r="DC13" s="219"/>
      <c r="DD13" s="219"/>
      <c r="DE13" s="219"/>
      <c r="DF13" s="211"/>
      <c r="DG13" s="211"/>
      <c r="DH13" s="211"/>
      <c r="DI13" s="211"/>
      <c r="DJ13" s="211"/>
      <c r="DK13" s="220" t="s">
        <v>32</v>
      </c>
      <c r="DT13" s="222"/>
      <c r="DU13" s="176"/>
    </row>
    <row r="14" spans="1:125" s="221" customFormat="1" ht="42" x14ac:dyDescent="0.2">
      <c r="A14" s="195" t="s">
        <v>94</v>
      </c>
      <c r="B14" s="197" t="s">
        <v>104</v>
      </c>
      <c r="C14" s="198">
        <v>1</v>
      </c>
      <c r="D14" s="199">
        <v>700000</v>
      </c>
      <c r="E14" s="198" t="s">
        <v>105</v>
      </c>
      <c r="F14" s="198" t="s">
        <v>106</v>
      </c>
      <c r="G14" s="198" t="s">
        <v>98</v>
      </c>
      <c r="H14" s="200">
        <v>1</v>
      </c>
      <c r="I14" s="199">
        <f t="shared" si="23"/>
        <v>0</v>
      </c>
      <c r="J14" s="199">
        <f t="shared" si="24"/>
        <v>700000</v>
      </c>
      <c r="K14" s="199">
        <f t="shared" si="25"/>
        <v>700000</v>
      </c>
      <c r="L14" s="199"/>
      <c r="M14" s="199">
        <v>700000</v>
      </c>
      <c r="N14" s="199">
        <f t="shared" si="26"/>
        <v>700000</v>
      </c>
      <c r="O14" s="199"/>
      <c r="P14" s="201">
        <v>0</v>
      </c>
      <c r="Q14" s="202">
        <v>18</v>
      </c>
      <c r="R14" s="203">
        <v>45566</v>
      </c>
      <c r="S14" s="204"/>
      <c r="T14" s="204">
        <v>700000</v>
      </c>
      <c r="U14" s="204">
        <f t="shared" si="27"/>
        <v>700000</v>
      </c>
      <c r="V14" s="205">
        <v>2547</v>
      </c>
      <c r="W14" s="200">
        <v>45834</v>
      </c>
      <c r="X14" s="201"/>
      <c r="Y14" s="201">
        <v>-5756.3</v>
      </c>
      <c r="Z14" s="201">
        <f t="shared" si="28"/>
        <v>-5756.3</v>
      </c>
      <c r="AA14" s="198"/>
      <c r="AB14" s="206"/>
      <c r="AC14" s="207"/>
      <c r="AD14" s="201"/>
      <c r="AE14" s="204">
        <f t="shared" si="29"/>
        <v>0</v>
      </c>
      <c r="AF14" s="203">
        <f t="shared" si="30"/>
        <v>45566</v>
      </c>
      <c r="AG14" s="201">
        <f t="shared" si="31"/>
        <v>0</v>
      </c>
      <c r="AH14" s="204">
        <f t="shared" si="32"/>
        <v>694243.7</v>
      </c>
      <c r="AI14" s="204">
        <f t="shared" si="33"/>
        <v>694243.7</v>
      </c>
      <c r="AJ14" s="201">
        <f t="shared" si="34"/>
        <v>0</v>
      </c>
      <c r="AK14" s="201">
        <f t="shared" si="34"/>
        <v>694243.7</v>
      </c>
      <c r="AL14" s="201">
        <f t="shared" si="35"/>
        <v>694243.7</v>
      </c>
      <c r="AM14" s="198"/>
      <c r="AN14" s="203"/>
      <c r="AO14" s="208"/>
      <c r="AP14" s="201">
        <f t="shared" si="36"/>
        <v>0</v>
      </c>
      <c r="AQ14" s="201">
        <f t="shared" si="37"/>
        <v>694243.7</v>
      </c>
      <c r="AR14" s="201">
        <f t="shared" si="38"/>
        <v>694243.7</v>
      </c>
      <c r="AS14" s="201">
        <f t="shared" si="39"/>
        <v>100</v>
      </c>
      <c r="AT14" s="201"/>
      <c r="AU14" s="209">
        <v>694243.7</v>
      </c>
      <c r="AV14" s="201">
        <f>SUM(AT14:AU14)</f>
        <v>694243.7</v>
      </c>
      <c r="AW14" s="201">
        <f>+CF14*100/AL14</f>
        <v>0</v>
      </c>
      <c r="AX14" s="201">
        <f t="shared" si="40"/>
        <v>100</v>
      </c>
      <c r="AY14" s="208"/>
      <c r="AZ14" s="201">
        <f t="shared" si="50"/>
        <v>0</v>
      </c>
      <c r="BA14" s="201">
        <f t="shared" si="41"/>
        <v>0</v>
      </c>
      <c r="BB14" s="201">
        <f t="shared" si="51"/>
        <v>0</v>
      </c>
      <c r="BC14" s="201"/>
      <c r="BD14" s="209">
        <v>0</v>
      </c>
      <c r="BE14" s="201">
        <f t="shared" si="42"/>
        <v>0</v>
      </c>
      <c r="BF14" s="208"/>
      <c r="BG14" s="201">
        <f t="shared" si="52"/>
        <v>0</v>
      </c>
      <c r="BH14" s="201">
        <f t="shared" si="52"/>
        <v>694243.7</v>
      </c>
      <c r="BI14" s="201">
        <f t="shared" si="53"/>
        <v>694243.7</v>
      </c>
      <c r="BJ14" s="201">
        <f t="shared" si="3"/>
        <v>100</v>
      </c>
      <c r="BK14" s="210">
        <v>40</v>
      </c>
      <c r="BL14" s="210">
        <v>100</v>
      </c>
      <c r="BM14" s="211"/>
      <c r="BN14" s="211"/>
      <c r="BO14" s="212">
        <f t="shared" si="43"/>
        <v>0</v>
      </c>
      <c r="BP14" s="201">
        <f t="shared" si="44"/>
        <v>0</v>
      </c>
      <c r="BQ14" s="201">
        <f t="shared" ref="BQ14" si="57">SUM(BO14:BP14)</f>
        <v>0</v>
      </c>
      <c r="BR14" s="201">
        <f t="shared" si="46"/>
        <v>0</v>
      </c>
      <c r="BS14" s="201">
        <f t="shared" si="46"/>
        <v>0</v>
      </c>
      <c r="BT14" s="201">
        <f t="shared" si="55"/>
        <v>0</v>
      </c>
      <c r="BU14" s="213">
        <f>+AO14-AY14</f>
        <v>0</v>
      </c>
      <c r="BV14" s="201">
        <v>5756.3</v>
      </c>
      <c r="BW14" s="201"/>
      <c r="BX14" s="201">
        <f t="shared" si="56"/>
        <v>5756.3</v>
      </c>
      <c r="BY14" s="199">
        <v>233300</v>
      </c>
      <c r="BZ14" s="199">
        <v>233300</v>
      </c>
      <c r="CA14" s="199">
        <v>233400</v>
      </c>
      <c r="CB14" s="199">
        <v>0</v>
      </c>
      <c r="CC14" s="199"/>
      <c r="CD14" s="199"/>
      <c r="CE14" s="199"/>
      <c r="CF14" s="199"/>
      <c r="CG14" s="199"/>
      <c r="CH14" s="199"/>
      <c r="CI14" s="199"/>
      <c r="CJ14" s="199"/>
      <c r="CK14" s="214" t="s">
        <v>107</v>
      </c>
      <c r="CL14" s="214" t="s">
        <v>100</v>
      </c>
      <c r="CM14" s="211">
        <v>202</v>
      </c>
      <c r="CN14" s="215"/>
      <c r="CO14" s="215"/>
      <c r="CP14" s="216"/>
      <c r="CQ14" s="217"/>
      <c r="CR14" s="211"/>
      <c r="CS14" s="218"/>
      <c r="CT14" s="218"/>
      <c r="CU14" s="218"/>
      <c r="CV14" s="211"/>
      <c r="CW14" s="211"/>
      <c r="CX14" s="211"/>
      <c r="CY14" s="211"/>
      <c r="CZ14" s="211"/>
      <c r="DA14" s="211"/>
      <c r="DB14" s="211"/>
      <c r="DC14" s="219"/>
      <c r="DD14" s="219"/>
      <c r="DE14" s="219"/>
      <c r="DF14" s="211"/>
      <c r="DG14" s="211"/>
      <c r="DH14" s="211"/>
      <c r="DI14" s="211"/>
      <c r="DJ14" s="211"/>
      <c r="DK14" s="220" t="s">
        <v>32</v>
      </c>
      <c r="DT14" s="222"/>
    </row>
    <row r="15" spans="1:125" s="221" customFormat="1" ht="42" x14ac:dyDescent="0.2">
      <c r="A15" s="195" t="s">
        <v>108</v>
      </c>
      <c r="B15" s="197" t="s">
        <v>109</v>
      </c>
      <c r="C15" s="198">
        <v>1</v>
      </c>
      <c r="D15" s="199">
        <v>850000</v>
      </c>
      <c r="E15" s="198" t="s">
        <v>110</v>
      </c>
      <c r="F15" s="198" t="s">
        <v>111</v>
      </c>
      <c r="G15" s="198" t="s">
        <v>98</v>
      </c>
      <c r="H15" s="200">
        <v>1</v>
      </c>
      <c r="I15" s="199">
        <f t="shared" si="23"/>
        <v>0</v>
      </c>
      <c r="J15" s="199">
        <f t="shared" si="24"/>
        <v>850000</v>
      </c>
      <c r="K15" s="199">
        <f t="shared" si="25"/>
        <v>850000</v>
      </c>
      <c r="L15" s="199"/>
      <c r="M15" s="199">
        <v>850000</v>
      </c>
      <c r="N15" s="199">
        <f t="shared" si="26"/>
        <v>850000</v>
      </c>
      <c r="O15" s="199"/>
      <c r="P15" s="201">
        <v>0</v>
      </c>
      <c r="Q15" s="202">
        <v>18</v>
      </c>
      <c r="R15" s="203">
        <v>45566</v>
      </c>
      <c r="S15" s="204"/>
      <c r="T15" s="204">
        <v>850000</v>
      </c>
      <c r="U15" s="204">
        <f t="shared" si="27"/>
        <v>850000</v>
      </c>
      <c r="V15" s="205"/>
      <c r="W15" s="200"/>
      <c r="X15" s="201"/>
      <c r="Y15" s="201"/>
      <c r="Z15" s="201">
        <f t="shared" si="28"/>
        <v>0</v>
      </c>
      <c r="AA15" s="198"/>
      <c r="AB15" s="206"/>
      <c r="AC15" s="207"/>
      <c r="AD15" s="201"/>
      <c r="AE15" s="204">
        <f t="shared" si="29"/>
        <v>0</v>
      </c>
      <c r="AF15" s="203">
        <f t="shared" si="30"/>
        <v>45566</v>
      </c>
      <c r="AG15" s="201">
        <f t="shared" si="31"/>
        <v>0</v>
      </c>
      <c r="AH15" s="204">
        <f t="shared" si="32"/>
        <v>850000</v>
      </c>
      <c r="AI15" s="204">
        <f t="shared" si="33"/>
        <v>850000</v>
      </c>
      <c r="AJ15" s="201">
        <f t="shared" si="34"/>
        <v>0</v>
      </c>
      <c r="AK15" s="201">
        <f t="shared" si="34"/>
        <v>850000</v>
      </c>
      <c r="AL15" s="201">
        <f t="shared" si="35"/>
        <v>850000</v>
      </c>
      <c r="AM15" s="198"/>
      <c r="AN15" s="203"/>
      <c r="AO15" s="208"/>
      <c r="AP15" s="201">
        <f t="shared" si="36"/>
        <v>0</v>
      </c>
      <c r="AQ15" s="201">
        <f t="shared" si="37"/>
        <v>849652.07</v>
      </c>
      <c r="AR15" s="201">
        <f t="shared" si="38"/>
        <v>849652.07</v>
      </c>
      <c r="AS15" s="201">
        <f t="shared" si="39"/>
        <v>99.959067058823535</v>
      </c>
      <c r="AT15" s="201"/>
      <c r="AU15" s="223">
        <v>849652.07</v>
      </c>
      <c r="AV15" s="201">
        <f>SUM(AT15:AU15)</f>
        <v>849652.07</v>
      </c>
      <c r="AW15" s="201">
        <f>+CF15*100/AL15</f>
        <v>0</v>
      </c>
      <c r="AX15" s="201">
        <f t="shared" si="40"/>
        <v>99.959067058823535</v>
      </c>
      <c r="AY15" s="208"/>
      <c r="AZ15" s="201">
        <f t="shared" si="50"/>
        <v>0</v>
      </c>
      <c r="BA15" s="201">
        <f t="shared" si="41"/>
        <v>0</v>
      </c>
      <c r="BB15" s="201">
        <f t="shared" si="51"/>
        <v>0</v>
      </c>
      <c r="BC15" s="201"/>
      <c r="BD15" s="223">
        <v>0</v>
      </c>
      <c r="BE15" s="201">
        <f t="shared" si="42"/>
        <v>0</v>
      </c>
      <c r="BF15" s="208"/>
      <c r="BG15" s="201">
        <f t="shared" si="52"/>
        <v>0</v>
      </c>
      <c r="BH15" s="201">
        <f t="shared" si="52"/>
        <v>849652.07</v>
      </c>
      <c r="BI15" s="201">
        <f t="shared" si="53"/>
        <v>849652.07</v>
      </c>
      <c r="BJ15" s="201">
        <f t="shared" si="3"/>
        <v>99.959067058823535</v>
      </c>
      <c r="BK15" s="210">
        <v>89</v>
      </c>
      <c r="BL15" s="210">
        <v>100</v>
      </c>
      <c r="BM15" s="211"/>
      <c r="BN15" s="211"/>
      <c r="BO15" s="212">
        <f t="shared" si="43"/>
        <v>0</v>
      </c>
      <c r="BP15" s="201">
        <f t="shared" si="44"/>
        <v>347.93000000005122</v>
      </c>
      <c r="BQ15" s="201">
        <f t="shared" si="54"/>
        <v>347.93000000005122</v>
      </c>
      <c r="BR15" s="201">
        <f t="shared" si="46"/>
        <v>0</v>
      </c>
      <c r="BS15" s="201">
        <f t="shared" si="46"/>
        <v>347.93000000005122</v>
      </c>
      <c r="BT15" s="201">
        <f t="shared" si="55"/>
        <v>347.93000000005122</v>
      </c>
      <c r="BU15" s="213">
        <f>+AO15-AY15</f>
        <v>0</v>
      </c>
      <c r="BV15" s="201"/>
      <c r="BW15" s="201"/>
      <c r="BX15" s="201">
        <f t="shared" si="56"/>
        <v>0</v>
      </c>
      <c r="BY15" s="199">
        <v>59500</v>
      </c>
      <c r="BZ15" s="199">
        <v>255000</v>
      </c>
      <c r="CA15" s="199">
        <v>442000</v>
      </c>
      <c r="CB15" s="199">
        <v>93500</v>
      </c>
      <c r="CC15" s="199"/>
      <c r="CD15" s="199"/>
      <c r="CE15" s="199"/>
      <c r="CF15" s="199"/>
      <c r="CG15" s="199"/>
      <c r="CH15" s="199"/>
      <c r="CI15" s="199"/>
      <c r="CJ15" s="199"/>
      <c r="CK15" s="214" t="s">
        <v>112</v>
      </c>
      <c r="CL15" s="214" t="s">
        <v>100</v>
      </c>
      <c r="CM15" s="211">
        <v>202</v>
      </c>
      <c r="CN15" s="215"/>
      <c r="CO15" s="215"/>
      <c r="CP15" s="216"/>
      <c r="CQ15" s="217"/>
      <c r="CR15" s="211"/>
      <c r="CS15" s="218"/>
      <c r="CT15" s="218"/>
      <c r="CU15" s="218"/>
      <c r="CV15" s="211"/>
      <c r="CW15" s="211"/>
      <c r="CX15" s="211"/>
      <c r="CY15" s="211"/>
      <c r="CZ15" s="211"/>
      <c r="DA15" s="211"/>
      <c r="DB15" s="211"/>
      <c r="DC15" s="219"/>
      <c r="DD15" s="219"/>
      <c r="DE15" s="219"/>
      <c r="DF15" s="211"/>
      <c r="DG15" s="211"/>
      <c r="DH15" s="211"/>
      <c r="DI15" s="211"/>
      <c r="DJ15" s="211"/>
      <c r="DK15" s="220" t="s">
        <v>32</v>
      </c>
      <c r="DT15" s="222"/>
    </row>
    <row r="16" spans="1:125" s="176" customFormat="1" ht="42" x14ac:dyDescent="0.2">
      <c r="A16" s="195" t="s">
        <v>113</v>
      </c>
      <c r="B16" s="197" t="s">
        <v>114</v>
      </c>
      <c r="C16" s="198">
        <v>1</v>
      </c>
      <c r="D16" s="199">
        <v>3600000</v>
      </c>
      <c r="E16" s="198" t="s">
        <v>115</v>
      </c>
      <c r="F16" s="198" t="s">
        <v>115</v>
      </c>
      <c r="G16" s="198" t="s">
        <v>98</v>
      </c>
      <c r="H16" s="200">
        <v>1</v>
      </c>
      <c r="I16" s="199">
        <f t="shared" si="23"/>
        <v>0</v>
      </c>
      <c r="J16" s="199">
        <f t="shared" si="24"/>
        <v>3600000</v>
      </c>
      <c r="K16" s="199">
        <f t="shared" si="25"/>
        <v>3600000</v>
      </c>
      <c r="L16" s="199"/>
      <c r="M16" s="199">
        <v>3600000</v>
      </c>
      <c r="N16" s="199">
        <f t="shared" si="26"/>
        <v>3600000</v>
      </c>
      <c r="O16" s="199"/>
      <c r="P16" s="201">
        <v>0</v>
      </c>
      <c r="Q16" s="202">
        <v>18</v>
      </c>
      <c r="R16" s="203">
        <v>45566</v>
      </c>
      <c r="S16" s="204"/>
      <c r="T16" s="204">
        <v>3600000</v>
      </c>
      <c r="U16" s="204">
        <f t="shared" si="27"/>
        <v>3600000</v>
      </c>
      <c r="V16" s="205"/>
      <c r="W16" s="200"/>
      <c r="X16" s="201"/>
      <c r="Y16" s="201"/>
      <c r="Z16" s="201">
        <f t="shared" si="28"/>
        <v>0</v>
      </c>
      <c r="AA16" s="198"/>
      <c r="AB16" s="206"/>
      <c r="AC16" s="207"/>
      <c r="AD16" s="201"/>
      <c r="AE16" s="204">
        <f t="shared" si="29"/>
        <v>0</v>
      </c>
      <c r="AF16" s="203">
        <f t="shared" si="30"/>
        <v>45566</v>
      </c>
      <c r="AG16" s="201">
        <f t="shared" si="31"/>
        <v>0</v>
      </c>
      <c r="AH16" s="204">
        <f t="shared" si="32"/>
        <v>3600000</v>
      </c>
      <c r="AI16" s="204">
        <f t="shared" si="33"/>
        <v>3600000</v>
      </c>
      <c r="AJ16" s="201">
        <f t="shared" si="34"/>
        <v>0</v>
      </c>
      <c r="AK16" s="201">
        <f t="shared" si="34"/>
        <v>3600000</v>
      </c>
      <c r="AL16" s="201">
        <f t="shared" si="35"/>
        <v>3600000</v>
      </c>
      <c r="AM16" s="198"/>
      <c r="AN16" s="203"/>
      <c r="AO16" s="208"/>
      <c r="AP16" s="201">
        <f t="shared" si="36"/>
        <v>0</v>
      </c>
      <c r="AQ16" s="201">
        <f t="shared" si="37"/>
        <v>3599909.6</v>
      </c>
      <c r="AR16" s="201">
        <f t="shared" ref="AR16" si="58">SUM(AP16:AQ16)</f>
        <v>3599909.6</v>
      </c>
      <c r="AS16" s="201">
        <f t="shared" si="39"/>
        <v>99.997488888888896</v>
      </c>
      <c r="AT16" s="201"/>
      <c r="AU16" s="209">
        <v>3599909.6</v>
      </c>
      <c r="AV16" s="201">
        <f t="shared" si="49"/>
        <v>3599909.6</v>
      </c>
      <c r="AW16" s="201">
        <f>+CF16*100/AL16</f>
        <v>5.5555555555555554</v>
      </c>
      <c r="AX16" s="201">
        <f t="shared" si="40"/>
        <v>99.997488888888896</v>
      </c>
      <c r="AY16" s="208"/>
      <c r="AZ16" s="201">
        <f t="shared" si="50"/>
        <v>0</v>
      </c>
      <c r="BA16" s="201">
        <f t="shared" si="41"/>
        <v>0</v>
      </c>
      <c r="BB16" s="201">
        <f t="shared" ref="BB16" si="59">SUM(AZ16:BA16)</f>
        <v>0</v>
      </c>
      <c r="BC16" s="201"/>
      <c r="BD16" s="209">
        <v>0</v>
      </c>
      <c r="BE16" s="201">
        <f t="shared" si="42"/>
        <v>0</v>
      </c>
      <c r="BF16" s="208"/>
      <c r="BG16" s="201">
        <f t="shared" si="52"/>
        <v>0</v>
      </c>
      <c r="BH16" s="201">
        <f t="shared" si="52"/>
        <v>3599909.6</v>
      </c>
      <c r="BI16" s="201">
        <f t="shared" si="53"/>
        <v>3599909.6</v>
      </c>
      <c r="BJ16" s="201">
        <f t="shared" si="3"/>
        <v>99.997488888888896</v>
      </c>
      <c r="BK16" s="210">
        <v>10</v>
      </c>
      <c r="BL16" s="210">
        <v>95</v>
      </c>
      <c r="BM16" s="211"/>
      <c r="BN16" s="211"/>
      <c r="BO16" s="212">
        <f t="shared" si="43"/>
        <v>0</v>
      </c>
      <c r="BP16" s="201">
        <f t="shared" si="44"/>
        <v>90.399999999906868</v>
      </c>
      <c r="BQ16" s="201">
        <f t="shared" si="54"/>
        <v>90.399999999906868</v>
      </c>
      <c r="BR16" s="201">
        <f t="shared" si="46"/>
        <v>0</v>
      </c>
      <c r="BS16" s="201">
        <f t="shared" si="46"/>
        <v>90.399999999906868</v>
      </c>
      <c r="BT16" s="201">
        <f t="shared" si="55"/>
        <v>90.399999999906868</v>
      </c>
      <c r="BU16" s="213">
        <f>+AO16-AY16</f>
        <v>0</v>
      </c>
      <c r="BV16" s="201"/>
      <c r="BW16" s="201"/>
      <c r="BX16" s="201">
        <f t="shared" si="56"/>
        <v>0</v>
      </c>
      <c r="BY16" s="199">
        <v>500000</v>
      </c>
      <c r="BZ16" s="199">
        <v>500000</v>
      </c>
      <c r="CA16" s="199">
        <v>500000</v>
      </c>
      <c r="CB16" s="199">
        <v>500000</v>
      </c>
      <c r="CC16" s="199">
        <v>300000</v>
      </c>
      <c r="CD16" s="199">
        <v>300000</v>
      </c>
      <c r="CE16" s="199">
        <v>200000</v>
      </c>
      <c r="CF16" s="199">
        <v>200000</v>
      </c>
      <c r="CG16" s="199">
        <v>200000</v>
      </c>
      <c r="CH16" s="199">
        <v>200000</v>
      </c>
      <c r="CI16" s="199">
        <v>200000</v>
      </c>
      <c r="CJ16" s="199"/>
      <c r="CK16" s="214" t="s">
        <v>116</v>
      </c>
      <c r="CL16" s="214" t="s">
        <v>100</v>
      </c>
      <c r="CM16" s="211">
        <v>202</v>
      </c>
      <c r="CN16" s="215"/>
      <c r="CO16" s="215"/>
      <c r="CP16" s="216"/>
      <c r="CQ16" s="217"/>
      <c r="CR16" s="211"/>
      <c r="CS16" s="218"/>
      <c r="CT16" s="218"/>
      <c r="CU16" s="218"/>
      <c r="CV16" s="211"/>
      <c r="CW16" s="211"/>
      <c r="CX16" s="211"/>
      <c r="CY16" s="211"/>
      <c r="CZ16" s="211"/>
      <c r="DA16" s="211"/>
      <c r="DB16" s="211"/>
      <c r="DC16" s="219"/>
      <c r="DD16" s="219"/>
      <c r="DE16" s="219"/>
      <c r="DF16" s="211"/>
      <c r="DG16" s="211"/>
      <c r="DH16" s="211"/>
      <c r="DI16" s="211"/>
      <c r="DJ16" s="211"/>
      <c r="DK16" s="220" t="s">
        <v>32</v>
      </c>
      <c r="DT16" s="222"/>
    </row>
    <row r="17" spans="1:124" s="176" customFormat="1" ht="42" x14ac:dyDescent="0.2">
      <c r="A17" s="195" t="s">
        <v>113</v>
      </c>
      <c r="B17" s="197" t="s">
        <v>117</v>
      </c>
      <c r="C17" s="198">
        <v>1</v>
      </c>
      <c r="D17" s="199">
        <v>1800000</v>
      </c>
      <c r="E17" s="198" t="s">
        <v>115</v>
      </c>
      <c r="F17" s="198" t="s">
        <v>115</v>
      </c>
      <c r="G17" s="198" t="s">
        <v>98</v>
      </c>
      <c r="H17" s="200">
        <v>1</v>
      </c>
      <c r="I17" s="199">
        <f t="shared" si="23"/>
        <v>0</v>
      </c>
      <c r="J17" s="199">
        <f t="shared" si="24"/>
        <v>1800000</v>
      </c>
      <c r="K17" s="199">
        <f t="shared" si="25"/>
        <v>1800000</v>
      </c>
      <c r="L17" s="199"/>
      <c r="M17" s="199">
        <v>1800000</v>
      </c>
      <c r="N17" s="199">
        <f t="shared" si="26"/>
        <v>1800000</v>
      </c>
      <c r="O17" s="199"/>
      <c r="P17" s="201">
        <v>0</v>
      </c>
      <c r="Q17" s="202">
        <v>18</v>
      </c>
      <c r="R17" s="203">
        <v>45566</v>
      </c>
      <c r="S17" s="204"/>
      <c r="T17" s="204">
        <v>1800000</v>
      </c>
      <c r="U17" s="204">
        <f t="shared" si="27"/>
        <v>1800000</v>
      </c>
      <c r="V17" s="205"/>
      <c r="W17" s="200"/>
      <c r="X17" s="201"/>
      <c r="Y17" s="201"/>
      <c r="Z17" s="201">
        <f t="shared" si="28"/>
        <v>0</v>
      </c>
      <c r="AA17" s="198"/>
      <c r="AB17" s="206"/>
      <c r="AC17" s="207"/>
      <c r="AD17" s="201"/>
      <c r="AE17" s="204">
        <f t="shared" si="29"/>
        <v>0</v>
      </c>
      <c r="AF17" s="203">
        <f t="shared" si="30"/>
        <v>45566</v>
      </c>
      <c r="AG17" s="201">
        <f t="shared" si="31"/>
        <v>0</v>
      </c>
      <c r="AH17" s="204">
        <f t="shared" si="32"/>
        <v>1800000</v>
      </c>
      <c r="AI17" s="204">
        <f t="shared" si="33"/>
        <v>1800000</v>
      </c>
      <c r="AJ17" s="201">
        <f t="shared" si="34"/>
        <v>0</v>
      </c>
      <c r="AK17" s="201">
        <f t="shared" si="34"/>
        <v>1800000</v>
      </c>
      <c r="AL17" s="201">
        <f t="shared" si="35"/>
        <v>1800000</v>
      </c>
      <c r="AM17" s="198"/>
      <c r="AN17" s="203"/>
      <c r="AO17" s="208"/>
      <c r="AP17" s="201">
        <f t="shared" si="36"/>
        <v>0</v>
      </c>
      <c r="AQ17" s="201">
        <f t="shared" si="37"/>
        <v>1675235.57</v>
      </c>
      <c r="AR17" s="201">
        <f t="shared" ref="AR17:AR29" si="60">SUM(AP17:AQ17)</f>
        <v>1675235.57</v>
      </c>
      <c r="AS17" s="201">
        <f t="shared" si="39"/>
        <v>93.068642777777782</v>
      </c>
      <c r="AT17" s="201"/>
      <c r="AU17" s="209">
        <v>1675235.57</v>
      </c>
      <c r="AV17" s="201">
        <f t="shared" si="49"/>
        <v>1675235.57</v>
      </c>
      <c r="AW17" s="201">
        <f t="shared" ref="AW17:AW29" si="61">+CF17*100/AL17</f>
        <v>2.7777777777777777</v>
      </c>
      <c r="AX17" s="201">
        <f t="shared" si="40"/>
        <v>93.068642777777782</v>
      </c>
      <c r="AY17" s="208"/>
      <c r="AZ17" s="201">
        <f t="shared" si="50"/>
        <v>0</v>
      </c>
      <c r="BA17" s="201">
        <f t="shared" si="41"/>
        <v>0</v>
      </c>
      <c r="BB17" s="201">
        <f t="shared" ref="BB17:BB29" si="62">SUM(AZ17:BA17)</f>
        <v>0</v>
      </c>
      <c r="BC17" s="201"/>
      <c r="BD17" s="209">
        <v>0</v>
      </c>
      <c r="BE17" s="201">
        <f t="shared" si="42"/>
        <v>0</v>
      </c>
      <c r="BF17" s="208"/>
      <c r="BG17" s="201">
        <f t="shared" si="52"/>
        <v>0</v>
      </c>
      <c r="BH17" s="201">
        <f t="shared" si="52"/>
        <v>1675235.57</v>
      </c>
      <c r="BI17" s="201">
        <f t="shared" si="53"/>
        <v>1675235.57</v>
      </c>
      <c r="BJ17" s="201">
        <f t="shared" si="3"/>
        <v>93.068642777777782</v>
      </c>
      <c r="BK17" s="210">
        <v>15</v>
      </c>
      <c r="BL17" s="224">
        <v>85</v>
      </c>
      <c r="BM17" s="211"/>
      <c r="BN17" s="211"/>
      <c r="BO17" s="212">
        <f t="shared" si="43"/>
        <v>0</v>
      </c>
      <c r="BP17" s="201">
        <f t="shared" si="44"/>
        <v>124764.42999999993</v>
      </c>
      <c r="BQ17" s="201">
        <f t="shared" si="54"/>
        <v>124764.42999999993</v>
      </c>
      <c r="BR17" s="201">
        <f t="shared" si="46"/>
        <v>0</v>
      </c>
      <c r="BS17" s="201">
        <f t="shared" si="46"/>
        <v>124764.42999999993</v>
      </c>
      <c r="BT17" s="201">
        <f t="shared" si="55"/>
        <v>124764.42999999993</v>
      </c>
      <c r="BU17" s="213">
        <f t="shared" ref="BU17:BU29" si="63">+AO17-AY17</f>
        <v>0</v>
      </c>
      <c r="BV17" s="201"/>
      <c r="BW17" s="201"/>
      <c r="BX17" s="201">
        <f t="shared" si="56"/>
        <v>0</v>
      </c>
      <c r="BY17" s="199">
        <v>500000</v>
      </c>
      <c r="BZ17" s="199">
        <v>500000</v>
      </c>
      <c r="CA17" s="199">
        <v>150000</v>
      </c>
      <c r="CB17" s="199">
        <v>150000</v>
      </c>
      <c r="CC17" s="199">
        <v>150000</v>
      </c>
      <c r="CD17" s="199">
        <v>150000</v>
      </c>
      <c r="CE17" s="199">
        <v>150000</v>
      </c>
      <c r="CF17" s="199">
        <v>50000</v>
      </c>
      <c r="CG17" s="199">
        <v>0</v>
      </c>
      <c r="CH17" s="199">
        <v>0</v>
      </c>
      <c r="CI17" s="199">
        <v>0</v>
      </c>
      <c r="CJ17" s="199">
        <v>0</v>
      </c>
      <c r="CK17" s="214" t="s">
        <v>118</v>
      </c>
      <c r="CL17" s="214" t="s">
        <v>100</v>
      </c>
      <c r="CM17" s="211">
        <v>202</v>
      </c>
      <c r="CN17" s="215"/>
      <c r="CO17" s="215"/>
      <c r="CP17" s="216"/>
      <c r="CQ17" s="217"/>
      <c r="CR17" s="211"/>
      <c r="CS17" s="218"/>
      <c r="CT17" s="218"/>
      <c r="CU17" s="218"/>
      <c r="CV17" s="211"/>
      <c r="CW17" s="211"/>
      <c r="CX17" s="211"/>
      <c r="CY17" s="211"/>
      <c r="CZ17" s="211"/>
      <c r="DA17" s="211"/>
      <c r="DB17" s="211"/>
      <c r="DC17" s="219"/>
      <c r="DD17" s="219"/>
      <c r="DE17" s="219"/>
      <c r="DF17" s="211"/>
      <c r="DG17" s="211"/>
      <c r="DH17" s="211"/>
      <c r="DI17" s="211"/>
      <c r="DJ17" s="211"/>
      <c r="DK17" s="220" t="s">
        <v>32</v>
      </c>
      <c r="DT17" s="222"/>
    </row>
    <row r="18" spans="1:124" s="176" customFormat="1" ht="42" x14ac:dyDescent="0.2">
      <c r="A18" s="195" t="s">
        <v>119</v>
      </c>
      <c r="B18" s="197" t="s">
        <v>120</v>
      </c>
      <c r="C18" s="198">
        <v>1</v>
      </c>
      <c r="D18" s="199">
        <v>1000000</v>
      </c>
      <c r="E18" s="198" t="s">
        <v>121</v>
      </c>
      <c r="F18" s="198" t="s">
        <v>122</v>
      </c>
      <c r="G18" s="198" t="s">
        <v>123</v>
      </c>
      <c r="H18" s="200">
        <v>1</v>
      </c>
      <c r="I18" s="199">
        <f t="shared" si="23"/>
        <v>0</v>
      </c>
      <c r="J18" s="199">
        <f t="shared" si="24"/>
        <v>1000000</v>
      </c>
      <c r="K18" s="199">
        <f t="shared" si="25"/>
        <v>1000000</v>
      </c>
      <c r="L18" s="199"/>
      <c r="M18" s="199">
        <v>1000000</v>
      </c>
      <c r="N18" s="199">
        <f t="shared" si="26"/>
        <v>1000000</v>
      </c>
      <c r="O18" s="199"/>
      <c r="P18" s="201">
        <v>0</v>
      </c>
      <c r="Q18" s="202">
        <v>18</v>
      </c>
      <c r="R18" s="203">
        <v>45566</v>
      </c>
      <c r="S18" s="204"/>
      <c r="T18" s="204">
        <v>1000000</v>
      </c>
      <c r="U18" s="204">
        <f t="shared" si="27"/>
        <v>1000000</v>
      </c>
      <c r="V18" s="205">
        <v>689</v>
      </c>
      <c r="W18" s="200">
        <v>45622</v>
      </c>
      <c r="X18" s="201"/>
      <c r="Y18" s="201">
        <v>-328.81</v>
      </c>
      <c r="Z18" s="201">
        <f t="shared" si="28"/>
        <v>-328.81</v>
      </c>
      <c r="AA18" s="198"/>
      <c r="AB18" s="206"/>
      <c r="AC18" s="207"/>
      <c r="AD18" s="201"/>
      <c r="AE18" s="204">
        <f t="shared" si="29"/>
        <v>0</v>
      </c>
      <c r="AF18" s="203">
        <f t="shared" si="30"/>
        <v>45566</v>
      </c>
      <c r="AG18" s="201">
        <f t="shared" si="31"/>
        <v>0</v>
      </c>
      <c r="AH18" s="204">
        <f t="shared" si="32"/>
        <v>999671.19</v>
      </c>
      <c r="AI18" s="204">
        <f t="shared" si="33"/>
        <v>999671.19</v>
      </c>
      <c r="AJ18" s="201">
        <f t="shared" si="34"/>
        <v>0</v>
      </c>
      <c r="AK18" s="201">
        <f t="shared" si="34"/>
        <v>999671.19</v>
      </c>
      <c r="AL18" s="201">
        <f t="shared" si="35"/>
        <v>999671.19</v>
      </c>
      <c r="AM18" s="198"/>
      <c r="AN18" s="203"/>
      <c r="AO18" s="208"/>
      <c r="AP18" s="201">
        <f t="shared" si="36"/>
        <v>0</v>
      </c>
      <c r="AQ18" s="201">
        <f t="shared" si="37"/>
        <v>981937.48</v>
      </c>
      <c r="AR18" s="201">
        <f t="shared" si="60"/>
        <v>981937.48</v>
      </c>
      <c r="AS18" s="201">
        <f t="shared" si="39"/>
        <v>98.226045706088627</v>
      </c>
      <c r="AT18" s="201"/>
      <c r="AU18" s="209">
        <v>981937.48</v>
      </c>
      <c r="AV18" s="201">
        <f t="shared" si="49"/>
        <v>981937.48</v>
      </c>
      <c r="AW18" s="201">
        <f t="shared" si="61"/>
        <v>0</v>
      </c>
      <c r="AX18" s="201">
        <f t="shared" si="40"/>
        <v>98.226045706088627</v>
      </c>
      <c r="AY18" s="208"/>
      <c r="AZ18" s="201">
        <f t="shared" si="50"/>
        <v>0</v>
      </c>
      <c r="BA18" s="201">
        <f t="shared" si="41"/>
        <v>0</v>
      </c>
      <c r="BB18" s="201">
        <f t="shared" si="62"/>
        <v>0</v>
      </c>
      <c r="BC18" s="201"/>
      <c r="BD18" s="209">
        <v>0</v>
      </c>
      <c r="BE18" s="201">
        <f t="shared" si="42"/>
        <v>0</v>
      </c>
      <c r="BF18" s="208"/>
      <c r="BG18" s="201">
        <f t="shared" si="52"/>
        <v>0</v>
      </c>
      <c r="BH18" s="201">
        <f t="shared" si="52"/>
        <v>981937.48</v>
      </c>
      <c r="BI18" s="201">
        <f t="shared" si="53"/>
        <v>981937.48</v>
      </c>
      <c r="BJ18" s="201">
        <f t="shared" si="3"/>
        <v>98.226045706088627</v>
      </c>
      <c r="BK18" s="210">
        <v>35</v>
      </c>
      <c r="BL18" s="224">
        <v>100</v>
      </c>
      <c r="BM18" s="211"/>
      <c r="BN18" s="211"/>
      <c r="BO18" s="212">
        <f t="shared" si="43"/>
        <v>0</v>
      </c>
      <c r="BP18" s="201">
        <f t="shared" si="44"/>
        <v>17733.709999999963</v>
      </c>
      <c r="BQ18" s="201">
        <f t="shared" si="54"/>
        <v>17733.709999999963</v>
      </c>
      <c r="BR18" s="201">
        <f t="shared" si="46"/>
        <v>0</v>
      </c>
      <c r="BS18" s="201">
        <f t="shared" si="46"/>
        <v>17733.709999999963</v>
      </c>
      <c r="BT18" s="201">
        <f t="shared" si="55"/>
        <v>17733.709999999963</v>
      </c>
      <c r="BU18" s="213">
        <f t="shared" si="63"/>
        <v>0</v>
      </c>
      <c r="BV18" s="201">
        <v>328.81</v>
      </c>
      <c r="BW18" s="201"/>
      <c r="BX18" s="201">
        <f t="shared" si="56"/>
        <v>328.81</v>
      </c>
      <c r="BY18" s="199">
        <v>350000</v>
      </c>
      <c r="BZ18" s="199">
        <v>350000</v>
      </c>
      <c r="CA18" s="199">
        <v>300000</v>
      </c>
      <c r="CB18" s="199">
        <v>0</v>
      </c>
      <c r="CC18" s="199">
        <v>0</v>
      </c>
      <c r="CD18" s="199">
        <v>0</v>
      </c>
      <c r="CE18" s="199">
        <v>0</v>
      </c>
      <c r="CF18" s="199">
        <v>0</v>
      </c>
      <c r="CG18" s="199">
        <v>0</v>
      </c>
      <c r="CH18" s="199">
        <v>0</v>
      </c>
      <c r="CI18" s="199">
        <v>0</v>
      </c>
      <c r="CJ18" s="199">
        <v>0</v>
      </c>
      <c r="CK18" s="214" t="s">
        <v>124</v>
      </c>
      <c r="CL18" s="214" t="s">
        <v>100</v>
      </c>
      <c r="CM18" s="211">
        <v>202</v>
      </c>
      <c r="CN18" s="215"/>
      <c r="CO18" s="215"/>
      <c r="CP18" s="216"/>
      <c r="CQ18" s="217"/>
      <c r="CR18" s="211"/>
      <c r="CS18" s="218"/>
      <c r="CT18" s="218"/>
      <c r="CU18" s="218"/>
      <c r="CV18" s="211"/>
      <c r="CW18" s="211"/>
      <c r="CX18" s="211"/>
      <c r="CY18" s="211"/>
      <c r="CZ18" s="211"/>
      <c r="DA18" s="211"/>
      <c r="DB18" s="211"/>
      <c r="DC18" s="219"/>
      <c r="DD18" s="219"/>
      <c r="DE18" s="219"/>
      <c r="DF18" s="211"/>
      <c r="DG18" s="211"/>
      <c r="DH18" s="211"/>
      <c r="DI18" s="211"/>
      <c r="DJ18" s="211"/>
      <c r="DK18" s="220" t="s">
        <v>32</v>
      </c>
      <c r="DT18" s="222"/>
    </row>
    <row r="19" spans="1:124" s="176" customFormat="1" ht="63" x14ac:dyDescent="0.2">
      <c r="A19" s="195" t="s">
        <v>119</v>
      </c>
      <c r="B19" s="197" t="s">
        <v>125</v>
      </c>
      <c r="C19" s="198">
        <v>1</v>
      </c>
      <c r="D19" s="199">
        <v>1200000</v>
      </c>
      <c r="E19" s="198" t="s">
        <v>126</v>
      </c>
      <c r="F19" s="198" t="s">
        <v>127</v>
      </c>
      <c r="G19" s="198" t="s">
        <v>123</v>
      </c>
      <c r="H19" s="200">
        <v>1</v>
      </c>
      <c r="I19" s="199">
        <f t="shared" si="23"/>
        <v>0</v>
      </c>
      <c r="J19" s="199">
        <f t="shared" si="24"/>
        <v>1200000</v>
      </c>
      <c r="K19" s="199">
        <f t="shared" si="25"/>
        <v>1200000</v>
      </c>
      <c r="L19" s="199"/>
      <c r="M19" s="199">
        <v>1200000</v>
      </c>
      <c r="N19" s="199">
        <f t="shared" si="26"/>
        <v>1200000</v>
      </c>
      <c r="O19" s="199"/>
      <c r="P19" s="201">
        <v>0</v>
      </c>
      <c r="Q19" s="202">
        <v>18</v>
      </c>
      <c r="R19" s="203">
        <v>45566</v>
      </c>
      <c r="S19" s="204"/>
      <c r="T19" s="204">
        <v>1200000</v>
      </c>
      <c r="U19" s="204">
        <f t="shared" si="27"/>
        <v>1200000</v>
      </c>
      <c r="V19" s="205">
        <v>689</v>
      </c>
      <c r="W19" s="200">
        <v>45622</v>
      </c>
      <c r="X19" s="201"/>
      <c r="Y19" s="201">
        <v>-560.47</v>
      </c>
      <c r="Z19" s="201">
        <f t="shared" si="28"/>
        <v>-560.47</v>
      </c>
      <c r="AA19" s="198"/>
      <c r="AB19" s="206"/>
      <c r="AC19" s="207"/>
      <c r="AD19" s="201"/>
      <c r="AE19" s="204">
        <f t="shared" si="29"/>
        <v>0</v>
      </c>
      <c r="AF19" s="203">
        <f t="shared" si="30"/>
        <v>45566</v>
      </c>
      <c r="AG19" s="201">
        <f t="shared" si="31"/>
        <v>0</v>
      </c>
      <c r="AH19" s="204">
        <f t="shared" si="32"/>
        <v>1199439.53</v>
      </c>
      <c r="AI19" s="204">
        <f t="shared" si="33"/>
        <v>1199439.53</v>
      </c>
      <c r="AJ19" s="201">
        <f t="shared" si="34"/>
        <v>0</v>
      </c>
      <c r="AK19" s="201">
        <f t="shared" si="34"/>
        <v>1199439.53</v>
      </c>
      <c r="AL19" s="201">
        <f t="shared" si="35"/>
        <v>1199439.53</v>
      </c>
      <c r="AM19" s="198"/>
      <c r="AN19" s="203"/>
      <c r="AO19" s="208"/>
      <c r="AP19" s="201">
        <f t="shared" si="36"/>
        <v>0</v>
      </c>
      <c r="AQ19" s="201">
        <f t="shared" si="37"/>
        <v>1198768.24</v>
      </c>
      <c r="AR19" s="201">
        <f t="shared" si="60"/>
        <v>1198768.24</v>
      </c>
      <c r="AS19" s="201">
        <f t="shared" si="39"/>
        <v>99.944033026825451</v>
      </c>
      <c r="AT19" s="201"/>
      <c r="AU19" s="209">
        <v>1198768.24</v>
      </c>
      <c r="AV19" s="201">
        <f t="shared" si="49"/>
        <v>1198768.24</v>
      </c>
      <c r="AW19" s="201">
        <f t="shared" si="61"/>
        <v>0</v>
      </c>
      <c r="AX19" s="201">
        <f t="shared" si="40"/>
        <v>99.944033026825451</v>
      </c>
      <c r="AY19" s="208"/>
      <c r="AZ19" s="201">
        <f t="shared" si="50"/>
        <v>0</v>
      </c>
      <c r="BA19" s="201">
        <f t="shared" si="41"/>
        <v>0</v>
      </c>
      <c r="BB19" s="201">
        <f t="shared" si="62"/>
        <v>0</v>
      </c>
      <c r="BC19" s="201"/>
      <c r="BD19" s="209">
        <v>0</v>
      </c>
      <c r="BE19" s="201">
        <f t="shared" si="42"/>
        <v>0</v>
      </c>
      <c r="BF19" s="208"/>
      <c r="BG19" s="201">
        <f t="shared" si="52"/>
        <v>0</v>
      </c>
      <c r="BH19" s="201">
        <f t="shared" si="52"/>
        <v>1198768.24</v>
      </c>
      <c r="BI19" s="201">
        <f t="shared" si="53"/>
        <v>1198768.24</v>
      </c>
      <c r="BJ19" s="201">
        <f t="shared" si="3"/>
        <v>99.944033026825451</v>
      </c>
      <c r="BK19" s="210">
        <v>35</v>
      </c>
      <c r="BL19" s="224">
        <v>100</v>
      </c>
      <c r="BM19" s="211"/>
      <c r="BN19" s="211"/>
      <c r="BO19" s="212">
        <f t="shared" si="43"/>
        <v>0</v>
      </c>
      <c r="BP19" s="201">
        <f t="shared" si="44"/>
        <v>671.29000000003725</v>
      </c>
      <c r="BQ19" s="201">
        <f t="shared" si="54"/>
        <v>671.29000000003725</v>
      </c>
      <c r="BR19" s="201">
        <f t="shared" si="46"/>
        <v>0</v>
      </c>
      <c r="BS19" s="201">
        <f t="shared" si="46"/>
        <v>671.29000000003725</v>
      </c>
      <c r="BT19" s="201">
        <f t="shared" si="55"/>
        <v>671.29000000003725</v>
      </c>
      <c r="BU19" s="213">
        <f t="shared" si="63"/>
        <v>0</v>
      </c>
      <c r="BV19" s="201">
        <v>560.47</v>
      </c>
      <c r="BW19" s="201"/>
      <c r="BX19" s="201">
        <f t="shared" si="56"/>
        <v>560.47</v>
      </c>
      <c r="BY19" s="199">
        <v>0</v>
      </c>
      <c r="BZ19" s="199">
        <v>360000</v>
      </c>
      <c r="CA19" s="199">
        <v>480000</v>
      </c>
      <c r="CB19" s="199">
        <v>360000</v>
      </c>
      <c r="CC19" s="199">
        <v>0</v>
      </c>
      <c r="CD19" s="199">
        <v>0</v>
      </c>
      <c r="CE19" s="199">
        <v>0</v>
      </c>
      <c r="CF19" s="199">
        <v>0</v>
      </c>
      <c r="CG19" s="199">
        <v>0</v>
      </c>
      <c r="CH19" s="199">
        <v>0</v>
      </c>
      <c r="CI19" s="199">
        <v>0</v>
      </c>
      <c r="CJ19" s="199">
        <v>0</v>
      </c>
      <c r="CK19" s="214" t="s">
        <v>128</v>
      </c>
      <c r="CL19" s="214" t="s">
        <v>100</v>
      </c>
      <c r="CM19" s="211">
        <v>202</v>
      </c>
      <c r="CN19" s="215"/>
      <c r="CO19" s="215"/>
      <c r="CP19" s="216"/>
      <c r="CQ19" s="217"/>
      <c r="CR19" s="211"/>
      <c r="CS19" s="218"/>
      <c r="CT19" s="218"/>
      <c r="CU19" s="218"/>
      <c r="CV19" s="211"/>
      <c r="CW19" s="211"/>
      <c r="CX19" s="211"/>
      <c r="CY19" s="211"/>
      <c r="CZ19" s="211"/>
      <c r="DA19" s="211"/>
      <c r="DB19" s="211"/>
      <c r="DC19" s="219"/>
      <c r="DD19" s="219"/>
      <c r="DE19" s="219"/>
      <c r="DF19" s="211"/>
      <c r="DG19" s="211"/>
      <c r="DH19" s="211"/>
      <c r="DI19" s="211"/>
      <c r="DJ19" s="211"/>
      <c r="DK19" s="220" t="s">
        <v>32</v>
      </c>
      <c r="DT19" s="222"/>
    </row>
    <row r="20" spans="1:124" s="176" customFormat="1" ht="42" x14ac:dyDescent="0.2">
      <c r="A20" s="195" t="s">
        <v>119</v>
      </c>
      <c r="B20" s="197" t="s">
        <v>129</v>
      </c>
      <c r="C20" s="198">
        <v>1</v>
      </c>
      <c r="D20" s="199">
        <v>1200000</v>
      </c>
      <c r="E20" s="198" t="s">
        <v>130</v>
      </c>
      <c r="F20" s="198" t="s">
        <v>127</v>
      </c>
      <c r="G20" s="198" t="s">
        <v>123</v>
      </c>
      <c r="H20" s="200">
        <v>1</v>
      </c>
      <c r="I20" s="199">
        <f t="shared" si="23"/>
        <v>0</v>
      </c>
      <c r="J20" s="199">
        <f t="shared" si="24"/>
        <v>1200000</v>
      </c>
      <c r="K20" s="199">
        <f t="shared" si="25"/>
        <v>1200000</v>
      </c>
      <c r="L20" s="199"/>
      <c r="M20" s="199">
        <v>1200000</v>
      </c>
      <c r="N20" s="199">
        <f t="shared" si="26"/>
        <v>1200000</v>
      </c>
      <c r="O20" s="199"/>
      <c r="P20" s="201">
        <v>0</v>
      </c>
      <c r="Q20" s="202">
        <v>18</v>
      </c>
      <c r="R20" s="203">
        <v>45566</v>
      </c>
      <c r="S20" s="204"/>
      <c r="T20" s="204">
        <v>1200000</v>
      </c>
      <c r="U20" s="204">
        <f t="shared" si="27"/>
        <v>1200000</v>
      </c>
      <c r="V20" s="205">
        <v>689</v>
      </c>
      <c r="W20" s="200">
        <v>45622</v>
      </c>
      <c r="X20" s="201"/>
      <c r="Y20" s="201">
        <v>-123.73</v>
      </c>
      <c r="Z20" s="201">
        <f t="shared" si="28"/>
        <v>-123.73</v>
      </c>
      <c r="AA20" s="198"/>
      <c r="AB20" s="206"/>
      <c r="AC20" s="207"/>
      <c r="AD20" s="201"/>
      <c r="AE20" s="204">
        <f t="shared" si="29"/>
        <v>0</v>
      </c>
      <c r="AF20" s="203">
        <f t="shared" si="30"/>
        <v>45566</v>
      </c>
      <c r="AG20" s="201">
        <f t="shared" si="31"/>
        <v>0</v>
      </c>
      <c r="AH20" s="204">
        <f t="shared" si="32"/>
        <v>1199876.27</v>
      </c>
      <c r="AI20" s="204">
        <f t="shared" si="33"/>
        <v>1199876.27</v>
      </c>
      <c r="AJ20" s="201">
        <f t="shared" si="34"/>
        <v>0</v>
      </c>
      <c r="AK20" s="201">
        <f t="shared" si="34"/>
        <v>1199876.27</v>
      </c>
      <c r="AL20" s="201">
        <f t="shared" si="35"/>
        <v>1199876.27</v>
      </c>
      <c r="AM20" s="198"/>
      <c r="AN20" s="203"/>
      <c r="AO20" s="208"/>
      <c r="AP20" s="201">
        <f t="shared" si="36"/>
        <v>0</v>
      </c>
      <c r="AQ20" s="201">
        <f t="shared" si="37"/>
        <v>1199544.95</v>
      </c>
      <c r="AR20" s="201">
        <f t="shared" si="60"/>
        <v>1199544.95</v>
      </c>
      <c r="AS20" s="201">
        <f t="shared" si="39"/>
        <v>99.972387152885361</v>
      </c>
      <c r="AT20" s="201"/>
      <c r="AU20" s="209">
        <v>1199544.95</v>
      </c>
      <c r="AV20" s="201">
        <f t="shared" si="49"/>
        <v>1199544.95</v>
      </c>
      <c r="AW20" s="201">
        <f t="shared" si="61"/>
        <v>0</v>
      </c>
      <c r="AX20" s="201">
        <f t="shared" si="40"/>
        <v>99.972387152885361</v>
      </c>
      <c r="AY20" s="208"/>
      <c r="AZ20" s="201">
        <f t="shared" si="50"/>
        <v>0</v>
      </c>
      <c r="BA20" s="201">
        <f t="shared" si="41"/>
        <v>0</v>
      </c>
      <c r="BB20" s="201">
        <f t="shared" si="62"/>
        <v>0</v>
      </c>
      <c r="BC20" s="201"/>
      <c r="BD20" s="209">
        <v>0</v>
      </c>
      <c r="BE20" s="201">
        <f t="shared" si="42"/>
        <v>0</v>
      </c>
      <c r="BF20" s="208"/>
      <c r="BG20" s="201">
        <f t="shared" si="52"/>
        <v>0</v>
      </c>
      <c r="BH20" s="201">
        <f t="shared" si="52"/>
        <v>1199544.95</v>
      </c>
      <c r="BI20" s="201">
        <f t="shared" si="53"/>
        <v>1199544.95</v>
      </c>
      <c r="BJ20" s="201">
        <f t="shared" si="3"/>
        <v>99.972387152885361</v>
      </c>
      <c r="BK20" s="210">
        <v>35</v>
      </c>
      <c r="BL20" s="224">
        <v>100</v>
      </c>
      <c r="BM20" s="211"/>
      <c r="BN20" s="211"/>
      <c r="BO20" s="212">
        <f t="shared" si="43"/>
        <v>0</v>
      </c>
      <c r="BP20" s="201">
        <f t="shared" si="44"/>
        <v>331.32000000006519</v>
      </c>
      <c r="BQ20" s="201">
        <f t="shared" si="54"/>
        <v>331.32000000006519</v>
      </c>
      <c r="BR20" s="201">
        <f t="shared" si="46"/>
        <v>0</v>
      </c>
      <c r="BS20" s="201">
        <f t="shared" si="46"/>
        <v>331.32000000006519</v>
      </c>
      <c r="BT20" s="201">
        <f t="shared" si="55"/>
        <v>331.32000000006519</v>
      </c>
      <c r="BU20" s="213">
        <f t="shared" si="63"/>
        <v>0</v>
      </c>
      <c r="BV20" s="201">
        <v>123.73</v>
      </c>
      <c r="BW20" s="201"/>
      <c r="BX20" s="201">
        <f t="shared" si="56"/>
        <v>123.73</v>
      </c>
      <c r="BY20" s="199">
        <v>0</v>
      </c>
      <c r="BZ20" s="199">
        <v>360000</v>
      </c>
      <c r="CA20" s="199">
        <v>480000</v>
      </c>
      <c r="CB20" s="199">
        <v>360000</v>
      </c>
      <c r="CC20" s="199">
        <v>0</v>
      </c>
      <c r="CD20" s="199">
        <v>0</v>
      </c>
      <c r="CE20" s="199">
        <v>0</v>
      </c>
      <c r="CF20" s="199">
        <v>0</v>
      </c>
      <c r="CG20" s="199">
        <v>0</v>
      </c>
      <c r="CH20" s="199">
        <v>0</v>
      </c>
      <c r="CI20" s="199">
        <v>0</v>
      </c>
      <c r="CJ20" s="199">
        <v>0</v>
      </c>
      <c r="CK20" s="214" t="s">
        <v>131</v>
      </c>
      <c r="CL20" s="214" t="s">
        <v>100</v>
      </c>
      <c r="CM20" s="211">
        <v>202</v>
      </c>
      <c r="CN20" s="215"/>
      <c r="CO20" s="215"/>
      <c r="CP20" s="216"/>
      <c r="CQ20" s="217"/>
      <c r="CR20" s="211"/>
      <c r="CS20" s="218"/>
      <c r="CT20" s="218"/>
      <c r="CU20" s="218"/>
      <c r="CV20" s="211"/>
      <c r="CW20" s="211"/>
      <c r="CX20" s="211"/>
      <c r="CY20" s="211"/>
      <c r="CZ20" s="211"/>
      <c r="DA20" s="211"/>
      <c r="DB20" s="211"/>
      <c r="DC20" s="219"/>
      <c r="DD20" s="219"/>
      <c r="DE20" s="219"/>
      <c r="DF20" s="211"/>
      <c r="DG20" s="211"/>
      <c r="DH20" s="211"/>
      <c r="DI20" s="211"/>
      <c r="DJ20" s="211"/>
      <c r="DK20" s="220" t="s">
        <v>32</v>
      </c>
      <c r="DT20" s="222"/>
    </row>
    <row r="21" spans="1:124" s="176" customFormat="1" ht="63" x14ac:dyDescent="0.2">
      <c r="A21" s="195" t="s">
        <v>119</v>
      </c>
      <c r="B21" s="197" t="s">
        <v>132</v>
      </c>
      <c r="C21" s="198">
        <v>1</v>
      </c>
      <c r="D21" s="199">
        <v>1200000</v>
      </c>
      <c r="E21" s="198" t="s">
        <v>133</v>
      </c>
      <c r="F21" s="198" t="s">
        <v>134</v>
      </c>
      <c r="G21" s="198" t="s">
        <v>123</v>
      </c>
      <c r="H21" s="200">
        <v>1</v>
      </c>
      <c r="I21" s="199">
        <f t="shared" si="23"/>
        <v>0</v>
      </c>
      <c r="J21" s="199">
        <f t="shared" si="24"/>
        <v>1200000</v>
      </c>
      <c r="K21" s="199">
        <f t="shared" si="25"/>
        <v>1200000</v>
      </c>
      <c r="L21" s="199"/>
      <c r="M21" s="199">
        <v>1200000</v>
      </c>
      <c r="N21" s="199">
        <f t="shared" si="26"/>
        <v>1200000</v>
      </c>
      <c r="O21" s="199"/>
      <c r="P21" s="201">
        <v>0</v>
      </c>
      <c r="Q21" s="202">
        <v>18</v>
      </c>
      <c r="R21" s="203">
        <v>45566</v>
      </c>
      <c r="S21" s="204"/>
      <c r="T21" s="204">
        <v>1200000</v>
      </c>
      <c r="U21" s="204">
        <f t="shared" si="27"/>
        <v>1200000</v>
      </c>
      <c r="V21" s="205"/>
      <c r="W21" s="200"/>
      <c r="X21" s="201"/>
      <c r="Y21" s="201"/>
      <c r="Z21" s="201">
        <f t="shared" si="28"/>
        <v>0</v>
      </c>
      <c r="AA21" s="198"/>
      <c r="AB21" s="206"/>
      <c r="AC21" s="207"/>
      <c r="AD21" s="201"/>
      <c r="AE21" s="204">
        <f t="shared" si="29"/>
        <v>0</v>
      </c>
      <c r="AF21" s="203">
        <f t="shared" si="30"/>
        <v>45566</v>
      </c>
      <c r="AG21" s="201">
        <f t="shared" si="31"/>
        <v>0</v>
      </c>
      <c r="AH21" s="204">
        <f t="shared" si="32"/>
        <v>1200000</v>
      </c>
      <c r="AI21" s="204">
        <f t="shared" si="33"/>
        <v>1200000</v>
      </c>
      <c r="AJ21" s="201">
        <f t="shared" si="34"/>
        <v>0</v>
      </c>
      <c r="AK21" s="201">
        <f t="shared" si="34"/>
        <v>1200000</v>
      </c>
      <c r="AL21" s="201">
        <f t="shared" si="35"/>
        <v>1200000</v>
      </c>
      <c r="AM21" s="198"/>
      <c r="AN21" s="203"/>
      <c r="AO21" s="208"/>
      <c r="AP21" s="201">
        <f t="shared" si="36"/>
        <v>0</v>
      </c>
      <c r="AQ21" s="201">
        <f t="shared" si="37"/>
        <v>1136001.02</v>
      </c>
      <c r="AR21" s="201">
        <f t="shared" si="60"/>
        <v>1136001.02</v>
      </c>
      <c r="AS21" s="201">
        <f t="shared" si="39"/>
        <v>94.66675166666667</v>
      </c>
      <c r="AT21" s="201"/>
      <c r="AU21" s="209">
        <v>1136001.02</v>
      </c>
      <c r="AV21" s="201">
        <f t="shared" si="49"/>
        <v>1136001.02</v>
      </c>
      <c r="AW21" s="201">
        <f t="shared" si="61"/>
        <v>0</v>
      </c>
      <c r="AX21" s="201">
        <f t="shared" si="40"/>
        <v>94.66675166666667</v>
      </c>
      <c r="AY21" s="208"/>
      <c r="AZ21" s="201">
        <f t="shared" si="50"/>
        <v>0</v>
      </c>
      <c r="BA21" s="201">
        <f t="shared" si="41"/>
        <v>0</v>
      </c>
      <c r="BB21" s="201">
        <f t="shared" si="62"/>
        <v>0</v>
      </c>
      <c r="BC21" s="201"/>
      <c r="BD21" s="209">
        <v>0</v>
      </c>
      <c r="BE21" s="201">
        <f t="shared" si="42"/>
        <v>0</v>
      </c>
      <c r="BF21" s="208"/>
      <c r="BG21" s="201">
        <f t="shared" si="52"/>
        <v>0</v>
      </c>
      <c r="BH21" s="201">
        <f t="shared" si="52"/>
        <v>1136001.02</v>
      </c>
      <c r="BI21" s="201">
        <f t="shared" si="53"/>
        <v>1136001.02</v>
      </c>
      <c r="BJ21" s="201">
        <f t="shared" si="3"/>
        <v>94.66675166666667</v>
      </c>
      <c r="BK21" s="210">
        <v>35</v>
      </c>
      <c r="BL21" s="224">
        <v>85</v>
      </c>
      <c r="BM21" s="211"/>
      <c r="BN21" s="211"/>
      <c r="BO21" s="212">
        <f t="shared" si="43"/>
        <v>0</v>
      </c>
      <c r="BP21" s="201">
        <f t="shared" si="44"/>
        <v>63998.979999999981</v>
      </c>
      <c r="BQ21" s="201">
        <f t="shared" si="54"/>
        <v>63998.979999999981</v>
      </c>
      <c r="BR21" s="201">
        <f t="shared" si="46"/>
        <v>0</v>
      </c>
      <c r="BS21" s="201">
        <f t="shared" si="46"/>
        <v>63998.979999999981</v>
      </c>
      <c r="BT21" s="201">
        <f t="shared" si="55"/>
        <v>63998.979999999981</v>
      </c>
      <c r="BU21" s="213">
        <f t="shared" si="63"/>
        <v>0</v>
      </c>
      <c r="BV21" s="201"/>
      <c r="BW21" s="201"/>
      <c r="BX21" s="201">
        <f t="shared" si="56"/>
        <v>0</v>
      </c>
      <c r="BY21" s="199">
        <v>0</v>
      </c>
      <c r="BZ21" s="199">
        <v>360000</v>
      </c>
      <c r="CA21" s="199">
        <v>480000</v>
      </c>
      <c r="CB21" s="199">
        <v>360000</v>
      </c>
      <c r="CC21" s="199">
        <v>0</v>
      </c>
      <c r="CD21" s="199">
        <v>0</v>
      </c>
      <c r="CE21" s="199">
        <v>0</v>
      </c>
      <c r="CF21" s="199">
        <v>0</v>
      </c>
      <c r="CG21" s="199">
        <v>0</v>
      </c>
      <c r="CH21" s="199">
        <v>0</v>
      </c>
      <c r="CI21" s="199">
        <v>0</v>
      </c>
      <c r="CJ21" s="199">
        <v>0</v>
      </c>
      <c r="CK21" s="214" t="s">
        <v>135</v>
      </c>
      <c r="CL21" s="214" t="s">
        <v>100</v>
      </c>
      <c r="CM21" s="211">
        <v>202</v>
      </c>
      <c r="CN21" s="215"/>
      <c r="CO21" s="215"/>
      <c r="CP21" s="216"/>
      <c r="CQ21" s="217"/>
      <c r="CR21" s="211"/>
      <c r="CS21" s="218"/>
      <c r="CT21" s="218"/>
      <c r="CU21" s="218"/>
      <c r="CV21" s="211"/>
      <c r="CW21" s="211"/>
      <c r="CX21" s="211"/>
      <c r="CY21" s="211"/>
      <c r="CZ21" s="211"/>
      <c r="DA21" s="211"/>
      <c r="DB21" s="211"/>
      <c r="DC21" s="219"/>
      <c r="DD21" s="219"/>
      <c r="DE21" s="219"/>
      <c r="DF21" s="211"/>
      <c r="DG21" s="211"/>
      <c r="DH21" s="211"/>
      <c r="DI21" s="211"/>
      <c r="DJ21" s="211"/>
      <c r="DK21" s="220" t="s">
        <v>32</v>
      </c>
      <c r="DT21" s="222"/>
    </row>
    <row r="22" spans="1:124" s="176" customFormat="1" ht="42" x14ac:dyDescent="0.2">
      <c r="A22" s="195" t="s">
        <v>136</v>
      </c>
      <c r="B22" s="197" t="s">
        <v>137</v>
      </c>
      <c r="C22" s="198">
        <v>1</v>
      </c>
      <c r="D22" s="199">
        <v>185000</v>
      </c>
      <c r="E22" s="198" t="s">
        <v>138</v>
      </c>
      <c r="F22" s="198" t="s">
        <v>138</v>
      </c>
      <c r="G22" s="198" t="s">
        <v>139</v>
      </c>
      <c r="H22" s="200">
        <v>1</v>
      </c>
      <c r="I22" s="199">
        <f t="shared" si="23"/>
        <v>0</v>
      </c>
      <c r="J22" s="199">
        <f t="shared" si="24"/>
        <v>185000</v>
      </c>
      <c r="K22" s="199">
        <f t="shared" si="25"/>
        <v>185000</v>
      </c>
      <c r="L22" s="199"/>
      <c r="M22" s="199">
        <v>185000</v>
      </c>
      <c r="N22" s="199">
        <f t="shared" si="26"/>
        <v>185000</v>
      </c>
      <c r="O22" s="199"/>
      <c r="P22" s="201">
        <v>0</v>
      </c>
      <c r="Q22" s="202">
        <v>18</v>
      </c>
      <c r="R22" s="203">
        <v>45566</v>
      </c>
      <c r="S22" s="204"/>
      <c r="T22" s="204">
        <v>185000</v>
      </c>
      <c r="U22" s="204">
        <f t="shared" si="27"/>
        <v>185000</v>
      </c>
      <c r="V22" s="205"/>
      <c r="W22" s="200"/>
      <c r="X22" s="201"/>
      <c r="Y22" s="201"/>
      <c r="Z22" s="201">
        <f t="shared" si="28"/>
        <v>0</v>
      </c>
      <c r="AA22" s="198"/>
      <c r="AB22" s="206"/>
      <c r="AC22" s="207"/>
      <c r="AD22" s="201"/>
      <c r="AE22" s="204">
        <f t="shared" si="29"/>
        <v>0</v>
      </c>
      <c r="AF22" s="203">
        <f t="shared" si="30"/>
        <v>45566</v>
      </c>
      <c r="AG22" s="201">
        <f t="shared" si="31"/>
        <v>0</v>
      </c>
      <c r="AH22" s="204">
        <f t="shared" si="32"/>
        <v>185000</v>
      </c>
      <c r="AI22" s="204">
        <f t="shared" si="33"/>
        <v>185000</v>
      </c>
      <c r="AJ22" s="201">
        <f t="shared" si="34"/>
        <v>0</v>
      </c>
      <c r="AK22" s="201">
        <f t="shared" si="34"/>
        <v>185000</v>
      </c>
      <c r="AL22" s="201">
        <f t="shared" si="35"/>
        <v>185000</v>
      </c>
      <c r="AM22" s="198"/>
      <c r="AN22" s="203"/>
      <c r="AO22" s="208"/>
      <c r="AP22" s="201">
        <f t="shared" si="36"/>
        <v>0</v>
      </c>
      <c r="AQ22" s="201">
        <f t="shared" si="37"/>
        <v>177715.95</v>
      </c>
      <c r="AR22" s="201">
        <f t="shared" si="60"/>
        <v>177715.95</v>
      </c>
      <c r="AS22" s="201">
        <f t="shared" si="39"/>
        <v>96.062675675675678</v>
      </c>
      <c r="AT22" s="201"/>
      <c r="AU22" s="209">
        <v>177715.95</v>
      </c>
      <c r="AV22" s="201">
        <f t="shared" si="49"/>
        <v>177715.95</v>
      </c>
      <c r="AW22" s="201">
        <f t="shared" si="61"/>
        <v>0</v>
      </c>
      <c r="AX22" s="201">
        <f t="shared" si="40"/>
        <v>96.062675675675678</v>
      </c>
      <c r="AY22" s="208"/>
      <c r="AZ22" s="201">
        <f t="shared" si="50"/>
        <v>0</v>
      </c>
      <c r="BA22" s="201">
        <f t="shared" si="41"/>
        <v>0</v>
      </c>
      <c r="BB22" s="201">
        <f t="shared" si="62"/>
        <v>0</v>
      </c>
      <c r="BC22" s="201"/>
      <c r="BD22" s="209">
        <v>0</v>
      </c>
      <c r="BE22" s="201">
        <f t="shared" si="42"/>
        <v>0</v>
      </c>
      <c r="BF22" s="208"/>
      <c r="BG22" s="201">
        <f t="shared" si="52"/>
        <v>0</v>
      </c>
      <c r="BH22" s="201">
        <f t="shared" si="52"/>
        <v>177715.95</v>
      </c>
      <c r="BI22" s="201">
        <f t="shared" si="53"/>
        <v>177715.95</v>
      </c>
      <c r="BJ22" s="201">
        <f t="shared" si="3"/>
        <v>96.062675675675678</v>
      </c>
      <c r="BK22" s="210">
        <v>40</v>
      </c>
      <c r="BL22" s="224">
        <v>100</v>
      </c>
      <c r="BM22" s="211"/>
      <c r="BN22" s="211"/>
      <c r="BO22" s="212">
        <f t="shared" si="43"/>
        <v>0</v>
      </c>
      <c r="BP22" s="201">
        <f t="shared" si="44"/>
        <v>7284.0499999999884</v>
      </c>
      <c r="BQ22" s="201">
        <f t="shared" si="54"/>
        <v>7284.0499999999884</v>
      </c>
      <c r="BR22" s="201">
        <f t="shared" si="46"/>
        <v>0</v>
      </c>
      <c r="BS22" s="201">
        <f t="shared" si="46"/>
        <v>7284.0499999999884</v>
      </c>
      <c r="BT22" s="201">
        <f t="shared" si="55"/>
        <v>7284.0499999999884</v>
      </c>
      <c r="BU22" s="213">
        <f t="shared" si="63"/>
        <v>0</v>
      </c>
      <c r="BV22" s="201"/>
      <c r="BW22" s="201"/>
      <c r="BX22" s="201">
        <f t="shared" si="56"/>
        <v>0</v>
      </c>
      <c r="BY22" s="199">
        <v>18500</v>
      </c>
      <c r="BZ22" s="199">
        <v>37000</v>
      </c>
      <c r="CA22" s="199">
        <v>37000</v>
      </c>
      <c r="CB22" s="199">
        <v>46300</v>
      </c>
      <c r="CC22" s="199">
        <v>46200</v>
      </c>
      <c r="CD22" s="199"/>
      <c r="CE22" s="199"/>
      <c r="CF22" s="199">
        <v>0</v>
      </c>
      <c r="CG22" s="199">
        <v>0</v>
      </c>
      <c r="CH22" s="199">
        <v>0</v>
      </c>
      <c r="CI22" s="199">
        <v>0</v>
      </c>
      <c r="CJ22" s="199">
        <v>0</v>
      </c>
      <c r="CK22" s="214" t="s">
        <v>140</v>
      </c>
      <c r="CL22" s="214" t="s">
        <v>100</v>
      </c>
      <c r="CM22" s="211">
        <v>202</v>
      </c>
      <c r="CN22" s="215"/>
      <c r="CO22" s="215"/>
      <c r="CP22" s="216"/>
      <c r="CQ22" s="217"/>
      <c r="CR22" s="211"/>
      <c r="CS22" s="218"/>
      <c r="CT22" s="218"/>
      <c r="CU22" s="218"/>
      <c r="CV22" s="211"/>
      <c r="CW22" s="211"/>
      <c r="CX22" s="211"/>
      <c r="CY22" s="211"/>
      <c r="CZ22" s="211"/>
      <c r="DA22" s="211"/>
      <c r="DB22" s="211"/>
      <c r="DC22" s="219"/>
      <c r="DD22" s="219"/>
      <c r="DE22" s="219"/>
      <c r="DF22" s="211"/>
      <c r="DG22" s="211"/>
      <c r="DH22" s="211"/>
      <c r="DI22" s="211"/>
      <c r="DJ22" s="211"/>
      <c r="DK22" s="220" t="s">
        <v>32</v>
      </c>
      <c r="DT22" s="222"/>
    </row>
    <row r="23" spans="1:124" s="176" customFormat="1" ht="42" x14ac:dyDescent="0.2">
      <c r="A23" s="195" t="s">
        <v>136</v>
      </c>
      <c r="B23" s="197" t="s">
        <v>141</v>
      </c>
      <c r="C23" s="198">
        <v>1</v>
      </c>
      <c r="D23" s="199">
        <v>300000</v>
      </c>
      <c r="E23" s="198" t="s">
        <v>142</v>
      </c>
      <c r="F23" s="198" t="s">
        <v>143</v>
      </c>
      <c r="G23" s="198" t="s">
        <v>139</v>
      </c>
      <c r="H23" s="200">
        <v>1</v>
      </c>
      <c r="I23" s="199">
        <f t="shared" si="23"/>
        <v>0</v>
      </c>
      <c r="J23" s="199">
        <f t="shared" si="24"/>
        <v>300000</v>
      </c>
      <c r="K23" s="199">
        <f t="shared" si="25"/>
        <v>300000</v>
      </c>
      <c r="L23" s="199"/>
      <c r="M23" s="199">
        <v>300000</v>
      </c>
      <c r="N23" s="199">
        <f t="shared" si="26"/>
        <v>300000</v>
      </c>
      <c r="O23" s="199"/>
      <c r="P23" s="201">
        <v>0</v>
      </c>
      <c r="Q23" s="202">
        <v>18</v>
      </c>
      <c r="R23" s="203">
        <v>45566</v>
      </c>
      <c r="S23" s="204"/>
      <c r="T23" s="204">
        <v>300000</v>
      </c>
      <c r="U23" s="204">
        <f t="shared" si="27"/>
        <v>300000</v>
      </c>
      <c r="V23" s="205">
        <v>689</v>
      </c>
      <c r="W23" s="200">
        <v>45622</v>
      </c>
      <c r="X23" s="201"/>
      <c r="Y23" s="201">
        <v>-49341.4</v>
      </c>
      <c r="Z23" s="201">
        <f t="shared" si="28"/>
        <v>-49341.4</v>
      </c>
      <c r="AA23" s="198"/>
      <c r="AB23" s="206"/>
      <c r="AC23" s="207"/>
      <c r="AD23" s="201"/>
      <c r="AE23" s="204">
        <f t="shared" si="29"/>
        <v>0</v>
      </c>
      <c r="AF23" s="203">
        <f t="shared" si="30"/>
        <v>45566</v>
      </c>
      <c r="AG23" s="201">
        <f t="shared" si="31"/>
        <v>0</v>
      </c>
      <c r="AH23" s="204">
        <f t="shared" si="32"/>
        <v>250658.6</v>
      </c>
      <c r="AI23" s="204">
        <f t="shared" si="33"/>
        <v>250658.6</v>
      </c>
      <c r="AJ23" s="201">
        <f t="shared" si="34"/>
        <v>0</v>
      </c>
      <c r="AK23" s="201">
        <f t="shared" si="34"/>
        <v>250658.6</v>
      </c>
      <c r="AL23" s="201">
        <f t="shared" si="35"/>
        <v>250658.6</v>
      </c>
      <c r="AM23" s="198"/>
      <c r="AN23" s="203"/>
      <c r="AO23" s="208"/>
      <c r="AP23" s="201">
        <f t="shared" si="36"/>
        <v>0</v>
      </c>
      <c r="AQ23" s="201">
        <f t="shared" si="37"/>
        <v>249233</v>
      </c>
      <c r="AR23" s="201">
        <f t="shared" si="60"/>
        <v>249233</v>
      </c>
      <c r="AS23" s="201">
        <f t="shared" si="39"/>
        <v>99.43125829315251</v>
      </c>
      <c r="AT23" s="201"/>
      <c r="AU23" s="209">
        <v>249233</v>
      </c>
      <c r="AV23" s="201">
        <f t="shared" si="49"/>
        <v>249233</v>
      </c>
      <c r="AW23" s="201">
        <f t="shared" si="61"/>
        <v>0</v>
      </c>
      <c r="AX23" s="201">
        <f t="shared" si="40"/>
        <v>99.43125829315251</v>
      </c>
      <c r="AY23" s="208"/>
      <c r="AZ23" s="201">
        <f t="shared" si="50"/>
        <v>0</v>
      </c>
      <c r="BA23" s="201">
        <f t="shared" si="41"/>
        <v>0</v>
      </c>
      <c r="BB23" s="201">
        <f t="shared" si="62"/>
        <v>0</v>
      </c>
      <c r="BC23" s="201"/>
      <c r="BD23" s="209">
        <v>0</v>
      </c>
      <c r="BE23" s="201">
        <f t="shared" si="42"/>
        <v>0</v>
      </c>
      <c r="BF23" s="208"/>
      <c r="BG23" s="201">
        <f t="shared" si="52"/>
        <v>0</v>
      </c>
      <c r="BH23" s="201">
        <f t="shared" si="52"/>
        <v>249233</v>
      </c>
      <c r="BI23" s="201">
        <f t="shared" si="53"/>
        <v>249233</v>
      </c>
      <c r="BJ23" s="201">
        <f t="shared" si="3"/>
        <v>99.43125829315251</v>
      </c>
      <c r="BK23" s="210">
        <v>40</v>
      </c>
      <c r="BL23" s="224">
        <v>100</v>
      </c>
      <c r="BM23" s="211"/>
      <c r="BN23" s="211"/>
      <c r="BO23" s="212">
        <f t="shared" si="43"/>
        <v>0</v>
      </c>
      <c r="BP23" s="201">
        <f t="shared" si="44"/>
        <v>1425.6000000000058</v>
      </c>
      <c r="BQ23" s="201">
        <f t="shared" si="54"/>
        <v>1425.6000000000058</v>
      </c>
      <c r="BR23" s="201">
        <f t="shared" si="46"/>
        <v>0</v>
      </c>
      <c r="BS23" s="201">
        <f t="shared" si="46"/>
        <v>1425.6000000000058</v>
      </c>
      <c r="BT23" s="201">
        <f t="shared" si="55"/>
        <v>1425.6000000000058</v>
      </c>
      <c r="BU23" s="213">
        <f t="shared" si="63"/>
        <v>0</v>
      </c>
      <c r="BV23" s="201">
        <v>49341.4</v>
      </c>
      <c r="BW23" s="201"/>
      <c r="BX23" s="201">
        <f t="shared" si="56"/>
        <v>49341.4</v>
      </c>
      <c r="BY23" s="199">
        <v>100000</v>
      </c>
      <c r="BZ23" s="199">
        <v>100000</v>
      </c>
      <c r="CA23" s="199">
        <v>100000</v>
      </c>
      <c r="CB23" s="199">
        <v>0</v>
      </c>
      <c r="CC23" s="199">
        <v>0</v>
      </c>
      <c r="CD23" s="199">
        <v>0</v>
      </c>
      <c r="CE23" s="199">
        <v>0</v>
      </c>
      <c r="CF23" s="199">
        <v>0</v>
      </c>
      <c r="CG23" s="199">
        <v>0</v>
      </c>
      <c r="CH23" s="199">
        <v>0</v>
      </c>
      <c r="CI23" s="199">
        <v>0</v>
      </c>
      <c r="CJ23" s="199">
        <v>0</v>
      </c>
      <c r="CK23" s="214" t="s">
        <v>144</v>
      </c>
      <c r="CL23" s="214" t="s">
        <v>100</v>
      </c>
      <c r="CM23" s="211">
        <v>202</v>
      </c>
      <c r="CN23" s="215"/>
      <c r="CO23" s="215"/>
      <c r="CP23" s="216"/>
      <c r="CQ23" s="217"/>
      <c r="CR23" s="211"/>
      <c r="CS23" s="218"/>
      <c r="CT23" s="218"/>
      <c r="CU23" s="218"/>
      <c r="CV23" s="211"/>
      <c r="CW23" s="211"/>
      <c r="CX23" s="211"/>
      <c r="CY23" s="211"/>
      <c r="CZ23" s="211"/>
      <c r="DA23" s="211"/>
      <c r="DB23" s="211"/>
      <c r="DC23" s="219"/>
      <c r="DD23" s="219"/>
      <c r="DE23" s="219"/>
      <c r="DF23" s="211"/>
      <c r="DG23" s="211"/>
      <c r="DH23" s="211"/>
      <c r="DI23" s="211"/>
      <c r="DJ23" s="211"/>
      <c r="DK23" s="220" t="s">
        <v>32</v>
      </c>
      <c r="DT23" s="222"/>
    </row>
    <row r="24" spans="1:124" s="176" customFormat="1" ht="42" x14ac:dyDescent="0.2">
      <c r="A24" s="195" t="s">
        <v>136</v>
      </c>
      <c r="B24" s="197" t="s">
        <v>145</v>
      </c>
      <c r="C24" s="198">
        <v>1</v>
      </c>
      <c r="D24" s="199">
        <v>870000</v>
      </c>
      <c r="E24" s="198" t="s">
        <v>142</v>
      </c>
      <c r="F24" s="198" t="s">
        <v>143</v>
      </c>
      <c r="G24" s="198" t="s">
        <v>139</v>
      </c>
      <c r="H24" s="200">
        <v>1</v>
      </c>
      <c r="I24" s="199">
        <f t="shared" si="23"/>
        <v>0</v>
      </c>
      <c r="J24" s="199">
        <f t="shared" si="24"/>
        <v>870000</v>
      </c>
      <c r="K24" s="199">
        <f t="shared" si="25"/>
        <v>870000</v>
      </c>
      <c r="L24" s="199"/>
      <c r="M24" s="199">
        <v>870000</v>
      </c>
      <c r="N24" s="199">
        <f t="shared" si="26"/>
        <v>870000</v>
      </c>
      <c r="O24" s="199"/>
      <c r="P24" s="201">
        <v>0</v>
      </c>
      <c r="Q24" s="202">
        <v>18</v>
      </c>
      <c r="R24" s="203">
        <v>45566</v>
      </c>
      <c r="S24" s="204"/>
      <c r="T24" s="204">
        <v>870000</v>
      </c>
      <c r="U24" s="204">
        <f t="shared" si="27"/>
        <v>870000</v>
      </c>
      <c r="V24" s="205">
        <v>689</v>
      </c>
      <c r="W24" s="200">
        <v>45622</v>
      </c>
      <c r="X24" s="201"/>
      <c r="Y24" s="201">
        <v>-72087</v>
      </c>
      <c r="Z24" s="201">
        <f t="shared" si="28"/>
        <v>-72087</v>
      </c>
      <c r="AA24" s="198"/>
      <c r="AB24" s="206"/>
      <c r="AC24" s="207"/>
      <c r="AD24" s="201"/>
      <c r="AE24" s="204">
        <f t="shared" si="29"/>
        <v>0</v>
      </c>
      <c r="AF24" s="203">
        <f t="shared" si="30"/>
        <v>45566</v>
      </c>
      <c r="AG24" s="201">
        <f t="shared" si="31"/>
        <v>0</v>
      </c>
      <c r="AH24" s="204">
        <f t="shared" si="32"/>
        <v>797913</v>
      </c>
      <c r="AI24" s="204">
        <f t="shared" si="33"/>
        <v>797913</v>
      </c>
      <c r="AJ24" s="201">
        <f t="shared" si="34"/>
        <v>0</v>
      </c>
      <c r="AK24" s="201">
        <f t="shared" si="34"/>
        <v>797913</v>
      </c>
      <c r="AL24" s="201">
        <f t="shared" si="35"/>
        <v>797913</v>
      </c>
      <c r="AM24" s="198"/>
      <c r="AN24" s="203"/>
      <c r="AO24" s="208"/>
      <c r="AP24" s="201">
        <f t="shared" si="36"/>
        <v>0</v>
      </c>
      <c r="AQ24" s="201">
        <f t="shared" si="37"/>
        <v>794857.95</v>
      </c>
      <c r="AR24" s="201">
        <f t="shared" si="60"/>
        <v>794857.95</v>
      </c>
      <c r="AS24" s="201">
        <f t="shared" si="39"/>
        <v>99.617119911569304</v>
      </c>
      <c r="AT24" s="201"/>
      <c r="AU24" s="209">
        <v>794857.95</v>
      </c>
      <c r="AV24" s="201">
        <f t="shared" si="49"/>
        <v>794857.95</v>
      </c>
      <c r="AW24" s="201">
        <f t="shared" si="61"/>
        <v>0</v>
      </c>
      <c r="AX24" s="201">
        <f t="shared" si="40"/>
        <v>99.617119911569304</v>
      </c>
      <c r="AY24" s="208"/>
      <c r="AZ24" s="201">
        <f t="shared" si="50"/>
        <v>0</v>
      </c>
      <c r="BA24" s="201">
        <f t="shared" si="41"/>
        <v>0</v>
      </c>
      <c r="BB24" s="201">
        <f t="shared" si="62"/>
        <v>0</v>
      </c>
      <c r="BC24" s="201"/>
      <c r="BD24" s="209">
        <v>0</v>
      </c>
      <c r="BE24" s="201">
        <f t="shared" si="42"/>
        <v>0</v>
      </c>
      <c r="BF24" s="208"/>
      <c r="BG24" s="201">
        <f t="shared" si="52"/>
        <v>0</v>
      </c>
      <c r="BH24" s="201">
        <f t="shared" si="52"/>
        <v>794857.95</v>
      </c>
      <c r="BI24" s="201">
        <f t="shared" si="53"/>
        <v>794857.95</v>
      </c>
      <c r="BJ24" s="201">
        <f t="shared" si="3"/>
        <v>99.617119911569304</v>
      </c>
      <c r="BK24" s="210">
        <v>20</v>
      </c>
      <c r="BL24" s="224">
        <v>100</v>
      </c>
      <c r="BM24" s="211"/>
      <c r="BN24" s="211"/>
      <c r="BO24" s="212">
        <f t="shared" si="43"/>
        <v>0</v>
      </c>
      <c r="BP24" s="201">
        <f t="shared" si="44"/>
        <v>3055.0500000000466</v>
      </c>
      <c r="BQ24" s="201">
        <f t="shared" si="54"/>
        <v>3055.0500000000466</v>
      </c>
      <c r="BR24" s="201">
        <f t="shared" si="46"/>
        <v>0</v>
      </c>
      <c r="BS24" s="201">
        <f t="shared" si="46"/>
        <v>3055.0500000000466</v>
      </c>
      <c r="BT24" s="201">
        <f t="shared" si="55"/>
        <v>3055.0500000000466</v>
      </c>
      <c r="BU24" s="213">
        <f t="shared" si="63"/>
        <v>0</v>
      </c>
      <c r="BV24" s="201">
        <v>72087</v>
      </c>
      <c r="BW24" s="201"/>
      <c r="BX24" s="201">
        <f t="shared" si="56"/>
        <v>72087</v>
      </c>
      <c r="BY24" s="199">
        <v>100000</v>
      </c>
      <c r="BZ24" s="199">
        <v>350000</v>
      </c>
      <c r="CA24" s="199">
        <v>105000</v>
      </c>
      <c r="CB24" s="199">
        <v>105000</v>
      </c>
      <c r="CC24" s="199">
        <v>105000</v>
      </c>
      <c r="CD24" s="199">
        <v>105000</v>
      </c>
      <c r="CE24" s="199">
        <v>0</v>
      </c>
      <c r="CF24" s="199">
        <v>0</v>
      </c>
      <c r="CG24" s="199">
        <v>0</v>
      </c>
      <c r="CH24" s="199">
        <v>0</v>
      </c>
      <c r="CI24" s="199">
        <v>0</v>
      </c>
      <c r="CJ24" s="199">
        <v>0</v>
      </c>
      <c r="CK24" s="214" t="s">
        <v>146</v>
      </c>
      <c r="CL24" s="214" t="s">
        <v>100</v>
      </c>
      <c r="CM24" s="211">
        <v>202</v>
      </c>
      <c r="CN24" s="215"/>
      <c r="CO24" s="215"/>
      <c r="CP24" s="216"/>
      <c r="CQ24" s="217"/>
      <c r="CR24" s="211"/>
      <c r="CS24" s="218"/>
      <c r="CT24" s="218"/>
      <c r="CU24" s="218"/>
      <c r="CV24" s="211"/>
      <c r="CW24" s="211"/>
      <c r="CX24" s="211"/>
      <c r="CY24" s="211"/>
      <c r="CZ24" s="211"/>
      <c r="DA24" s="211"/>
      <c r="DB24" s="211"/>
      <c r="DC24" s="219"/>
      <c r="DD24" s="219"/>
      <c r="DE24" s="219"/>
      <c r="DF24" s="211"/>
      <c r="DG24" s="211"/>
      <c r="DH24" s="211"/>
      <c r="DI24" s="211"/>
      <c r="DJ24" s="211"/>
      <c r="DK24" s="220" t="s">
        <v>32</v>
      </c>
      <c r="DT24" s="222"/>
    </row>
    <row r="25" spans="1:124" s="176" customFormat="1" ht="42" x14ac:dyDescent="0.2">
      <c r="A25" s="195" t="s">
        <v>147</v>
      </c>
      <c r="B25" s="197" t="s">
        <v>148</v>
      </c>
      <c r="C25" s="198">
        <v>1</v>
      </c>
      <c r="D25" s="199">
        <v>7500000</v>
      </c>
      <c r="E25" s="198" t="s">
        <v>149</v>
      </c>
      <c r="F25" s="198" t="s">
        <v>150</v>
      </c>
      <c r="G25" s="198" t="s">
        <v>151</v>
      </c>
      <c r="H25" s="200">
        <v>1</v>
      </c>
      <c r="I25" s="199">
        <f t="shared" si="23"/>
        <v>0</v>
      </c>
      <c r="J25" s="199">
        <f t="shared" si="24"/>
        <v>7500000</v>
      </c>
      <c r="K25" s="199">
        <f t="shared" si="25"/>
        <v>7500000</v>
      </c>
      <c r="L25" s="199"/>
      <c r="M25" s="199">
        <v>7500000</v>
      </c>
      <c r="N25" s="199">
        <f t="shared" si="26"/>
        <v>7500000</v>
      </c>
      <c r="O25" s="199"/>
      <c r="P25" s="201">
        <v>0</v>
      </c>
      <c r="Q25" s="202">
        <v>18</v>
      </c>
      <c r="R25" s="203">
        <v>45566</v>
      </c>
      <c r="S25" s="204"/>
      <c r="T25" s="204">
        <v>7500000</v>
      </c>
      <c r="U25" s="204">
        <f t="shared" si="27"/>
        <v>7500000</v>
      </c>
      <c r="V25" s="205"/>
      <c r="W25" s="200"/>
      <c r="X25" s="201"/>
      <c r="Y25" s="201"/>
      <c r="Z25" s="201">
        <f t="shared" si="28"/>
        <v>0</v>
      </c>
      <c r="AA25" s="198"/>
      <c r="AB25" s="206"/>
      <c r="AC25" s="207"/>
      <c r="AD25" s="201"/>
      <c r="AE25" s="204">
        <f t="shared" si="29"/>
        <v>0</v>
      </c>
      <c r="AF25" s="203">
        <f t="shared" si="30"/>
        <v>45566</v>
      </c>
      <c r="AG25" s="201">
        <f t="shared" si="31"/>
        <v>0</v>
      </c>
      <c r="AH25" s="204">
        <f t="shared" si="32"/>
        <v>7500000</v>
      </c>
      <c r="AI25" s="204">
        <f t="shared" si="33"/>
        <v>7500000</v>
      </c>
      <c r="AJ25" s="201">
        <f t="shared" si="34"/>
        <v>0</v>
      </c>
      <c r="AK25" s="201">
        <f t="shared" si="34"/>
        <v>7500000</v>
      </c>
      <c r="AL25" s="201">
        <f t="shared" si="35"/>
        <v>7500000</v>
      </c>
      <c r="AM25" s="198"/>
      <c r="AN25" s="203"/>
      <c r="AO25" s="208"/>
      <c r="AP25" s="201">
        <f t="shared" si="36"/>
        <v>0</v>
      </c>
      <c r="AQ25" s="201">
        <f t="shared" si="37"/>
        <v>6852447.7400000002</v>
      </c>
      <c r="AR25" s="201">
        <f t="shared" si="60"/>
        <v>6852447.7400000002</v>
      </c>
      <c r="AS25" s="201">
        <f t="shared" si="39"/>
        <v>91.36596986666666</v>
      </c>
      <c r="AT25" s="201"/>
      <c r="AU25" s="209">
        <v>6852447.7400000002</v>
      </c>
      <c r="AV25" s="201">
        <f t="shared" si="49"/>
        <v>6852447.7400000002</v>
      </c>
      <c r="AW25" s="201">
        <f t="shared" si="61"/>
        <v>8</v>
      </c>
      <c r="AX25" s="201">
        <f t="shared" si="40"/>
        <v>91.36596986666666</v>
      </c>
      <c r="AY25" s="208"/>
      <c r="AZ25" s="201">
        <f t="shared" si="50"/>
        <v>0</v>
      </c>
      <c r="BA25" s="201">
        <f t="shared" si="41"/>
        <v>0</v>
      </c>
      <c r="BB25" s="201">
        <f t="shared" si="62"/>
        <v>0</v>
      </c>
      <c r="BC25" s="201"/>
      <c r="BD25" s="209">
        <v>0</v>
      </c>
      <c r="BE25" s="201">
        <f t="shared" si="42"/>
        <v>0</v>
      </c>
      <c r="BF25" s="208"/>
      <c r="BG25" s="201">
        <f t="shared" si="52"/>
        <v>0</v>
      </c>
      <c r="BH25" s="201">
        <f t="shared" si="52"/>
        <v>6852447.7400000002</v>
      </c>
      <c r="BI25" s="201">
        <f t="shared" si="53"/>
        <v>6852447.7400000002</v>
      </c>
      <c r="BJ25" s="201">
        <f t="shared" si="3"/>
        <v>91.36596986666666</v>
      </c>
      <c r="BK25" s="210">
        <v>5</v>
      </c>
      <c r="BL25" s="224">
        <v>85</v>
      </c>
      <c r="BM25" s="211"/>
      <c r="BN25" s="214" t="s">
        <v>152</v>
      </c>
      <c r="BO25" s="212">
        <f t="shared" si="43"/>
        <v>0</v>
      </c>
      <c r="BP25" s="201">
        <f t="shared" si="44"/>
        <v>647552.25999999978</v>
      </c>
      <c r="BQ25" s="201">
        <f t="shared" si="54"/>
        <v>647552.25999999978</v>
      </c>
      <c r="BR25" s="201">
        <f t="shared" si="46"/>
        <v>0</v>
      </c>
      <c r="BS25" s="201">
        <f t="shared" si="46"/>
        <v>647552.25999999978</v>
      </c>
      <c r="BT25" s="201">
        <f t="shared" si="55"/>
        <v>647552.25999999978</v>
      </c>
      <c r="BU25" s="213">
        <f t="shared" si="63"/>
        <v>0</v>
      </c>
      <c r="BV25" s="201"/>
      <c r="BW25" s="201"/>
      <c r="BX25" s="201">
        <f t="shared" si="56"/>
        <v>0</v>
      </c>
      <c r="BY25" s="199">
        <v>375000</v>
      </c>
      <c r="BZ25" s="199">
        <v>525000</v>
      </c>
      <c r="CA25" s="199">
        <v>600000</v>
      </c>
      <c r="CB25" s="199">
        <v>750000</v>
      </c>
      <c r="CC25" s="199">
        <v>975000</v>
      </c>
      <c r="CD25" s="199">
        <v>975000</v>
      </c>
      <c r="CE25" s="199">
        <v>825000</v>
      </c>
      <c r="CF25" s="199">
        <v>600000</v>
      </c>
      <c r="CG25" s="199">
        <v>450000</v>
      </c>
      <c r="CH25" s="199">
        <v>375000</v>
      </c>
      <c r="CI25" s="199">
        <v>525000</v>
      </c>
      <c r="CJ25" s="199">
        <v>525000</v>
      </c>
      <c r="CK25" s="214" t="s">
        <v>153</v>
      </c>
      <c r="CL25" s="214" t="s">
        <v>100</v>
      </c>
      <c r="CM25" s="211">
        <v>202</v>
      </c>
      <c r="CN25" s="215"/>
      <c r="CO25" s="215"/>
      <c r="CP25" s="216"/>
      <c r="CQ25" s="217"/>
      <c r="CR25" s="211"/>
      <c r="CS25" s="218"/>
      <c r="CT25" s="218"/>
      <c r="CU25" s="218"/>
      <c r="CV25" s="211"/>
      <c r="CW25" s="211"/>
      <c r="CX25" s="211"/>
      <c r="CY25" s="211"/>
      <c r="CZ25" s="211"/>
      <c r="DA25" s="211"/>
      <c r="DB25" s="211"/>
      <c r="DC25" s="219"/>
      <c r="DD25" s="219"/>
      <c r="DE25" s="219"/>
      <c r="DF25" s="211"/>
      <c r="DG25" s="211"/>
      <c r="DH25" s="211"/>
      <c r="DI25" s="211"/>
      <c r="DJ25" s="211"/>
      <c r="DK25" s="220" t="s">
        <v>32</v>
      </c>
      <c r="DT25" s="222"/>
    </row>
    <row r="26" spans="1:124" s="176" customFormat="1" ht="42" x14ac:dyDescent="0.2">
      <c r="A26" s="195" t="s">
        <v>154</v>
      </c>
      <c r="B26" s="197" t="s">
        <v>155</v>
      </c>
      <c r="C26" s="198">
        <v>1</v>
      </c>
      <c r="D26" s="199">
        <v>5000000</v>
      </c>
      <c r="E26" s="198" t="s">
        <v>156</v>
      </c>
      <c r="F26" s="198" t="s">
        <v>150</v>
      </c>
      <c r="G26" s="198" t="s">
        <v>151</v>
      </c>
      <c r="H26" s="200">
        <v>1</v>
      </c>
      <c r="I26" s="199">
        <f t="shared" si="23"/>
        <v>0</v>
      </c>
      <c r="J26" s="199">
        <f t="shared" si="24"/>
        <v>5000000</v>
      </c>
      <c r="K26" s="199">
        <f t="shared" si="25"/>
        <v>5000000</v>
      </c>
      <c r="L26" s="199"/>
      <c r="M26" s="199">
        <v>5000000</v>
      </c>
      <c r="N26" s="199">
        <f t="shared" si="26"/>
        <v>5000000</v>
      </c>
      <c r="O26" s="199"/>
      <c r="P26" s="201">
        <v>0</v>
      </c>
      <c r="Q26" s="202">
        <v>18</v>
      </c>
      <c r="R26" s="203">
        <v>45566</v>
      </c>
      <c r="S26" s="204"/>
      <c r="T26" s="204">
        <v>5000000</v>
      </c>
      <c r="U26" s="204">
        <f t="shared" si="27"/>
        <v>5000000</v>
      </c>
      <c r="V26" s="205">
        <v>1715</v>
      </c>
      <c r="W26" s="200">
        <v>45723</v>
      </c>
      <c r="X26" s="201"/>
      <c r="Y26" s="201">
        <v>-29862</v>
      </c>
      <c r="Z26" s="201">
        <f t="shared" si="28"/>
        <v>-29862</v>
      </c>
      <c r="AA26" s="198"/>
      <c r="AB26" s="206"/>
      <c r="AC26" s="207"/>
      <c r="AD26" s="201"/>
      <c r="AE26" s="204">
        <f t="shared" si="29"/>
        <v>0</v>
      </c>
      <c r="AF26" s="203">
        <f t="shared" si="30"/>
        <v>45566</v>
      </c>
      <c r="AG26" s="201">
        <f t="shared" si="31"/>
        <v>0</v>
      </c>
      <c r="AH26" s="204">
        <f t="shared" si="32"/>
        <v>4970138</v>
      </c>
      <c r="AI26" s="204">
        <f t="shared" si="33"/>
        <v>4970138</v>
      </c>
      <c r="AJ26" s="201">
        <f t="shared" si="34"/>
        <v>0</v>
      </c>
      <c r="AK26" s="201">
        <f t="shared" si="34"/>
        <v>4970138</v>
      </c>
      <c r="AL26" s="201">
        <f t="shared" si="35"/>
        <v>4970138</v>
      </c>
      <c r="AM26" s="198"/>
      <c r="AN26" s="203"/>
      <c r="AO26" s="208"/>
      <c r="AP26" s="201">
        <f t="shared" si="36"/>
        <v>0</v>
      </c>
      <c r="AQ26" s="201">
        <f t="shared" si="37"/>
        <v>4874541.05</v>
      </c>
      <c r="AR26" s="201">
        <f t="shared" si="60"/>
        <v>4874541.05</v>
      </c>
      <c r="AS26" s="201">
        <f t="shared" si="39"/>
        <v>98.076573527737054</v>
      </c>
      <c r="AT26" s="201"/>
      <c r="AU26" s="223">
        <v>4874541.05</v>
      </c>
      <c r="AV26" s="201">
        <f t="shared" si="49"/>
        <v>4874541.05</v>
      </c>
      <c r="AW26" s="201">
        <f t="shared" si="61"/>
        <v>10.060082838746128</v>
      </c>
      <c r="AX26" s="201">
        <f t="shared" si="40"/>
        <v>98.076573527737054</v>
      </c>
      <c r="AY26" s="208"/>
      <c r="AZ26" s="201">
        <f t="shared" si="50"/>
        <v>0</v>
      </c>
      <c r="BA26" s="201">
        <f t="shared" si="41"/>
        <v>0</v>
      </c>
      <c r="BB26" s="201">
        <f t="shared" si="62"/>
        <v>0</v>
      </c>
      <c r="BC26" s="201"/>
      <c r="BD26" s="223"/>
      <c r="BE26" s="201">
        <f t="shared" si="42"/>
        <v>0</v>
      </c>
      <c r="BF26" s="208"/>
      <c r="BG26" s="201">
        <f t="shared" si="52"/>
        <v>0</v>
      </c>
      <c r="BH26" s="201">
        <f t="shared" si="52"/>
        <v>4874541.05</v>
      </c>
      <c r="BI26" s="201">
        <f t="shared" si="53"/>
        <v>4874541.05</v>
      </c>
      <c r="BJ26" s="201">
        <f t="shared" si="3"/>
        <v>98.076573527737054</v>
      </c>
      <c r="BK26" s="210">
        <v>23.59</v>
      </c>
      <c r="BL26" s="224">
        <v>90</v>
      </c>
      <c r="BM26" s="211"/>
      <c r="BN26" s="211"/>
      <c r="BO26" s="212">
        <f t="shared" si="43"/>
        <v>0</v>
      </c>
      <c r="BP26" s="201">
        <f t="shared" si="44"/>
        <v>95596.950000000186</v>
      </c>
      <c r="BQ26" s="201">
        <f t="shared" si="54"/>
        <v>95596.950000000186</v>
      </c>
      <c r="BR26" s="201">
        <f t="shared" si="46"/>
        <v>0</v>
      </c>
      <c r="BS26" s="201">
        <f t="shared" si="46"/>
        <v>95596.950000000186</v>
      </c>
      <c r="BT26" s="201">
        <f t="shared" si="55"/>
        <v>95596.950000000186</v>
      </c>
      <c r="BU26" s="213">
        <f t="shared" si="63"/>
        <v>0</v>
      </c>
      <c r="BV26" s="201">
        <v>29862</v>
      </c>
      <c r="BW26" s="201"/>
      <c r="BX26" s="201">
        <f t="shared" si="56"/>
        <v>29862</v>
      </c>
      <c r="BY26" s="199">
        <v>250000</v>
      </c>
      <c r="BZ26" s="199">
        <v>500000</v>
      </c>
      <c r="CA26" s="199">
        <v>500000</v>
      </c>
      <c r="CB26" s="199">
        <v>500000</v>
      </c>
      <c r="CC26" s="199">
        <v>500000</v>
      </c>
      <c r="CD26" s="199">
        <v>500000</v>
      </c>
      <c r="CE26" s="199">
        <v>500000</v>
      </c>
      <c r="CF26" s="199">
        <v>500000</v>
      </c>
      <c r="CG26" s="199">
        <v>500000</v>
      </c>
      <c r="CH26" s="199">
        <v>500000</v>
      </c>
      <c r="CI26" s="199">
        <v>250000</v>
      </c>
      <c r="CJ26" s="199">
        <v>0</v>
      </c>
      <c r="CK26" s="214" t="s">
        <v>157</v>
      </c>
      <c r="CL26" s="214" t="s">
        <v>100</v>
      </c>
      <c r="CM26" s="211">
        <v>202</v>
      </c>
      <c r="CN26" s="215"/>
      <c r="CO26" s="215"/>
      <c r="CP26" s="216"/>
      <c r="CQ26" s="217"/>
      <c r="CR26" s="211"/>
      <c r="CS26" s="218"/>
      <c r="CT26" s="218"/>
      <c r="CU26" s="218"/>
      <c r="CV26" s="211"/>
      <c r="CW26" s="211"/>
      <c r="CX26" s="211"/>
      <c r="CY26" s="211"/>
      <c r="CZ26" s="211"/>
      <c r="DA26" s="211"/>
      <c r="DB26" s="211"/>
      <c r="DC26" s="219"/>
      <c r="DD26" s="219"/>
      <c r="DE26" s="219"/>
      <c r="DF26" s="211"/>
      <c r="DG26" s="211"/>
      <c r="DH26" s="211"/>
      <c r="DI26" s="211"/>
      <c r="DJ26" s="211"/>
      <c r="DK26" s="220" t="s">
        <v>32</v>
      </c>
      <c r="DT26" s="222"/>
    </row>
    <row r="27" spans="1:124" s="176" customFormat="1" ht="42" x14ac:dyDescent="0.2">
      <c r="A27" s="195" t="s">
        <v>94</v>
      </c>
      <c r="B27" s="197" t="s">
        <v>158</v>
      </c>
      <c r="C27" s="198">
        <v>1</v>
      </c>
      <c r="D27" s="199">
        <v>700000</v>
      </c>
      <c r="E27" s="198" t="s">
        <v>159</v>
      </c>
      <c r="F27" s="198" t="s">
        <v>111</v>
      </c>
      <c r="G27" s="198" t="s">
        <v>98</v>
      </c>
      <c r="H27" s="200">
        <v>1</v>
      </c>
      <c r="I27" s="199">
        <f t="shared" si="23"/>
        <v>0</v>
      </c>
      <c r="J27" s="199">
        <f t="shared" si="24"/>
        <v>700000</v>
      </c>
      <c r="K27" s="199">
        <f t="shared" si="25"/>
        <v>700000</v>
      </c>
      <c r="L27" s="199"/>
      <c r="M27" s="199">
        <v>700000</v>
      </c>
      <c r="N27" s="199">
        <f t="shared" si="26"/>
        <v>700000</v>
      </c>
      <c r="O27" s="199"/>
      <c r="P27" s="201">
        <v>0</v>
      </c>
      <c r="Q27" s="202">
        <v>18</v>
      </c>
      <c r="R27" s="203">
        <v>45566</v>
      </c>
      <c r="S27" s="204"/>
      <c r="T27" s="204">
        <v>700000</v>
      </c>
      <c r="U27" s="204">
        <f t="shared" si="27"/>
        <v>700000</v>
      </c>
      <c r="V27" s="205">
        <v>2547</v>
      </c>
      <c r="W27" s="200">
        <v>45834</v>
      </c>
      <c r="X27" s="201"/>
      <c r="Y27" s="201">
        <v>-5264.4</v>
      </c>
      <c r="Z27" s="201">
        <f t="shared" si="28"/>
        <v>-5264.4</v>
      </c>
      <c r="AA27" s="198"/>
      <c r="AB27" s="206"/>
      <c r="AC27" s="207"/>
      <c r="AD27" s="201"/>
      <c r="AE27" s="204">
        <f t="shared" si="29"/>
        <v>0</v>
      </c>
      <c r="AF27" s="203">
        <f t="shared" si="30"/>
        <v>45566</v>
      </c>
      <c r="AG27" s="201">
        <f t="shared" si="31"/>
        <v>0</v>
      </c>
      <c r="AH27" s="204">
        <f t="shared" si="32"/>
        <v>694735.6</v>
      </c>
      <c r="AI27" s="204">
        <f t="shared" si="33"/>
        <v>694735.6</v>
      </c>
      <c r="AJ27" s="201">
        <f t="shared" si="34"/>
        <v>0</v>
      </c>
      <c r="AK27" s="201">
        <f t="shared" si="34"/>
        <v>694735.6</v>
      </c>
      <c r="AL27" s="201">
        <f t="shared" si="35"/>
        <v>694735.6</v>
      </c>
      <c r="AM27" s="198"/>
      <c r="AN27" s="203"/>
      <c r="AO27" s="208"/>
      <c r="AP27" s="201">
        <f t="shared" si="36"/>
        <v>0</v>
      </c>
      <c r="AQ27" s="201">
        <f t="shared" si="37"/>
        <v>694735.6</v>
      </c>
      <c r="AR27" s="201">
        <f t="shared" si="60"/>
        <v>694735.6</v>
      </c>
      <c r="AS27" s="201">
        <f t="shared" si="39"/>
        <v>100</v>
      </c>
      <c r="AT27" s="201"/>
      <c r="AU27" s="209">
        <v>694735.6</v>
      </c>
      <c r="AV27" s="201">
        <f t="shared" si="49"/>
        <v>694735.6</v>
      </c>
      <c r="AW27" s="201">
        <f t="shared" si="61"/>
        <v>0</v>
      </c>
      <c r="AX27" s="201">
        <f t="shared" si="40"/>
        <v>100</v>
      </c>
      <c r="AY27" s="208"/>
      <c r="AZ27" s="201">
        <f t="shared" si="50"/>
        <v>0</v>
      </c>
      <c r="BA27" s="201">
        <f t="shared" si="41"/>
        <v>0</v>
      </c>
      <c r="BB27" s="201">
        <f t="shared" si="62"/>
        <v>0</v>
      </c>
      <c r="BC27" s="201"/>
      <c r="BD27" s="209">
        <v>0</v>
      </c>
      <c r="BE27" s="201">
        <f t="shared" si="42"/>
        <v>0</v>
      </c>
      <c r="BF27" s="208"/>
      <c r="BG27" s="201">
        <f t="shared" si="52"/>
        <v>0</v>
      </c>
      <c r="BH27" s="201">
        <f t="shared" si="52"/>
        <v>694735.6</v>
      </c>
      <c r="BI27" s="201">
        <f t="shared" si="53"/>
        <v>694735.6</v>
      </c>
      <c r="BJ27" s="201">
        <f t="shared" si="3"/>
        <v>100</v>
      </c>
      <c r="BK27" s="210">
        <v>30</v>
      </c>
      <c r="BL27" s="210">
        <v>100</v>
      </c>
      <c r="BM27" s="211"/>
      <c r="BN27" s="211"/>
      <c r="BO27" s="212">
        <f t="shared" si="43"/>
        <v>0</v>
      </c>
      <c r="BP27" s="201">
        <f t="shared" si="44"/>
        <v>0</v>
      </c>
      <c r="BQ27" s="201">
        <f t="shared" si="54"/>
        <v>0</v>
      </c>
      <c r="BR27" s="201">
        <f t="shared" si="46"/>
        <v>0</v>
      </c>
      <c r="BS27" s="201">
        <f t="shared" si="46"/>
        <v>0</v>
      </c>
      <c r="BT27" s="201">
        <f t="shared" si="55"/>
        <v>0</v>
      </c>
      <c r="BU27" s="213">
        <f t="shared" si="63"/>
        <v>0</v>
      </c>
      <c r="BV27" s="201">
        <v>5264.4</v>
      </c>
      <c r="BW27" s="201"/>
      <c r="BX27" s="201">
        <f t="shared" si="56"/>
        <v>5264.4</v>
      </c>
      <c r="BY27" s="199">
        <v>233300</v>
      </c>
      <c r="BZ27" s="199">
        <v>233300</v>
      </c>
      <c r="CA27" s="199">
        <v>233400</v>
      </c>
      <c r="CB27" s="199">
        <v>0</v>
      </c>
      <c r="CC27" s="199">
        <v>0</v>
      </c>
      <c r="CD27" s="199">
        <v>0</v>
      </c>
      <c r="CE27" s="199">
        <v>0</v>
      </c>
      <c r="CF27" s="199">
        <v>0</v>
      </c>
      <c r="CG27" s="199">
        <v>0</v>
      </c>
      <c r="CH27" s="199">
        <v>0</v>
      </c>
      <c r="CI27" s="199">
        <v>0</v>
      </c>
      <c r="CJ27" s="199">
        <v>0</v>
      </c>
      <c r="CK27" s="214" t="s">
        <v>160</v>
      </c>
      <c r="CL27" s="214" t="s">
        <v>100</v>
      </c>
      <c r="CM27" s="211">
        <v>203</v>
      </c>
      <c r="CN27" s="215"/>
      <c r="CO27" s="215"/>
      <c r="CP27" s="216"/>
      <c r="CQ27" s="217"/>
      <c r="CR27" s="211"/>
      <c r="CS27" s="218"/>
      <c r="CT27" s="218"/>
      <c r="CU27" s="218"/>
      <c r="CV27" s="211"/>
      <c r="CW27" s="211"/>
      <c r="CX27" s="211"/>
      <c r="CY27" s="211"/>
      <c r="CZ27" s="211"/>
      <c r="DA27" s="211"/>
      <c r="DB27" s="211"/>
      <c r="DC27" s="219"/>
      <c r="DD27" s="219"/>
      <c r="DE27" s="219"/>
      <c r="DF27" s="211"/>
      <c r="DG27" s="211"/>
      <c r="DH27" s="211"/>
      <c r="DI27" s="211"/>
      <c r="DJ27" s="211"/>
      <c r="DK27" s="220" t="s">
        <v>32</v>
      </c>
      <c r="DT27" s="222"/>
    </row>
    <row r="28" spans="1:124" s="176" customFormat="1" ht="42" x14ac:dyDescent="0.2">
      <c r="A28" s="225" t="s">
        <v>161</v>
      </c>
      <c r="B28" s="197" t="s">
        <v>162</v>
      </c>
      <c r="C28" s="198">
        <v>1</v>
      </c>
      <c r="D28" s="199">
        <v>628500</v>
      </c>
      <c r="E28" s="198" t="s">
        <v>149</v>
      </c>
      <c r="F28" s="198" t="s">
        <v>150</v>
      </c>
      <c r="G28" s="198" t="s">
        <v>151</v>
      </c>
      <c r="H28" s="200">
        <v>1</v>
      </c>
      <c r="I28" s="199">
        <f t="shared" si="23"/>
        <v>0</v>
      </c>
      <c r="J28" s="199">
        <f t="shared" si="24"/>
        <v>628500</v>
      </c>
      <c r="K28" s="199">
        <f t="shared" si="25"/>
        <v>628500</v>
      </c>
      <c r="L28" s="199"/>
      <c r="M28" s="199">
        <v>628500</v>
      </c>
      <c r="N28" s="199">
        <f t="shared" si="26"/>
        <v>628500</v>
      </c>
      <c r="O28" s="199"/>
      <c r="P28" s="201">
        <v>0</v>
      </c>
      <c r="Q28" s="202">
        <v>18</v>
      </c>
      <c r="R28" s="203">
        <v>45566</v>
      </c>
      <c r="S28" s="204"/>
      <c r="T28" s="204">
        <v>628500</v>
      </c>
      <c r="U28" s="204">
        <f t="shared" si="27"/>
        <v>628500</v>
      </c>
      <c r="V28" s="205">
        <v>2339</v>
      </c>
      <c r="W28" s="200">
        <v>45803</v>
      </c>
      <c r="X28" s="201"/>
      <c r="Y28" s="201">
        <v>-11.1</v>
      </c>
      <c r="Z28" s="201">
        <f t="shared" si="28"/>
        <v>-11.1</v>
      </c>
      <c r="AA28" s="198"/>
      <c r="AB28" s="206"/>
      <c r="AC28" s="207"/>
      <c r="AD28" s="201"/>
      <c r="AE28" s="204">
        <f t="shared" si="29"/>
        <v>0</v>
      </c>
      <c r="AF28" s="203">
        <f t="shared" si="30"/>
        <v>45566</v>
      </c>
      <c r="AG28" s="201">
        <f t="shared" si="31"/>
        <v>0</v>
      </c>
      <c r="AH28" s="204">
        <f t="shared" si="32"/>
        <v>628488.9</v>
      </c>
      <c r="AI28" s="204">
        <f t="shared" si="33"/>
        <v>628488.9</v>
      </c>
      <c r="AJ28" s="201">
        <f t="shared" ref="AJ28:AK40" si="64">+S28+X28+AC28</f>
        <v>0</v>
      </c>
      <c r="AK28" s="201">
        <f t="shared" si="64"/>
        <v>628488.9</v>
      </c>
      <c r="AL28" s="201">
        <f t="shared" si="35"/>
        <v>628488.9</v>
      </c>
      <c r="AM28" s="198"/>
      <c r="AN28" s="203"/>
      <c r="AO28" s="208"/>
      <c r="AP28" s="201">
        <f t="shared" si="36"/>
        <v>0</v>
      </c>
      <c r="AQ28" s="201">
        <f>+AU28+AY28</f>
        <v>628488.89999999991</v>
      </c>
      <c r="AR28" s="201">
        <f t="shared" si="60"/>
        <v>628488.89999999991</v>
      </c>
      <c r="AS28" s="201">
        <f t="shared" si="39"/>
        <v>99.999999999999986</v>
      </c>
      <c r="AT28" s="201"/>
      <c r="AU28" s="209">
        <v>628488.89999999991</v>
      </c>
      <c r="AV28" s="201">
        <f>SUM(AT28:AU28)</f>
        <v>628488.89999999991</v>
      </c>
      <c r="AW28" s="201">
        <f t="shared" si="61"/>
        <v>0</v>
      </c>
      <c r="AX28" s="201">
        <f t="shared" si="40"/>
        <v>99.999999999999986</v>
      </c>
      <c r="AY28" s="208"/>
      <c r="AZ28" s="201">
        <f t="shared" si="50"/>
        <v>0</v>
      </c>
      <c r="BA28" s="201">
        <f t="shared" si="41"/>
        <v>0</v>
      </c>
      <c r="BB28" s="201">
        <f t="shared" si="62"/>
        <v>0</v>
      </c>
      <c r="BC28" s="201"/>
      <c r="BD28" s="209"/>
      <c r="BE28" s="201">
        <f t="shared" si="42"/>
        <v>0</v>
      </c>
      <c r="BF28" s="208"/>
      <c r="BG28" s="201">
        <f t="shared" si="52"/>
        <v>0</v>
      </c>
      <c r="BH28" s="201">
        <f t="shared" si="52"/>
        <v>628488.89999999991</v>
      </c>
      <c r="BI28" s="201">
        <f t="shared" si="53"/>
        <v>628488.89999999991</v>
      </c>
      <c r="BJ28" s="201">
        <f t="shared" si="3"/>
        <v>99.999999999999986</v>
      </c>
      <c r="BK28" s="210"/>
      <c r="BL28" s="224">
        <v>100</v>
      </c>
      <c r="BM28" s="211"/>
      <c r="BN28" s="214" t="s">
        <v>152</v>
      </c>
      <c r="BO28" s="212">
        <f t="shared" si="43"/>
        <v>0</v>
      </c>
      <c r="BP28" s="201">
        <f t="shared" si="44"/>
        <v>0</v>
      </c>
      <c r="BQ28" s="201">
        <f t="shared" si="54"/>
        <v>0</v>
      </c>
      <c r="BR28" s="201">
        <f t="shared" ref="BR28:BS40" si="65">+AJ28-AT28</f>
        <v>0</v>
      </c>
      <c r="BS28" s="201">
        <f t="shared" si="65"/>
        <v>0</v>
      </c>
      <c r="BT28" s="201">
        <f t="shared" si="55"/>
        <v>0</v>
      </c>
      <c r="BU28" s="213">
        <f t="shared" si="63"/>
        <v>0</v>
      </c>
      <c r="BV28" s="201">
        <v>11.1</v>
      </c>
      <c r="BW28" s="201"/>
      <c r="BX28" s="201">
        <f t="shared" si="56"/>
        <v>11.1</v>
      </c>
      <c r="BY28" s="199">
        <v>0</v>
      </c>
      <c r="BZ28" s="199">
        <v>0</v>
      </c>
      <c r="CA28" s="199">
        <v>628500</v>
      </c>
      <c r="CB28" s="199">
        <v>0</v>
      </c>
      <c r="CC28" s="199">
        <v>0</v>
      </c>
      <c r="CD28" s="199">
        <v>0</v>
      </c>
      <c r="CE28" s="199">
        <v>0</v>
      </c>
      <c r="CF28" s="199">
        <v>0</v>
      </c>
      <c r="CG28" s="199">
        <v>0</v>
      </c>
      <c r="CH28" s="199">
        <v>0</v>
      </c>
      <c r="CI28" s="199">
        <v>0</v>
      </c>
      <c r="CJ28" s="199">
        <v>0</v>
      </c>
      <c r="CK28" s="214" t="s">
        <v>163</v>
      </c>
      <c r="CL28" s="214" t="s">
        <v>100</v>
      </c>
      <c r="CM28" s="211">
        <v>203</v>
      </c>
      <c r="CN28" s="215"/>
      <c r="CO28" s="215"/>
      <c r="CP28" s="216"/>
      <c r="CQ28" s="217"/>
      <c r="CR28" s="211"/>
      <c r="CS28" s="218"/>
      <c r="CT28" s="218"/>
      <c r="CU28" s="218"/>
      <c r="CV28" s="211"/>
      <c r="CW28" s="211"/>
      <c r="CX28" s="211"/>
      <c r="CY28" s="211"/>
      <c r="CZ28" s="211"/>
      <c r="DA28" s="211"/>
      <c r="DB28" s="211"/>
      <c r="DC28" s="219"/>
      <c r="DD28" s="219"/>
      <c r="DE28" s="219"/>
      <c r="DF28" s="211"/>
      <c r="DG28" s="211"/>
      <c r="DH28" s="211"/>
      <c r="DI28" s="211"/>
      <c r="DJ28" s="211"/>
      <c r="DK28" s="220" t="s">
        <v>32</v>
      </c>
      <c r="DT28" s="222"/>
    </row>
    <row r="29" spans="1:124" s="176" customFormat="1" ht="42" x14ac:dyDescent="0.2">
      <c r="A29" s="195" t="s">
        <v>154</v>
      </c>
      <c r="B29" s="197" t="s">
        <v>164</v>
      </c>
      <c r="C29" s="198">
        <v>1</v>
      </c>
      <c r="D29" s="199">
        <v>250000</v>
      </c>
      <c r="E29" s="198" t="s">
        <v>156</v>
      </c>
      <c r="F29" s="198" t="s">
        <v>150</v>
      </c>
      <c r="G29" s="198" t="s">
        <v>151</v>
      </c>
      <c r="H29" s="200">
        <v>1</v>
      </c>
      <c r="I29" s="199">
        <f t="shared" si="23"/>
        <v>0</v>
      </c>
      <c r="J29" s="199">
        <f t="shared" si="24"/>
        <v>250000</v>
      </c>
      <c r="K29" s="199">
        <f t="shared" si="25"/>
        <v>250000</v>
      </c>
      <c r="L29" s="199"/>
      <c r="M29" s="199">
        <v>250000</v>
      </c>
      <c r="N29" s="199">
        <f t="shared" si="26"/>
        <v>250000</v>
      </c>
      <c r="O29" s="199"/>
      <c r="P29" s="201">
        <v>0</v>
      </c>
      <c r="Q29" s="202">
        <v>18</v>
      </c>
      <c r="R29" s="203">
        <v>45566</v>
      </c>
      <c r="S29" s="204"/>
      <c r="T29" s="204">
        <v>250000</v>
      </c>
      <c r="U29" s="204">
        <f t="shared" si="27"/>
        <v>250000</v>
      </c>
      <c r="V29" s="205">
        <v>1205</v>
      </c>
      <c r="W29" s="200">
        <v>45672</v>
      </c>
      <c r="X29" s="201"/>
      <c r="Y29" s="201">
        <v>-6362</v>
      </c>
      <c r="Z29" s="201">
        <f t="shared" si="28"/>
        <v>-6362</v>
      </c>
      <c r="AA29" s="198"/>
      <c r="AB29" s="206"/>
      <c r="AC29" s="207"/>
      <c r="AD29" s="201"/>
      <c r="AE29" s="204">
        <f t="shared" si="29"/>
        <v>0</v>
      </c>
      <c r="AF29" s="203">
        <f t="shared" si="30"/>
        <v>45566</v>
      </c>
      <c r="AG29" s="201">
        <f t="shared" si="31"/>
        <v>0</v>
      </c>
      <c r="AH29" s="204">
        <f t="shared" si="32"/>
        <v>243638</v>
      </c>
      <c r="AI29" s="204">
        <f t="shared" si="33"/>
        <v>243638</v>
      </c>
      <c r="AJ29" s="201">
        <f t="shared" si="64"/>
        <v>0</v>
      </c>
      <c r="AK29" s="201">
        <f t="shared" si="64"/>
        <v>243638</v>
      </c>
      <c r="AL29" s="201">
        <f t="shared" si="35"/>
        <v>243638</v>
      </c>
      <c r="AM29" s="198"/>
      <c r="AN29" s="203"/>
      <c r="AO29" s="208"/>
      <c r="AP29" s="201">
        <f t="shared" si="36"/>
        <v>0</v>
      </c>
      <c r="AQ29" s="201">
        <f t="shared" si="37"/>
        <v>213638</v>
      </c>
      <c r="AR29" s="201">
        <f t="shared" si="60"/>
        <v>213638</v>
      </c>
      <c r="AS29" s="201">
        <f t="shared" si="39"/>
        <v>87.686649865784489</v>
      </c>
      <c r="AT29" s="201"/>
      <c r="AU29" s="209">
        <v>213638</v>
      </c>
      <c r="AV29" s="201">
        <f t="shared" si="49"/>
        <v>213638</v>
      </c>
      <c r="AW29" s="201">
        <f t="shared" si="61"/>
        <v>10.261125111846264</v>
      </c>
      <c r="AX29" s="201">
        <f t="shared" si="40"/>
        <v>87.686649865784489</v>
      </c>
      <c r="AY29" s="208"/>
      <c r="AZ29" s="201">
        <f t="shared" si="50"/>
        <v>0</v>
      </c>
      <c r="BA29" s="201">
        <f t="shared" si="41"/>
        <v>0</v>
      </c>
      <c r="BB29" s="201">
        <f t="shared" si="62"/>
        <v>0</v>
      </c>
      <c r="BC29" s="201"/>
      <c r="BD29" s="209">
        <v>0</v>
      </c>
      <c r="BE29" s="201">
        <f t="shared" si="42"/>
        <v>0</v>
      </c>
      <c r="BF29" s="208"/>
      <c r="BG29" s="201">
        <f t="shared" ref="BG29:BH41" si="66">+AP29+AZ29</f>
        <v>0</v>
      </c>
      <c r="BH29" s="201">
        <f t="shared" si="66"/>
        <v>213638</v>
      </c>
      <c r="BI29" s="201">
        <f t="shared" si="53"/>
        <v>213638</v>
      </c>
      <c r="BJ29" s="201">
        <f t="shared" si="3"/>
        <v>87.686649865784489</v>
      </c>
      <c r="BK29" s="210">
        <v>30</v>
      </c>
      <c r="BL29" s="224">
        <v>85</v>
      </c>
      <c r="BM29" s="211"/>
      <c r="BN29" s="211"/>
      <c r="BO29" s="212">
        <f t="shared" si="43"/>
        <v>0</v>
      </c>
      <c r="BP29" s="201">
        <f t="shared" si="44"/>
        <v>30000</v>
      </c>
      <c r="BQ29" s="201">
        <f t="shared" si="54"/>
        <v>30000</v>
      </c>
      <c r="BR29" s="201">
        <f t="shared" si="65"/>
        <v>0</v>
      </c>
      <c r="BS29" s="201">
        <f t="shared" si="65"/>
        <v>30000</v>
      </c>
      <c r="BT29" s="201">
        <f t="shared" si="55"/>
        <v>30000</v>
      </c>
      <c r="BU29" s="213">
        <f t="shared" si="63"/>
        <v>0</v>
      </c>
      <c r="BV29" s="201">
        <v>6362</v>
      </c>
      <c r="BW29" s="201"/>
      <c r="BX29" s="201">
        <f t="shared" si="56"/>
        <v>6362</v>
      </c>
      <c r="BY29" s="199">
        <v>0</v>
      </c>
      <c r="BZ29" s="199">
        <v>25000</v>
      </c>
      <c r="CA29" s="199">
        <v>25000</v>
      </c>
      <c r="CB29" s="199">
        <v>25000</v>
      </c>
      <c r="CC29" s="199">
        <v>25000</v>
      </c>
      <c r="CD29" s="199">
        <v>25000</v>
      </c>
      <c r="CE29" s="199">
        <v>25000</v>
      </c>
      <c r="CF29" s="199">
        <v>25000</v>
      </c>
      <c r="CG29" s="199">
        <v>25000</v>
      </c>
      <c r="CH29" s="199">
        <v>25000</v>
      </c>
      <c r="CI29" s="199">
        <v>25000</v>
      </c>
      <c r="CJ29" s="199">
        <v>0</v>
      </c>
      <c r="CK29" s="214" t="s">
        <v>165</v>
      </c>
      <c r="CL29" s="214" t="s">
        <v>100</v>
      </c>
      <c r="CM29" s="211">
        <v>203</v>
      </c>
      <c r="CN29" s="215"/>
      <c r="CO29" s="215"/>
      <c r="CP29" s="216"/>
      <c r="CQ29" s="217"/>
      <c r="CR29" s="211"/>
      <c r="CS29" s="218"/>
      <c r="CT29" s="218"/>
      <c r="CU29" s="218"/>
      <c r="CV29" s="211"/>
      <c r="CW29" s="211"/>
      <c r="CX29" s="211"/>
      <c r="CY29" s="211"/>
      <c r="CZ29" s="211"/>
      <c r="DA29" s="211"/>
      <c r="DB29" s="211"/>
      <c r="DC29" s="219"/>
      <c r="DD29" s="219"/>
      <c r="DE29" s="219"/>
      <c r="DF29" s="211"/>
      <c r="DG29" s="211"/>
      <c r="DH29" s="211"/>
      <c r="DI29" s="211"/>
      <c r="DJ29" s="211"/>
      <c r="DK29" s="220" t="s">
        <v>32</v>
      </c>
      <c r="DT29" s="222"/>
    </row>
    <row r="30" spans="1:124" s="108" customFormat="1" x14ac:dyDescent="0.2">
      <c r="A30" s="137" t="s">
        <v>90</v>
      </c>
      <c r="B30" s="226" t="s">
        <v>166</v>
      </c>
      <c r="C30" s="139">
        <f>+C31+C66+C193</f>
        <v>488</v>
      </c>
      <c r="D30" s="141">
        <f>+D31+D66+D193</f>
        <v>1394870100</v>
      </c>
      <c r="E30" s="139"/>
      <c r="F30" s="139"/>
      <c r="G30" s="139"/>
      <c r="H30" s="139">
        <f t="shared" ref="H30:AR30" si="67">+H31+H66+H193</f>
        <v>488</v>
      </c>
      <c r="I30" s="141">
        <f t="shared" si="67"/>
        <v>171769876</v>
      </c>
      <c r="J30" s="141">
        <f t="shared" si="67"/>
        <v>1198100224</v>
      </c>
      <c r="K30" s="141">
        <f t="shared" si="67"/>
        <v>1369870100</v>
      </c>
      <c r="L30" s="141">
        <f t="shared" si="67"/>
        <v>171769876</v>
      </c>
      <c r="M30" s="141">
        <f t="shared" si="67"/>
        <v>1198100224</v>
      </c>
      <c r="N30" s="141">
        <f t="shared" si="67"/>
        <v>1369870100</v>
      </c>
      <c r="O30" s="141">
        <f t="shared" si="67"/>
        <v>0</v>
      </c>
      <c r="P30" s="142">
        <f t="shared" si="67"/>
        <v>0</v>
      </c>
      <c r="Q30" s="139">
        <f t="shared" si="67"/>
        <v>34914</v>
      </c>
      <c r="R30" s="139">
        <f t="shared" si="67"/>
        <v>7701230</v>
      </c>
      <c r="S30" s="144">
        <f t="shared" si="67"/>
        <v>27544246</v>
      </c>
      <c r="T30" s="144">
        <f t="shared" si="67"/>
        <v>1182919346</v>
      </c>
      <c r="U30" s="144">
        <f t="shared" si="67"/>
        <v>1210463592</v>
      </c>
      <c r="V30" s="139">
        <f t="shared" si="67"/>
        <v>165843</v>
      </c>
      <c r="W30" s="143">
        <f t="shared" si="67"/>
        <v>7396732</v>
      </c>
      <c r="X30" s="144">
        <f t="shared" si="67"/>
        <v>126326519.49000001</v>
      </c>
      <c r="Y30" s="141">
        <f t="shared" si="67"/>
        <v>-20904505.599999998</v>
      </c>
      <c r="Z30" s="144">
        <f t="shared" si="67"/>
        <v>105422013.89000002</v>
      </c>
      <c r="AA30" s="139">
        <f t="shared" si="67"/>
        <v>105232</v>
      </c>
      <c r="AB30" s="143">
        <f t="shared" si="67"/>
        <v>3335877</v>
      </c>
      <c r="AC30" s="144">
        <f t="shared" si="67"/>
        <v>12128846.5</v>
      </c>
      <c r="AD30" s="144">
        <f t="shared" si="67"/>
        <v>-23425962.309999999</v>
      </c>
      <c r="AE30" s="144">
        <f t="shared" si="67"/>
        <v>-11297115.810000001</v>
      </c>
      <c r="AF30" s="227">
        <f t="shared" si="67"/>
        <v>483</v>
      </c>
      <c r="AG30" s="142">
        <f t="shared" si="67"/>
        <v>165999611.99000001</v>
      </c>
      <c r="AH30" s="228">
        <f t="shared" si="67"/>
        <v>1150893378.0900002</v>
      </c>
      <c r="AI30" s="228">
        <f t="shared" si="67"/>
        <v>1316892990.0799999</v>
      </c>
      <c r="AJ30" s="142">
        <f t="shared" si="67"/>
        <v>165999611.99000001</v>
      </c>
      <c r="AK30" s="142">
        <f t="shared" si="67"/>
        <v>1138588878.0900002</v>
      </c>
      <c r="AL30" s="142">
        <f t="shared" si="67"/>
        <v>1304588490.0799999</v>
      </c>
      <c r="AM30" s="148">
        <f t="shared" si="67"/>
        <v>7557</v>
      </c>
      <c r="AN30" s="149">
        <f t="shared" si="67"/>
        <v>1504338</v>
      </c>
      <c r="AO30" s="150">
        <f t="shared" si="67"/>
        <v>12304500</v>
      </c>
      <c r="AP30" s="142">
        <f t="shared" si="67"/>
        <v>110883961.17</v>
      </c>
      <c r="AQ30" s="142">
        <f t="shared" si="67"/>
        <v>983187651.44999969</v>
      </c>
      <c r="AR30" s="142">
        <f t="shared" si="67"/>
        <v>1094071612.6199999</v>
      </c>
      <c r="AS30" s="142">
        <f>IF(AI30= 0,0,(AR30*100/AI30))</f>
        <v>83.079765847454027</v>
      </c>
      <c r="AT30" s="142">
        <f>+AT31+AT66+AT193</f>
        <v>110883961.17</v>
      </c>
      <c r="AU30" s="151">
        <f>+AU31+AU66+AU193</f>
        <v>975281169.21999979</v>
      </c>
      <c r="AV30" s="142">
        <f>+AV31+AV66+AV193</f>
        <v>1086165130.3899999</v>
      </c>
      <c r="AW30" s="142"/>
      <c r="AX30" s="142">
        <f>IF(AL30= 0,0,(AV30*100/AL30))</f>
        <v>83.257298270613603</v>
      </c>
      <c r="AY30" s="150">
        <f t="shared" ref="AY30:BI30" si="68">+AY31+AY66+AY193</f>
        <v>7674802.1300000018</v>
      </c>
      <c r="AZ30" s="142">
        <f t="shared" si="68"/>
        <v>2090106.4300000002</v>
      </c>
      <c r="BA30" s="142">
        <f t="shared" si="68"/>
        <v>83257267.360000014</v>
      </c>
      <c r="BB30" s="142">
        <f t="shared" si="68"/>
        <v>85347373.790000007</v>
      </c>
      <c r="BC30" s="142">
        <f t="shared" si="68"/>
        <v>2090106.4300000002</v>
      </c>
      <c r="BD30" s="151">
        <f t="shared" si="68"/>
        <v>82964407.360000014</v>
      </c>
      <c r="BE30" s="142">
        <f t="shared" si="68"/>
        <v>85054513.790000007</v>
      </c>
      <c r="BF30" s="150">
        <f t="shared" si="68"/>
        <v>292860</v>
      </c>
      <c r="BG30" s="142">
        <f t="shared" si="68"/>
        <v>112974067.59999999</v>
      </c>
      <c r="BH30" s="142">
        <f t="shared" si="68"/>
        <v>1066444918.8099997</v>
      </c>
      <c r="BI30" s="142">
        <f t="shared" si="68"/>
        <v>1179418986.4099998</v>
      </c>
      <c r="BJ30" s="142">
        <f t="shared" si="3"/>
        <v>89.560730848628125</v>
      </c>
      <c r="BK30" s="229"/>
      <c r="BL30" s="229"/>
      <c r="BM30" s="230"/>
      <c r="BN30" s="230"/>
      <c r="BO30" s="154">
        <f t="shared" ref="BO30:BU30" si="69">+BO31+BO66+BO193</f>
        <v>53755650.819999993</v>
      </c>
      <c r="BP30" s="142">
        <f t="shared" si="69"/>
        <v>161239323.20999998</v>
      </c>
      <c r="BQ30" s="142">
        <f t="shared" si="69"/>
        <v>214994974.02999997</v>
      </c>
      <c r="BR30" s="142">
        <f t="shared" si="69"/>
        <v>53755650.819999993</v>
      </c>
      <c r="BS30" s="142">
        <f t="shared" si="69"/>
        <v>156841305.44</v>
      </c>
      <c r="BT30" s="142">
        <f t="shared" si="69"/>
        <v>210596956.25999999</v>
      </c>
      <c r="BU30" s="155">
        <f t="shared" si="69"/>
        <v>4398017.7699999996</v>
      </c>
      <c r="BV30" s="142"/>
      <c r="BW30" s="142"/>
      <c r="BX30" s="142">
        <f t="shared" si="17"/>
        <v>0</v>
      </c>
      <c r="BY30" s="141"/>
      <c r="BZ30" s="141"/>
      <c r="CA30" s="141"/>
      <c r="CB30" s="141"/>
      <c r="CC30" s="141"/>
      <c r="CD30" s="141"/>
      <c r="CE30" s="141"/>
      <c r="CF30" s="141"/>
      <c r="CG30" s="141"/>
      <c r="CH30" s="141"/>
      <c r="CI30" s="141"/>
      <c r="CJ30" s="141"/>
      <c r="CK30" s="156"/>
      <c r="CL30" s="156"/>
      <c r="CM30" s="157"/>
      <c r="CN30" s="231"/>
      <c r="CO30" s="231"/>
      <c r="CP30" s="232"/>
      <c r="CQ30" s="233"/>
      <c r="CR30" s="157"/>
      <c r="CS30" s="234"/>
      <c r="CT30" s="234"/>
      <c r="CU30" s="234"/>
      <c r="CV30" s="157"/>
      <c r="CW30" s="157"/>
      <c r="CX30" s="157"/>
      <c r="CY30" s="157"/>
      <c r="CZ30" s="157"/>
      <c r="DA30" s="157"/>
      <c r="DB30" s="157"/>
      <c r="DC30" s="235"/>
      <c r="DD30" s="235"/>
      <c r="DE30" s="235"/>
      <c r="DF30" s="157"/>
      <c r="DG30" s="157"/>
      <c r="DH30" s="157"/>
      <c r="DI30" s="157"/>
      <c r="DJ30" s="157"/>
      <c r="DK30" s="135"/>
      <c r="DT30" s="222"/>
    </row>
    <row r="31" spans="1:124" s="176" customFormat="1" x14ac:dyDescent="0.2">
      <c r="A31" s="158" t="s">
        <v>90</v>
      </c>
      <c r="B31" s="159" t="s">
        <v>167</v>
      </c>
      <c r="C31" s="160">
        <f>+C32</f>
        <v>33</v>
      </c>
      <c r="D31" s="161">
        <f>+D32</f>
        <v>359505000</v>
      </c>
      <c r="E31" s="160"/>
      <c r="F31" s="160"/>
      <c r="G31" s="160"/>
      <c r="H31" s="160">
        <f>+H32</f>
        <v>33</v>
      </c>
      <c r="I31" s="161">
        <f>+I32</f>
        <v>60080426</v>
      </c>
      <c r="J31" s="161">
        <f t="shared" ref="J31:AE31" si="70">+J32</f>
        <v>299424574</v>
      </c>
      <c r="K31" s="161">
        <f t="shared" si="70"/>
        <v>359505000</v>
      </c>
      <c r="L31" s="161">
        <f t="shared" si="70"/>
        <v>60080426</v>
      </c>
      <c r="M31" s="161">
        <f t="shared" si="70"/>
        <v>299424574</v>
      </c>
      <c r="N31" s="161">
        <f t="shared" si="70"/>
        <v>359505000</v>
      </c>
      <c r="O31" s="161">
        <f t="shared" si="70"/>
        <v>0</v>
      </c>
      <c r="P31" s="162">
        <f t="shared" si="70"/>
        <v>0</v>
      </c>
      <c r="Q31" s="160">
        <f t="shared" si="70"/>
        <v>652</v>
      </c>
      <c r="R31" s="163">
        <f t="shared" si="70"/>
        <v>1503678</v>
      </c>
      <c r="S31" s="164">
        <f t="shared" si="70"/>
        <v>0</v>
      </c>
      <c r="T31" s="164">
        <f t="shared" si="70"/>
        <v>299373747</v>
      </c>
      <c r="U31" s="164">
        <f t="shared" si="70"/>
        <v>299373747</v>
      </c>
      <c r="V31" s="160">
        <f t="shared" si="70"/>
        <v>9496</v>
      </c>
      <c r="W31" s="163">
        <f t="shared" si="70"/>
        <v>1413362</v>
      </c>
      <c r="X31" s="164">
        <f t="shared" si="70"/>
        <v>58012839</v>
      </c>
      <c r="Y31" s="161">
        <f t="shared" si="70"/>
        <v>-9118923.0899999999</v>
      </c>
      <c r="Z31" s="164">
        <f t="shared" si="70"/>
        <v>48893915.909999996</v>
      </c>
      <c r="AA31" s="160">
        <f t="shared" si="70"/>
        <v>32001</v>
      </c>
      <c r="AB31" s="163">
        <f t="shared" si="70"/>
        <v>1142138</v>
      </c>
      <c r="AC31" s="164">
        <f t="shared" si="70"/>
        <v>519100.5</v>
      </c>
      <c r="AD31" s="164">
        <f t="shared" si="70"/>
        <v>-14591791.059999999</v>
      </c>
      <c r="AE31" s="164">
        <f t="shared" si="70"/>
        <v>-14072690.560000001</v>
      </c>
      <c r="AF31" s="165">
        <f>+AF32</f>
        <v>33</v>
      </c>
      <c r="AG31" s="162">
        <f>+AG32</f>
        <v>58531939.5</v>
      </c>
      <c r="AH31" s="166">
        <f t="shared" ref="AH31:AR31" si="71">+AH32</f>
        <v>284127032.85000002</v>
      </c>
      <c r="AI31" s="166">
        <f t="shared" si="71"/>
        <v>342658972.35000002</v>
      </c>
      <c r="AJ31" s="162">
        <f t="shared" si="71"/>
        <v>58531939.5</v>
      </c>
      <c r="AK31" s="162">
        <f t="shared" si="71"/>
        <v>275663032.85000002</v>
      </c>
      <c r="AL31" s="162">
        <f t="shared" si="71"/>
        <v>334194972.35000002</v>
      </c>
      <c r="AM31" s="167">
        <f t="shared" si="71"/>
        <v>5267</v>
      </c>
      <c r="AN31" s="168">
        <f t="shared" si="71"/>
        <v>1048478</v>
      </c>
      <c r="AO31" s="169">
        <f t="shared" si="71"/>
        <v>8464000</v>
      </c>
      <c r="AP31" s="162">
        <f t="shared" si="71"/>
        <v>55872209.560000002</v>
      </c>
      <c r="AQ31" s="162">
        <f t="shared" si="71"/>
        <v>235738295.78</v>
      </c>
      <c r="AR31" s="162">
        <f t="shared" si="71"/>
        <v>291610505.34000003</v>
      </c>
      <c r="AS31" s="162">
        <f>IF(AI31= 0,0,(AR31*100/AI31))</f>
        <v>85.102252930981805</v>
      </c>
      <c r="AT31" s="162">
        <f t="shared" ref="AT31:AV31" si="72">+AT32</f>
        <v>55872209.560000002</v>
      </c>
      <c r="AU31" s="170">
        <f t="shared" si="72"/>
        <v>230184164.72000003</v>
      </c>
      <c r="AV31" s="162">
        <f t="shared" si="72"/>
        <v>286056374.28000003</v>
      </c>
      <c r="AW31" s="162"/>
      <c r="AX31" s="162">
        <f>IF(AL31= 0,0,(AV31*100/AL31))</f>
        <v>85.59565461697467</v>
      </c>
      <c r="AY31" s="169">
        <f>+AY32</f>
        <v>5322450.9600000009</v>
      </c>
      <c r="AZ31" s="162">
        <f t="shared" ref="AZ31:BE31" si="73">+AZ32</f>
        <v>174839.5</v>
      </c>
      <c r="BA31" s="162">
        <f t="shared" si="73"/>
        <v>16225489.690000001</v>
      </c>
      <c r="BB31" s="162">
        <f t="shared" si="73"/>
        <v>16400329.190000001</v>
      </c>
      <c r="BC31" s="162">
        <f t="shared" si="73"/>
        <v>174839.5</v>
      </c>
      <c r="BD31" s="170">
        <f t="shared" si="73"/>
        <v>15932629.690000001</v>
      </c>
      <c r="BE31" s="162">
        <f t="shared" si="73"/>
        <v>16107469.190000001</v>
      </c>
      <c r="BF31" s="169">
        <f>+BF32</f>
        <v>292860</v>
      </c>
      <c r="BG31" s="162">
        <f t="shared" ref="BG31:BI31" si="74">+BG32</f>
        <v>56047049.060000002</v>
      </c>
      <c r="BH31" s="162">
        <f t="shared" si="74"/>
        <v>251963785.46999997</v>
      </c>
      <c r="BI31" s="162">
        <f t="shared" si="74"/>
        <v>308010834.53000003</v>
      </c>
      <c r="BJ31" s="162">
        <f t="shared" si="3"/>
        <v>89.888448686348838</v>
      </c>
      <c r="BK31" s="171"/>
      <c r="BL31" s="171"/>
      <c r="BM31" s="236"/>
      <c r="BN31" s="236"/>
      <c r="BO31" s="173">
        <f>+BO32</f>
        <v>2659729.9399999995</v>
      </c>
      <c r="BP31" s="162">
        <f t="shared" ref="BP31:BU31" si="75">+BP32</f>
        <v>48388737.069999993</v>
      </c>
      <c r="BQ31" s="162">
        <f t="shared" si="75"/>
        <v>51048467.00999999</v>
      </c>
      <c r="BR31" s="162">
        <f t="shared" si="75"/>
        <v>2659729.9399999995</v>
      </c>
      <c r="BS31" s="162">
        <f t="shared" si="75"/>
        <v>45478868.129999995</v>
      </c>
      <c r="BT31" s="162">
        <f t="shared" si="75"/>
        <v>48138598.069999993</v>
      </c>
      <c r="BU31" s="174">
        <f t="shared" si="75"/>
        <v>2909868.94</v>
      </c>
      <c r="BV31" s="162"/>
      <c r="BW31" s="162"/>
      <c r="BX31" s="162">
        <f t="shared" si="17"/>
        <v>0</v>
      </c>
      <c r="BY31" s="161"/>
      <c r="BZ31" s="161"/>
      <c r="CA31" s="161"/>
      <c r="CB31" s="161"/>
      <c r="CC31" s="161"/>
      <c r="CD31" s="161"/>
      <c r="CE31" s="161"/>
      <c r="CF31" s="161"/>
      <c r="CG31" s="161"/>
      <c r="CH31" s="161"/>
      <c r="CI31" s="161"/>
      <c r="CJ31" s="161"/>
      <c r="CK31" s="175"/>
      <c r="CL31" s="175"/>
      <c r="CM31" s="148"/>
      <c r="CN31" s="237"/>
      <c r="CO31" s="237"/>
      <c r="CP31" s="238"/>
      <c r="CQ31" s="239"/>
      <c r="CR31" s="148"/>
      <c r="CS31" s="240"/>
      <c r="CT31" s="240"/>
      <c r="CU31" s="240"/>
      <c r="CV31" s="148"/>
      <c r="CW31" s="148"/>
      <c r="CX31" s="148"/>
      <c r="CY31" s="148"/>
      <c r="CZ31" s="148"/>
      <c r="DA31" s="148"/>
      <c r="DB31" s="148"/>
      <c r="DC31" s="241"/>
      <c r="DD31" s="241"/>
      <c r="DE31" s="241"/>
      <c r="DF31" s="148"/>
      <c r="DG31" s="148"/>
      <c r="DH31" s="148"/>
      <c r="DI31" s="148"/>
      <c r="DJ31" s="148"/>
      <c r="DK31" s="135"/>
      <c r="DT31" s="222"/>
    </row>
    <row r="32" spans="1:124" s="194" customFormat="1" x14ac:dyDescent="0.2">
      <c r="A32" s="177" t="s">
        <v>90</v>
      </c>
      <c r="B32" s="179" t="s">
        <v>168</v>
      </c>
      <c r="C32" s="180">
        <f>SUBTOTAL(103,C33:C65)</f>
        <v>33</v>
      </c>
      <c r="D32" s="181">
        <f>SUBTOTAL(109,D33:D65)</f>
        <v>359505000</v>
      </c>
      <c r="E32" s="182"/>
      <c r="F32" s="182"/>
      <c r="G32" s="182"/>
      <c r="H32" s="180">
        <f>SUBTOTAL(103,H33:H65)</f>
        <v>33</v>
      </c>
      <c r="I32" s="181">
        <f t="shared" ref="I32:AE32" si="76">SUBTOTAL(109,I33:I65)</f>
        <v>60080426</v>
      </c>
      <c r="J32" s="181">
        <f t="shared" si="76"/>
        <v>299424574</v>
      </c>
      <c r="K32" s="181">
        <f t="shared" si="76"/>
        <v>359505000</v>
      </c>
      <c r="L32" s="181">
        <f t="shared" si="76"/>
        <v>60080426</v>
      </c>
      <c r="M32" s="181">
        <f t="shared" si="76"/>
        <v>299424574</v>
      </c>
      <c r="N32" s="181">
        <f t="shared" si="76"/>
        <v>359505000</v>
      </c>
      <c r="O32" s="181">
        <f t="shared" si="76"/>
        <v>0</v>
      </c>
      <c r="P32" s="183">
        <f t="shared" si="76"/>
        <v>0</v>
      </c>
      <c r="Q32" s="182">
        <f t="shared" si="76"/>
        <v>652</v>
      </c>
      <c r="R32" s="185">
        <f t="shared" si="76"/>
        <v>1503678</v>
      </c>
      <c r="S32" s="184">
        <f t="shared" si="76"/>
        <v>0</v>
      </c>
      <c r="T32" s="184">
        <f t="shared" si="76"/>
        <v>299373747</v>
      </c>
      <c r="U32" s="184">
        <f t="shared" si="76"/>
        <v>299373747</v>
      </c>
      <c r="V32" s="180">
        <f t="shared" si="76"/>
        <v>9496</v>
      </c>
      <c r="W32" s="185">
        <f t="shared" si="76"/>
        <v>1413362</v>
      </c>
      <c r="X32" s="184">
        <f t="shared" si="76"/>
        <v>58012839</v>
      </c>
      <c r="Y32" s="181">
        <f t="shared" si="76"/>
        <v>-9118923.0899999999</v>
      </c>
      <c r="Z32" s="184">
        <f t="shared" si="76"/>
        <v>48893915.909999996</v>
      </c>
      <c r="AA32" s="182">
        <f t="shared" si="76"/>
        <v>32001</v>
      </c>
      <c r="AB32" s="185">
        <f t="shared" si="76"/>
        <v>1142138</v>
      </c>
      <c r="AC32" s="184">
        <f t="shared" si="76"/>
        <v>519100.5</v>
      </c>
      <c r="AD32" s="184">
        <f t="shared" si="76"/>
        <v>-14591791.059999999</v>
      </c>
      <c r="AE32" s="184">
        <f t="shared" si="76"/>
        <v>-14072690.560000001</v>
      </c>
      <c r="AF32" s="180">
        <f>SUBTOTAL(103,Q33:Q65)</f>
        <v>33</v>
      </c>
      <c r="AG32" s="183">
        <f t="shared" ref="AG32:AR32" si="77">SUBTOTAL(109,AG33:AG65)</f>
        <v>58531939.5</v>
      </c>
      <c r="AH32" s="184">
        <f t="shared" si="77"/>
        <v>284127032.85000002</v>
      </c>
      <c r="AI32" s="184">
        <f t="shared" si="77"/>
        <v>342658972.35000002</v>
      </c>
      <c r="AJ32" s="183">
        <f t="shared" si="77"/>
        <v>58531939.5</v>
      </c>
      <c r="AK32" s="183">
        <f t="shared" si="77"/>
        <v>275663032.85000002</v>
      </c>
      <c r="AL32" s="183">
        <f t="shared" si="77"/>
        <v>334194972.35000002</v>
      </c>
      <c r="AM32" s="182">
        <f t="shared" si="77"/>
        <v>5267</v>
      </c>
      <c r="AN32" s="185">
        <f t="shared" si="77"/>
        <v>1048478</v>
      </c>
      <c r="AO32" s="186">
        <f t="shared" si="77"/>
        <v>8464000</v>
      </c>
      <c r="AP32" s="183">
        <f t="shared" si="77"/>
        <v>55872209.560000002</v>
      </c>
      <c r="AQ32" s="183">
        <f t="shared" si="77"/>
        <v>235738295.78</v>
      </c>
      <c r="AR32" s="183">
        <f t="shared" si="77"/>
        <v>291610505.34000003</v>
      </c>
      <c r="AS32" s="183">
        <f>IF(AI32= 0,0,(AR32*100/AI32))</f>
        <v>85.102252930981805</v>
      </c>
      <c r="AT32" s="183">
        <f>SUBTOTAL(109,AT33:AT65)</f>
        <v>55872209.560000002</v>
      </c>
      <c r="AU32" s="187">
        <f>SUBTOTAL(109,AU33:AU65)</f>
        <v>230184164.72000003</v>
      </c>
      <c r="AV32" s="183">
        <f>SUBTOTAL(109,AV33:AV65)</f>
        <v>286056374.28000003</v>
      </c>
      <c r="AW32" s="183"/>
      <c r="AX32" s="183">
        <f>IF(AL32= 0,0,(AV32*100/AL32))</f>
        <v>85.59565461697467</v>
      </c>
      <c r="AY32" s="186">
        <f t="shared" ref="AY32:BI32" si="78">SUBTOTAL(109,AY33:AY65)</f>
        <v>5322450.9600000009</v>
      </c>
      <c r="AZ32" s="183">
        <f t="shared" si="78"/>
        <v>174839.5</v>
      </c>
      <c r="BA32" s="183">
        <f t="shared" si="78"/>
        <v>16225489.690000001</v>
      </c>
      <c r="BB32" s="183">
        <f t="shared" si="78"/>
        <v>16400329.190000001</v>
      </c>
      <c r="BC32" s="183">
        <f t="shared" si="78"/>
        <v>174839.5</v>
      </c>
      <c r="BD32" s="187">
        <f t="shared" si="78"/>
        <v>15932629.690000001</v>
      </c>
      <c r="BE32" s="183">
        <f t="shared" si="78"/>
        <v>16107469.190000001</v>
      </c>
      <c r="BF32" s="186">
        <f t="shared" si="78"/>
        <v>292860</v>
      </c>
      <c r="BG32" s="183">
        <f t="shared" si="78"/>
        <v>56047049.060000002</v>
      </c>
      <c r="BH32" s="183">
        <f t="shared" si="78"/>
        <v>251963785.46999997</v>
      </c>
      <c r="BI32" s="183">
        <f t="shared" si="78"/>
        <v>308010834.53000003</v>
      </c>
      <c r="BJ32" s="183">
        <f t="shared" si="3"/>
        <v>89.888448686348838</v>
      </c>
      <c r="BK32" s="188"/>
      <c r="BL32" s="188"/>
      <c r="BM32" s="189"/>
      <c r="BN32" s="189"/>
      <c r="BO32" s="190">
        <f t="shared" ref="BO32:BU32" si="79">SUBTOTAL(109,BO33:BO65)</f>
        <v>2659729.9399999995</v>
      </c>
      <c r="BP32" s="183">
        <f t="shared" si="79"/>
        <v>48388737.069999993</v>
      </c>
      <c r="BQ32" s="183">
        <f t="shared" si="79"/>
        <v>51048467.00999999</v>
      </c>
      <c r="BR32" s="183">
        <f t="shared" si="79"/>
        <v>2659729.9399999995</v>
      </c>
      <c r="BS32" s="183">
        <f t="shared" si="79"/>
        <v>45478868.129999995</v>
      </c>
      <c r="BT32" s="183">
        <f t="shared" si="79"/>
        <v>48138598.069999993</v>
      </c>
      <c r="BU32" s="191">
        <f t="shared" si="79"/>
        <v>2909868.94</v>
      </c>
      <c r="BV32" s="183"/>
      <c r="BW32" s="183"/>
      <c r="BX32" s="183">
        <f t="shared" si="17"/>
        <v>0</v>
      </c>
      <c r="BY32" s="181"/>
      <c r="BZ32" s="181"/>
      <c r="CA32" s="181"/>
      <c r="CB32" s="181"/>
      <c r="CC32" s="181"/>
      <c r="CD32" s="181"/>
      <c r="CE32" s="181"/>
      <c r="CF32" s="181"/>
      <c r="CG32" s="181"/>
      <c r="CH32" s="181"/>
      <c r="CI32" s="181"/>
      <c r="CJ32" s="181"/>
      <c r="CK32" s="192"/>
      <c r="CL32" s="192"/>
      <c r="CM32" s="193"/>
      <c r="CN32" s="242"/>
      <c r="CO32" s="242"/>
      <c r="CP32" s="243"/>
      <c r="CQ32" s="244"/>
      <c r="CR32" s="193"/>
      <c r="CS32" s="245"/>
      <c r="CT32" s="245"/>
      <c r="CU32" s="245"/>
      <c r="CV32" s="193"/>
      <c r="CW32" s="193"/>
      <c r="CX32" s="193"/>
      <c r="CY32" s="193"/>
      <c r="CZ32" s="193"/>
      <c r="DA32" s="193"/>
      <c r="DB32" s="193"/>
      <c r="DC32" s="246"/>
      <c r="DD32" s="246"/>
      <c r="DE32" s="246"/>
      <c r="DF32" s="193"/>
      <c r="DG32" s="193"/>
      <c r="DH32" s="193"/>
      <c r="DI32" s="193"/>
      <c r="DJ32" s="193"/>
      <c r="DK32" s="135"/>
      <c r="DT32" s="222"/>
    </row>
    <row r="33" spans="1:124" s="176" customFormat="1" ht="42" x14ac:dyDescent="0.2">
      <c r="A33" s="195" t="s">
        <v>94</v>
      </c>
      <c r="B33" s="197" t="s">
        <v>169</v>
      </c>
      <c r="C33" s="198">
        <v>1</v>
      </c>
      <c r="D33" s="199">
        <v>802000</v>
      </c>
      <c r="E33" s="198" t="s">
        <v>134</v>
      </c>
      <c r="F33" s="198" t="s">
        <v>97</v>
      </c>
      <c r="G33" s="198" t="s">
        <v>98</v>
      </c>
      <c r="H33" s="200">
        <v>1</v>
      </c>
      <c r="I33" s="199">
        <f t="shared" ref="I33:I65" si="80">+L33</f>
        <v>0</v>
      </c>
      <c r="J33" s="199">
        <f t="shared" ref="J33:J65" si="81">+O33+M33+P33</f>
        <v>802000</v>
      </c>
      <c r="K33" s="199">
        <f t="shared" ref="K33:K65" si="82">I33+J33</f>
        <v>802000</v>
      </c>
      <c r="L33" s="199">
        <v>0</v>
      </c>
      <c r="M33" s="199">
        <v>802000</v>
      </c>
      <c r="N33" s="199">
        <f t="shared" ref="N33:N65" si="83">L33+M33</f>
        <v>802000</v>
      </c>
      <c r="O33" s="199"/>
      <c r="P33" s="201">
        <v>0</v>
      </c>
      <c r="Q33" s="202">
        <v>20</v>
      </c>
      <c r="R33" s="203">
        <v>45566</v>
      </c>
      <c r="S33" s="204"/>
      <c r="T33" s="204">
        <v>802000</v>
      </c>
      <c r="U33" s="204">
        <f t="shared" ref="U33:U65" si="84">S33+T33</f>
        <v>802000</v>
      </c>
      <c r="V33" s="205"/>
      <c r="W33" s="200"/>
      <c r="X33" s="201"/>
      <c r="Y33" s="201"/>
      <c r="Z33" s="201">
        <f t="shared" ref="Z33:Z65" si="85">X33+Y33</f>
        <v>0</v>
      </c>
      <c r="AA33" s="198"/>
      <c r="AB33" s="206"/>
      <c r="AC33" s="207"/>
      <c r="AD33" s="201"/>
      <c r="AE33" s="204">
        <f t="shared" ref="AE33:AE65" si="86">AC33+AD33</f>
        <v>0</v>
      </c>
      <c r="AF33" s="203">
        <f t="shared" ref="AF33:AF65" si="87">+R33</f>
        <v>45566</v>
      </c>
      <c r="AG33" s="201">
        <f t="shared" ref="AG33:AG65" si="88">+AJ33</f>
        <v>0</v>
      </c>
      <c r="AH33" s="204">
        <f t="shared" ref="AH33:AH65" si="89">+AK33+AO33</f>
        <v>802000</v>
      </c>
      <c r="AI33" s="204">
        <f t="shared" ref="AI33:AI65" si="90">AG33+AH33</f>
        <v>802000</v>
      </c>
      <c r="AJ33" s="201">
        <f t="shared" ref="AJ33:AK48" si="91">+S33+X33+AC33</f>
        <v>0</v>
      </c>
      <c r="AK33" s="201">
        <f t="shared" si="91"/>
        <v>802000</v>
      </c>
      <c r="AL33" s="201">
        <f t="shared" ref="AL33:AL65" si="92">SUM(AJ33:AK33)</f>
        <v>802000</v>
      </c>
      <c r="AM33" s="202"/>
      <c r="AN33" s="203"/>
      <c r="AO33" s="208"/>
      <c r="AP33" s="201">
        <f t="shared" ref="AP33:AP65" si="93">+AT33</f>
        <v>0</v>
      </c>
      <c r="AQ33" s="201">
        <f t="shared" ref="AQ33:AQ65" si="94">+AU33+AY33</f>
        <v>389616.97</v>
      </c>
      <c r="AR33" s="201">
        <f t="shared" ref="AR33:AR65" si="95">SUM(AP33:AQ33)</f>
        <v>389616.97</v>
      </c>
      <c r="AS33" s="201">
        <f t="shared" ref="AS33:AS65" si="96">IF(AI33= 0,0,(AR33*100/AI33))</f>
        <v>48.580669576059847</v>
      </c>
      <c r="AT33" s="201"/>
      <c r="AU33" s="209">
        <v>389616.97</v>
      </c>
      <c r="AV33" s="201">
        <f t="shared" ref="AV33:AV65" si="97">SUM(AT33:AU33)</f>
        <v>389616.97</v>
      </c>
      <c r="AW33" s="201">
        <f>+CF33*100/AL33</f>
        <v>0</v>
      </c>
      <c r="AX33" s="201">
        <f t="shared" ref="AX33:AX65" si="98">IF(AL33= 0,0,(AV33*100/AL33))</f>
        <v>48.580669576059847</v>
      </c>
      <c r="AY33" s="208"/>
      <c r="AZ33" s="201">
        <f t="shared" ref="AZ33:AZ65" si="99">+BC33</f>
        <v>0</v>
      </c>
      <c r="BA33" s="201">
        <f t="shared" ref="BA33:BA65" si="100">+BD33+BF33</f>
        <v>392000</v>
      </c>
      <c r="BB33" s="201">
        <f t="shared" ref="BB33:BB65" si="101">SUM(AZ33:BA33)</f>
        <v>392000</v>
      </c>
      <c r="BC33" s="201"/>
      <c r="BD33" s="209">
        <v>392000</v>
      </c>
      <c r="BE33" s="201">
        <f t="shared" ref="BE33:BE65" si="102">SUM(BC33:BD33)</f>
        <v>392000</v>
      </c>
      <c r="BF33" s="208"/>
      <c r="BG33" s="201">
        <f t="shared" ref="BG33:BH48" si="103">+AP33+AZ33</f>
        <v>0</v>
      </c>
      <c r="BH33" s="201">
        <f t="shared" si="103"/>
        <v>781616.97</v>
      </c>
      <c r="BI33" s="201">
        <f t="shared" ref="BI33:BI65" si="104">SUM(BG33:BH33)</f>
        <v>781616.97</v>
      </c>
      <c r="BJ33" s="201">
        <f t="shared" si="3"/>
        <v>97.458475062344135</v>
      </c>
      <c r="BK33" s="210">
        <v>30</v>
      </c>
      <c r="BL33" s="210">
        <v>45</v>
      </c>
      <c r="BM33" s="211"/>
      <c r="BN33" s="211"/>
      <c r="BO33" s="212">
        <f t="shared" ref="BO33:BO65" si="105">+BR33</f>
        <v>0</v>
      </c>
      <c r="BP33" s="201">
        <f t="shared" ref="BP33:BP65" si="106">+BS33+BU33</f>
        <v>412383.03</v>
      </c>
      <c r="BQ33" s="201">
        <f t="shared" ref="BQ33" si="107">SUM(BO33:BP33)</f>
        <v>412383.03</v>
      </c>
      <c r="BR33" s="201">
        <f>+AJ33-AT33</f>
        <v>0</v>
      </c>
      <c r="BS33" s="201">
        <f>+AK33-AU33</f>
        <v>412383.03</v>
      </c>
      <c r="BT33" s="201">
        <f t="shared" ref="BT33" si="108">SUM(BR33:BS33)</f>
        <v>412383.03</v>
      </c>
      <c r="BU33" s="213">
        <f>+AO33-AY33</f>
        <v>0</v>
      </c>
      <c r="BV33" s="201"/>
      <c r="BW33" s="201"/>
      <c r="BX33" s="201">
        <f t="shared" ref="BX33" si="109">SUM(BV33:BW33)</f>
        <v>0</v>
      </c>
      <c r="BY33" s="199">
        <v>0</v>
      </c>
      <c r="BZ33" s="199">
        <v>0</v>
      </c>
      <c r="CA33" s="199">
        <v>0</v>
      </c>
      <c r="CB33" s="199">
        <v>267300</v>
      </c>
      <c r="CC33" s="199">
        <v>267300</v>
      </c>
      <c r="CD33" s="199">
        <v>267400</v>
      </c>
      <c r="CE33" s="199">
        <v>0</v>
      </c>
      <c r="CF33" s="199">
        <v>0</v>
      </c>
      <c r="CG33" s="199">
        <v>0</v>
      </c>
      <c r="CH33" s="199">
        <v>0</v>
      </c>
      <c r="CI33" s="199">
        <v>0</v>
      </c>
      <c r="CJ33" s="199">
        <v>0</v>
      </c>
      <c r="CK33" s="214" t="s">
        <v>170</v>
      </c>
      <c r="CL33" s="214" t="s">
        <v>171</v>
      </c>
      <c r="CM33" s="211">
        <v>182</v>
      </c>
      <c r="CN33" s="215"/>
      <c r="CO33" s="215">
        <v>2000</v>
      </c>
      <c r="CP33" s="216"/>
      <c r="CQ33" s="217"/>
      <c r="CR33" s="211"/>
      <c r="CS33" s="218"/>
      <c r="CT33" s="218"/>
      <c r="CU33" s="218"/>
      <c r="CV33" s="211"/>
      <c r="CW33" s="211"/>
      <c r="CX33" s="211"/>
      <c r="CY33" s="211"/>
      <c r="CZ33" s="211"/>
      <c r="DA33" s="211"/>
      <c r="DB33" s="211"/>
      <c r="DC33" s="219"/>
      <c r="DD33" s="219"/>
      <c r="DE33" s="219"/>
      <c r="DF33" s="211"/>
      <c r="DG33" s="211"/>
      <c r="DH33" s="211"/>
      <c r="DI33" s="211"/>
      <c r="DJ33" s="211"/>
      <c r="DK33" s="220" t="s">
        <v>32</v>
      </c>
      <c r="DT33" s="222"/>
    </row>
    <row r="34" spans="1:124" s="176" customFormat="1" ht="42" x14ac:dyDescent="0.2">
      <c r="A34" s="195" t="s">
        <v>94</v>
      </c>
      <c r="B34" s="197" t="s">
        <v>172</v>
      </c>
      <c r="C34" s="198">
        <v>1</v>
      </c>
      <c r="D34" s="199">
        <v>3500000</v>
      </c>
      <c r="E34" s="198" t="s">
        <v>173</v>
      </c>
      <c r="F34" s="198" t="s">
        <v>97</v>
      </c>
      <c r="G34" s="198" t="s">
        <v>98</v>
      </c>
      <c r="H34" s="200">
        <v>1</v>
      </c>
      <c r="I34" s="199">
        <f t="shared" si="80"/>
        <v>0</v>
      </c>
      <c r="J34" s="199">
        <f t="shared" si="81"/>
        <v>3500000</v>
      </c>
      <c r="K34" s="199">
        <f t="shared" si="82"/>
        <v>3500000</v>
      </c>
      <c r="L34" s="199">
        <v>0</v>
      </c>
      <c r="M34" s="199">
        <v>3500000</v>
      </c>
      <c r="N34" s="199">
        <f t="shared" si="83"/>
        <v>3500000</v>
      </c>
      <c r="O34" s="199"/>
      <c r="P34" s="201">
        <v>0</v>
      </c>
      <c r="Q34" s="202">
        <v>20</v>
      </c>
      <c r="R34" s="203">
        <v>45566</v>
      </c>
      <c r="S34" s="204"/>
      <c r="T34" s="204">
        <v>3500000</v>
      </c>
      <c r="U34" s="204">
        <f t="shared" si="84"/>
        <v>3500000</v>
      </c>
      <c r="V34" s="205">
        <v>228</v>
      </c>
      <c r="W34" s="200">
        <v>45586</v>
      </c>
      <c r="X34" s="201"/>
      <c r="Y34" s="201">
        <v>-121700</v>
      </c>
      <c r="Z34" s="201">
        <f t="shared" si="85"/>
        <v>-121700</v>
      </c>
      <c r="AA34" s="198"/>
      <c r="AB34" s="206"/>
      <c r="AC34" s="207"/>
      <c r="AD34" s="201"/>
      <c r="AE34" s="204">
        <f t="shared" si="86"/>
        <v>0</v>
      </c>
      <c r="AF34" s="203">
        <f t="shared" si="87"/>
        <v>45566</v>
      </c>
      <c r="AG34" s="201">
        <f t="shared" si="88"/>
        <v>0</v>
      </c>
      <c r="AH34" s="204">
        <f t="shared" si="89"/>
        <v>3500000</v>
      </c>
      <c r="AI34" s="204">
        <f t="shared" si="90"/>
        <v>3500000</v>
      </c>
      <c r="AJ34" s="201">
        <f t="shared" si="91"/>
        <v>0</v>
      </c>
      <c r="AK34" s="201">
        <f t="shared" si="91"/>
        <v>3378300</v>
      </c>
      <c r="AL34" s="201">
        <f t="shared" si="92"/>
        <v>3378300</v>
      </c>
      <c r="AM34" s="205">
        <v>229</v>
      </c>
      <c r="AN34" s="200">
        <v>45586</v>
      </c>
      <c r="AO34" s="208">
        <v>121700</v>
      </c>
      <c r="AP34" s="201">
        <f t="shared" si="93"/>
        <v>0</v>
      </c>
      <c r="AQ34" s="201">
        <f t="shared" si="94"/>
        <v>3477336.95</v>
      </c>
      <c r="AR34" s="201">
        <f t="shared" si="95"/>
        <v>3477336.95</v>
      </c>
      <c r="AS34" s="201">
        <f t="shared" si="96"/>
        <v>99.352484285714283</v>
      </c>
      <c r="AT34" s="201"/>
      <c r="AU34" s="209">
        <v>3356943.5</v>
      </c>
      <c r="AV34" s="201">
        <f t="shared" si="97"/>
        <v>3356943.5</v>
      </c>
      <c r="AW34" s="201">
        <f t="shared" ref="AW34:AW65" si="110">+CF34*100/AL34</f>
        <v>0</v>
      </c>
      <c r="AX34" s="201">
        <f t="shared" si="98"/>
        <v>99.36783293372406</v>
      </c>
      <c r="AY34" s="208">
        <v>120393.45</v>
      </c>
      <c r="AZ34" s="201">
        <f t="shared" si="99"/>
        <v>0</v>
      </c>
      <c r="BA34" s="201">
        <f t="shared" si="100"/>
        <v>0</v>
      </c>
      <c r="BB34" s="201">
        <f t="shared" si="101"/>
        <v>0</v>
      </c>
      <c r="BC34" s="201"/>
      <c r="BD34" s="209">
        <v>0</v>
      </c>
      <c r="BE34" s="201">
        <f t="shared" si="102"/>
        <v>0</v>
      </c>
      <c r="BF34" s="208"/>
      <c r="BG34" s="201">
        <f t="shared" si="103"/>
        <v>0</v>
      </c>
      <c r="BH34" s="201">
        <f t="shared" si="103"/>
        <v>3477336.95</v>
      </c>
      <c r="BI34" s="201">
        <f t="shared" si="104"/>
        <v>3477336.95</v>
      </c>
      <c r="BJ34" s="201">
        <f t="shared" si="3"/>
        <v>99.352484285714283</v>
      </c>
      <c r="BK34" s="210">
        <v>10</v>
      </c>
      <c r="BL34" s="210">
        <v>90</v>
      </c>
      <c r="BM34" s="211"/>
      <c r="BN34" s="211"/>
      <c r="BO34" s="212">
        <f t="shared" si="105"/>
        <v>0</v>
      </c>
      <c r="BP34" s="201">
        <f t="shared" si="106"/>
        <v>22663.050000000003</v>
      </c>
      <c r="BQ34" s="201">
        <f t="shared" ref="BQ34:BQ65" si="111">SUM(BO34:BP34)</f>
        <v>22663.050000000003</v>
      </c>
      <c r="BR34" s="201">
        <f t="shared" ref="BR34:BS65" si="112">+AJ34-AT34</f>
        <v>0</v>
      </c>
      <c r="BS34" s="201">
        <f t="shared" si="112"/>
        <v>21356.5</v>
      </c>
      <c r="BT34" s="201">
        <f t="shared" ref="BT34:BT65" si="113">SUM(BR34:BS34)</f>
        <v>21356.5</v>
      </c>
      <c r="BU34" s="213">
        <f t="shared" ref="BU34:BU65" si="114">+AO34-AY34</f>
        <v>1306.5500000000029</v>
      </c>
      <c r="BV34" s="201">
        <v>121700</v>
      </c>
      <c r="BW34" s="201"/>
      <c r="BX34" s="201">
        <f t="shared" ref="BX34:BX65" si="115">SUM(BV34:BW34)</f>
        <v>121700</v>
      </c>
      <c r="BY34" s="199">
        <v>600000</v>
      </c>
      <c r="BZ34" s="199">
        <v>580000</v>
      </c>
      <c r="CA34" s="199">
        <v>580000</v>
      </c>
      <c r="CB34" s="199">
        <v>580000</v>
      </c>
      <c r="CC34" s="199">
        <v>580000</v>
      </c>
      <c r="CD34" s="199">
        <v>580000</v>
      </c>
      <c r="CE34" s="199">
        <v>0</v>
      </c>
      <c r="CF34" s="199">
        <v>0</v>
      </c>
      <c r="CG34" s="199">
        <v>0</v>
      </c>
      <c r="CH34" s="199">
        <v>0</v>
      </c>
      <c r="CI34" s="199">
        <v>0</v>
      </c>
      <c r="CJ34" s="199">
        <v>0</v>
      </c>
      <c r="CK34" s="214" t="s">
        <v>174</v>
      </c>
      <c r="CL34" s="214" t="s">
        <v>171</v>
      </c>
      <c r="CM34" s="211">
        <v>182</v>
      </c>
      <c r="CN34" s="215"/>
      <c r="CO34" s="215">
        <v>500</v>
      </c>
      <c r="CP34" s="216">
        <v>115</v>
      </c>
      <c r="CQ34" s="217"/>
      <c r="CR34" s="211"/>
      <c r="CS34" s="218"/>
      <c r="CT34" s="218"/>
      <c r="CU34" s="218"/>
      <c r="CV34" s="211"/>
      <c r="CW34" s="211"/>
      <c r="CX34" s="211"/>
      <c r="CY34" s="211"/>
      <c r="CZ34" s="211"/>
      <c r="DA34" s="211"/>
      <c r="DB34" s="211"/>
      <c r="DC34" s="219"/>
      <c r="DD34" s="219"/>
      <c r="DE34" s="219"/>
      <c r="DF34" s="211"/>
      <c r="DG34" s="211"/>
      <c r="DH34" s="211"/>
      <c r="DI34" s="211"/>
      <c r="DJ34" s="211"/>
      <c r="DK34" s="220" t="s">
        <v>32</v>
      </c>
      <c r="DT34" s="222"/>
    </row>
    <row r="35" spans="1:124" s="176" customFormat="1" ht="42" x14ac:dyDescent="0.2">
      <c r="A35" s="195" t="s">
        <v>94</v>
      </c>
      <c r="B35" s="197" t="s">
        <v>175</v>
      </c>
      <c r="C35" s="198">
        <v>1</v>
      </c>
      <c r="D35" s="199">
        <v>9580000</v>
      </c>
      <c r="E35" s="198" t="s">
        <v>176</v>
      </c>
      <c r="F35" s="198" t="s">
        <v>97</v>
      </c>
      <c r="G35" s="198" t="s">
        <v>98</v>
      </c>
      <c r="H35" s="200">
        <v>1</v>
      </c>
      <c r="I35" s="199">
        <f t="shared" si="80"/>
        <v>0</v>
      </c>
      <c r="J35" s="199">
        <f t="shared" si="81"/>
        <v>9580000</v>
      </c>
      <c r="K35" s="199">
        <f t="shared" si="82"/>
        <v>9580000</v>
      </c>
      <c r="L35" s="199">
        <v>0</v>
      </c>
      <c r="M35" s="199">
        <v>9580000</v>
      </c>
      <c r="N35" s="199">
        <f t="shared" si="83"/>
        <v>9580000</v>
      </c>
      <c r="O35" s="199"/>
      <c r="P35" s="201">
        <v>0</v>
      </c>
      <c r="Q35" s="202">
        <v>20</v>
      </c>
      <c r="R35" s="203">
        <v>45566</v>
      </c>
      <c r="S35" s="204"/>
      <c r="T35" s="204">
        <v>9580000</v>
      </c>
      <c r="U35" s="204">
        <f t="shared" si="84"/>
        <v>9580000</v>
      </c>
      <c r="V35" s="205">
        <v>228</v>
      </c>
      <c r="W35" s="200">
        <v>45586</v>
      </c>
      <c r="X35" s="201"/>
      <c r="Y35" s="201">
        <v>-336700</v>
      </c>
      <c r="Z35" s="201">
        <f t="shared" si="85"/>
        <v>-336700</v>
      </c>
      <c r="AA35" s="198">
        <v>2340</v>
      </c>
      <c r="AB35" s="206">
        <v>45803</v>
      </c>
      <c r="AC35" s="207"/>
      <c r="AD35" s="201">
        <v>-220263.58</v>
      </c>
      <c r="AE35" s="204">
        <f t="shared" si="86"/>
        <v>-220263.58</v>
      </c>
      <c r="AF35" s="203">
        <f t="shared" si="87"/>
        <v>45566</v>
      </c>
      <c r="AG35" s="201">
        <f t="shared" si="88"/>
        <v>0</v>
      </c>
      <c r="AH35" s="204">
        <f t="shared" si="89"/>
        <v>9359736.4199999999</v>
      </c>
      <c r="AI35" s="204">
        <f t="shared" si="90"/>
        <v>9359736.4199999999</v>
      </c>
      <c r="AJ35" s="201">
        <f t="shared" si="91"/>
        <v>0</v>
      </c>
      <c r="AK35" s="201">
        <f t="shared" si="91"/>
        <v>9023036.4199999999</v>
      </c>
      <c r="AL35" s="201">
        <f t="shared" si="92"/>
        <v>9023036.4199999999</v>
      </c>
      <c r="AM35" s="205">
        <v>229</v>
      </c>
      <c r="AN35" s="200">
        <v>45586</v>
      </c>
      <c r="AO35" s="208">
        <v>336700</v>
      </c>
      <c r="AP35" s="201">
        <f t="shared" si="93"/>
        <v>0</v>
      </c>
      <c r="AQ35" s="201">
        <f t="shared" si="94"/>
        <v>8719737.5700000003</v>
      </c>
      <c r="AR35" s="201">
        <f t="shared" si="95"/>
        <v>8719737.5700000003</v>
      </c>
      <c r="AS35" s="201">
        <f t="shared" si="96"/>
        <v>93.162212894879787</v>
      </c>
      <c r="AT35" s="201"/>
      <c r="AU35" s="209">
        <v>8497931.1699999999</v>
      </c>
      <c r="AV35" s="201">
        <f t="shared" si="97"/>
        <v>8497931.1699999999</v>
      </c>
      <c r="AW35" s="201">
        <f t="shared" si="110"/>
        <v>7.9175120962218175</v>
      </c>
      <c r="AX35" s="201">
        <f t="shared" si="98"/>
        <v>94.180393100973433</v>
      </c>
      <c r="AY35" s="208">
        <v>221806.4</v>
      </c>
      <c r="AZ35" s="201">
        <f t="shared" si="99"/>
        <v>0</v>
      </c>
      <c r="BA35" s="201">
        <f t="shared" si="100"/>
        <v>27938</v>
      </c>
      <c r="BB35" s="201">
        <f t="shared" si="101"/>
        <v>27938</v>
      </c>
      <c r="BC35" s="201"/>
      <c r="BD35" s="209">
        <v>27938</v>
      </c>
      <c r="BE35" s="201">
        <f t="shared" si="102"/>
        <v>27938</v>
      </c>
      <c r="BF35" s="208"/>
      <c r="BG35" s="201">
        <f t="shared" si="103"/>
        <v>0</v>
      </c>
      <c r="BH35" s="201">
        <f t="shared" si="103"/>
        <v>8747675.5700000003</v>
      </c>
      <c r="BI35" s="201">
        <f t="shared" si="104"/>
        <v>8747675.5700000003</v>
      </c>
      <c r="BJ35" s="201">
        <f t="shared" si="3"/>
        <v>93.460704206454565</v>
      </c>
      <c r="BK35" s="210">
        <v>5</v>
      </c>
      <c r="BL35" s="210">
        <v>65</v>
      </c>
      <c r="BM35" s="211"/>
      <c r="BN35" s="211"/>
      <c r="BO35" s="212">
        <f t="shared" si="105"/>
        <v>0</v>
      </c>
      <c r="BP35" s="201">
        <f t="shared" si="106"/>
        <v>639998.85</v>
      </c>
      <c r="BQ35" s="201">
        <f t="shared" si="111"/>
        <v>639998.85</v>
      </c>
      <c r="BR35" s="201">
        <f t="shared" si="112"/>
        <v>0</v>
      </c>
      <c r="BS35" s="201">
        <f t="shared" si="112"/>
        <v>525105.25</v>
      </c>
      <c r="BT35" s="201">
        <f t="shared" si="113"/>
        <v>525105.25</v>
      </c>
      <c r="BU35" s="213">
        <f t="shared" si="114"/>
        <v>114893.6</v>
      </c>
      <c r="BV35" s="201">
        <f>336700+220263.58</f>
        <v>556963.57999999996</v>
      </c>
      <c r="BW35" s="201"/>
      <c r="BX35" s="201">
        <f t="shared" si="115"/>
        <v>556963.57999999996</v>
      </c>
      <c r="BY35" s="199"/>
      <c r="BZ35" s="199">
        <v>1846600</v>
      </c>
      <c r="CA35" s="199">
        <v>1846600</v>
      </c>
      <c r="CB35" s="199">
        <v>1214400</v>
      </c>
      <c r="CC35" s="199">
        <v>1214400</v>
      </c>
      <c r="CD35" s="199">
        <v>1214400</v>
      </c>
      <c r="CE35" s="199">
        <v>814400</v>
      </c>
      <c r="CF35" s="199">
        <v>714400</v>
      </c>
      <c r="CG35" s="199">
        <v>714800</v>
      </c>
      <c r="CH35" s="199">
        <v>0</v>
      </c>
      <c r="CI35" s="199">
        <v>0</v>
      </c>
      <c r="CJ35" s="199">
        <v>0</v>
      </c>
      <c r="CK35" s="214" t="s">
        <v>177</v>
      </c>
      <c r="CL35" s="214" t="s">
        <v>171</v>
      </c>
      <c r="CM35" s="211">
        <v>182</v>
      </c>
      <c r="CN35" s="215"/>
      <c r="CO35" s="215">
        <v>800</v>
      </c>
      <c r="CP35" s="216">
        <v>100</v>
      </c>
      <c r="CQ35" s="217"/>
      <c r="CR35" s="211"/>
      <c r="CS35" s="218"/>
      <c r="CT35" s="218"/>
      <c r="CU35" s="218"/>
      <c r="CV35" s="211"/>
      <c r="CW35" s="211"/>
      <c r="CX35" s="211"/>
      <c r="CY35" s="211"/>
      <c r="CZ35" s="211"/>
      <c r="DA35" s="211"/>
      <c r="DB35" s="211"/>
      <c r="DC35" s="219"/>
      <c r="DD35" s="219"/>
      <c r="DE35" s="219"/>
      <c r="DF35" s="211"/>
      <c r="DG35" s="211"/>
      <c r="DH35" s="211"/>
      <c r="DI35" s="211"/>
      <c r="DJ35" s="211"/>
      <c r="DK35" s="220" t="s">
        <v>32</v>
      </c>
      <c r="DT35" s="222"/>
    </row>
    <row r="36" spans="1:124" s="176" customFormat="1" ht="42" x14ac:dyDescent="0.2">
      <c r="A36" s="195" t="s">
        <v>94</v>
      </c>
      <c r="B36" s="197" t="s">
        <v>178</v>
      </c>
      <c r="C36" s="198">
        <v>1</v>
      </c>
      <c r="D36" s="199">
        <v>7500000</v>
      </c>
      <c r="E36" s="198" t="s">
        <v>173</v>
      </c>
      <c r="F36" s="198" t="s">
        <v>97</v>
      </c>
      <c r="G36" s="198" t="s">
        <v>98</v>
      </c>
      <c r="H36" s="200">
        <v>1</v>
      </c>
      <c r="I36" s="199">
        <f t="shared" si="80"/>
        <v>0</v>
      </c>
      <c r="J36" s="199">
        <f t="shared" si="81"/>
        <v>7500000</v>
      </c>
      <c r="K36" s="199">
        <f t="shared" si="82"/>
        <v>7500000</v>
      </c>
      <c r="L36" s="199">
        <v>0</v>
      </c>
      <c r="M36" s="199">
        <v>7500000</v>
      </c>
      <c r="N36" s="199">
        <f t="shared" si="83"/>
        <v>7500000</v>
      </c>
      <c r="O36" s="199"/>
      <c r="P36" s="201">
        <v>0</v>
      </c>
      <c r="Q36" s="202">
        <v>20</v>
      </c>
      <c r="R36" s="203">
        <v>45566</v>
      </c>
      <c r="S36" s="204"/>
      <c r="T36" s="204">
        <v>7500000</v>
      </c>
      <c r="U36" s="204">
        <f t="shared" si="84"/>
        <v>7500000</v>
      </c>
      <c r="V36" s="205">
        <v>228</v>
      </c>
      <c r="W36" s="200">
        <v>45586</v>
      </c>
      <c r="X36" s="201"/>
      <c r="Y36" s="201">
        <v>-314600</v>
      </c>
      <c r="Z36" s="201">
        <f t="shared" si="85"/>
        <v>-314600</v>
      </c>
      <c r="AA36" s="198"/>
      <c r="AB36" s="206"/>
      <c r="AC36" s="207"/>
      <c r="AD36" s="201"/>
      <c r="AE36" s="204">
        <f t="shared" si="86"/>
        <v>0</v>
      </c>
      <c r="AF36" s="203">
        <f t="shared" si="87"/>
        <v>45566</v>
      </c>
      <c r="AG36" s="201">
        <f t="shared" si="88"/>
        <v>0</v>
      </c>
      <c r="AH36" s="204">
        <f t="shared" si="89"/>
        <v>7500000</v>
      </c>
      <c r="AI36" s="204">
        <f t="shared" si="90"/>
        <v>7500000</v>
      </c>
      <c r="AJ36" s="201">
        <f t="shared" si="91"/>
        <v>0</v>
      </c>
      <c r="AK36" s="201">
        <f t="shared" si="91"/>
        <v>7185400</v>
      </c>
      <c r="AL36" s="201">
        <f t="shared" si="92"/>
        <v>7185400</v>
      </c>
      <c r="AM36" s="205">
        <v>229</v>
      </c>
      <c r="AN36" s="200">
        <v>45586</v>
      </c>
      <c r="AO36" s="208">
        <v>314600</v>
      </c>
      <c r="AP36" s="201">
        <f t="shared" si="93"/>
        <v>0</v>
      </c>
      <c r="AQ36" s="201">
        <f t="shared" si="94"/>
        <v>6667680.7199999997</v>
      </c>
      <c r="AR36" s="201">
        <f t="shared" si="95"/>
        <v>6667680.7199999997</v>
      </c>
      <c r="AS36" s="201">
        <f t="shared" si="96"/>
        <v>88.902409599999999</v>
      </c>
      <c r="AT36" s="201"/>
      <c r="AU36" s="209">
        <v>6425931.7199999997</v>
      </c>
      <c r="AV36" s="201">
        <f t="shared" si="97"/>
        <v>6425931.7199999997</v>
      </c>
      <c r="AW36" s="201">
        <f t="shared" si="110"/>
        <v>13.047290338742449</v>
      </c>
      <c r="AX36" s="201">
        <f t="shared" si="98"/>
        <v>89.430396637626302</v>
      </c>
      <c r="AY36" s="208">
        <v>241748.99999999997</v>
      </c>
      <c r="AZ36" s="201">
        <f t="shared" si="99"/>
        <v>0</v>
      </c>
      <c r="BA36" s="201">
        <f t="shared" si="100"/>
        <v>0</v>
      </c>
      <c r="BB36" s="201">
        <f t="shared" si="101"/>
        <v>0</v>
      </c>
      <c r="BC36" s="201"/>
      <c r="BD36" s="209">
        <v>0</v>
      </c>
      <c r="BE36" s="201">
        <f t="shared" si="102"/>
        <v>0</v>
      </c>
      <c r="BF36" s="208"/>
      <c r="BG36" s="201">
        <f t="shared" si="103"/>
        <v>0</v>
      </c>
      <c r="BH36" s="201">
        <f t="shared" si="103"/>
        <v>6667680.7199999997</v>
      </c>
      <c r="BI36" s="201">
        <f t="shared" si="104"/>
        <v>6667680.7199999997</v>
      </c>
      <c r="BJ36" s="201">
        <f t="shared" si="3"/>
        <v>88.902409599999999</v>
      </c>
      <c r="BK36" s="210">
        <v>5</v>
      </c>
      <c r="BL36" s="210">
        <v>70</v>
      </c>
      <c r="BM36" s="211"/>
      <c r="BN36" s="211"/>
      <c r="BO36" s="212">
        <f t="shared" si="105"/>
        <v>0</v>
      </c>
      <c r="BP36" s="201">
        <f t="shared" si="106"/>
        <v>832319.28000000026</v>
      </c>
      <c r="BQ36" s="201">
        <f t="shared" si="111"/>
        <v>832319.28000000026</v>
      </c>
      <c r="BR36" s="201">
        <f t="shared" si="112"/>
        <v>0</v>
      </c>
      <c r="BS36" s="201">
        <f t="shared" si="112"/>
        <v>759468.28000000026</v>
      </c>
      <c r="BT36" s="201">
        <f t="shared" si="113"/>
        <v>759468.28000000026</v>
      </c>
      <c r="BU36" s="213">
        <f t="shared" si="114"/>
        <v>72851.000000000029</v>
      </c>
      <c r="BV36" s="201">
        <v>314600</v>
      </c>
      <c r="BW36" s="201"/>
      <c r="BX36" s="201">
        <f t="shared" si="115"/>
        <v>314600</v>
      </c>
      <c r="BY36" s="199"/>
      <c r="BZ36" s="199">
        <v>937500</v>
      </c>
      <c r="CA36" s="199">
        <v>937500</v>
      </c>
      <c r="CB36" s="199">
        <v>937500</v>
      </c>
      <c r="CC36" s="199">
        <v>937500</v>
      </c>
      <c r="CD36" s="199">
        <v>937500</v>
      </c>
      <c r="CE36" s="199">
        <v>937500</v>
      </c>
      <c r="CF36" s="199">
        <v>937500</v>
      </c>
      <c r="CG36" s="199">
        <v>937500</v>
      </c>
      <c r="CH36" s="199">
        <v>0</v>
      </c>
      <c r="CI36" s="199">
        <v>0</v>
      </c>
      <c r="CJ36" s="199">
        <v>0</v>
      </c>
      <c r="CK36" s="214" t="s">
        <v>179</v>
      </c>
      <c r="CL36" s="214" t="s">
        <v>171</v>
      </c>
      <c r="CM36" s="211">
        <v>182</v>
      </c>
      <c r="CN36" s="215"/>
      <c r="CO36" s="215">
        <v>670</v>
      </c>
      <c r="CP36" s="216">
        <v>80</v>
      </c>
      <c r="CQ36" s="217"/>
      <c r="CR36" s="211"/>
      <c r="CS36" s="218"/>
      <c r="CT36" s="218"/>
      <c r="CU36" s="218"/>
      <c r="CV36" s="211"/>
      <c r="CW36" s="211"/>
      <c r="CX36" s="211"/>
      <c r="CY36" s="211"/>
      <c r="CZ36" s="211"/>
      <c r="DA36" s="211"/>
      <c r="DB36" s="211"/>
      <c r="DC36" s="219"/>
      <c r="DD36" s="219"/>
      <c r="DE36" s="219"/>
      <c r="DF36" s="211"/>
      <c r="DG36" s="211"/>
      <c r="DH36" s="211"/>
      <c r="DI36" s="211"/>
      <c r="DJ36" s="211"/>
      <c r="DK36" s="220" t="s">
        <v>32</v>
      </c>
      <c r="DT36" s="222"/>
    </row>
    <row r="37" spans="1:124" s="176" customFormat="1" ht="42" x14ac:dyDescent="0.2">
      <c r="A37" s="195" t="s">
        <v>94</v>
      </c>
      <c r="B37" s="197" t="s">
        <v>180</v>
      </c>
      <c r="C37" s="198">
        <v>1</v>
      </c>
      <c r="D37" s="199">
        <v>9800000</v>
      </c>
      <c r="E37" s="198" t="s">
        <v>181</v>
      </c>
      <c r="F37" s="198" t="s">
        <v>97</v>
      </c>
      <c r="G37" s="198" t="s">
        <v>98</v>
      </c>
      <c r="H37" s="200">
        <v>1</v>
      </c>
      <c r="I37" s="199">
        <f t="shared" si="80"/>
        <v>404376</v>
      </c>
      <c r="J37" s="199">
        <f t="shared" si="81"/>
        <v>9395624</v>
      </c>
      <c r="K37" s="199">
        <f t="shared" si="82"/>
        <v>9800000</v>
      </c>
      <c r="L37" s="199">
        <f>404376</f>
        <v>404376</v>
      </c>
      <c r="M37" s="199">
        <f>7077+9388547</f>
        <v>9395624</v>
      </c>
      <c r="N37" s="199">
        <f t="shared" si="83"/>
        <v>9800000</v>
      </c>
      <c r="O37" s="199"/>
      <c r="P37" s="201">
        <v>0</v>
      </c>
      <c r="Q37" s="202">
        <v>19</v>
      </c>
      <c r="R37" s="203">
        <v>45566</v>
      </c>
      <c r="S37" s="204"/>
      <c r="T37" s="204">
        <v>9388547</v>
      </c>
      <c r="U37" s="204">
        <f t="shared" si="84"/>
        <v>9388547</v>
      </c>
      <c r="V37" s="205">
        <v>228</v>
      </c>
      <c r="W37" s="200">
        <v>45586</v>
      </c>
      <c r="X37" s="201"/>
      <c r="Y37" s="201">
        <v>-273000</v>
      </c>
      <c r="Z37" s="201">
        <f t="shared" si="85"/>
        <v>-273000</v>
      </c>
      <c r="AA37" s="198">
        <v>203</v>
      </c>
      <c r="AB37" s="206">
        <v>45583</v>
      </c>
      <c r="AC37" s="207">
        <v>404261</v>
      </c>
      <c r="AD37" s="201">
        <f>7075+-55818</f>
        <v>-48743</v>
      </c>
      <c r="AE37" s="204">
        <f t="shared" si="86"/>
        <v>355518</v>
      </c>
      <c r="AF37" s="203">
        <f t="shared" si="87"/>
        <v>45566</v>
      </c>
      <c r="AG37" s="201">
        <f t="shared" si="88"/>
        <v>404261</v>
      </c>
      <c r="AH37" s="204">
        <f t="shared" si="89"/>
        <v>9339804</v>
      </c>
      <c r="AI37" s="204">
        <f t="shared" si="90"/>
        <v>9744065</v>
      </c>
      <c r="AJ37" s="201">
        <f t="shared" si="91"/>
        <v>404261</v>
      </c>
      <c r="AK37" s="201">
        <f t="shared" si="91"/>
        <v>9066804</v>
      </c>
      <c r="AL37" s="201">
        <f t="shared" si="92"/>
        <v>9471065</v>
      </c>
      <c r="AM37" s="205">
        <v>229</v>
      </c>
      <c r="AN37" s="200">
        <v>45586</v>
      </c>
      <c r="AO37" s="208">
        <v>273000</v>
      </c>
      <c r="AP37" s="201">
        <f t="shared" si="93"/>
        <v>0</v>
      </c>
      <c r="AQ37" s="201">
        <f t="shared" si="94"/>
        <v>9633149.6800000016</v>
      </c>
      <c r="AR37" s="201">
        <f t="shared" si="95"/>
        <v>9633149.6800000016</v>
      </c>
      <c r="AS37" s="201">
        <f t="shared" si="96"/>
        <v>98.861714079288276</v>
      </c>
      <c r="AT37" s="201"/>
      <c r="AU37" s="209">
        <v>9441190.1300000008</v>
      </c>
      <c r="AV37" s="201">
        <f t="shared" si="97"/>
        <v>9441190.1300000008</v>
      </c>
      <c r="AW37" s="201">
        <f t="shared" si="110"/>
        <v>7.3909322763596279</v>
      </c>
      <c r="AX37" s="201">
        <f t="shared" si="98"/>
        <v>99.684566941521368</v>
      </c>
      <c r="AY37" s="208">
        <v>191959.55</v>
      </c>
      <c r="AZ37" s="201">
        <f t="shared" si="99"/>
        <v>0</v>
      </c>
      <c r="BA37" s="201">
        <f t="shared" si="100"/>
        <v>0</v>
      </c>
      <c r="BB37" s="201">
        <f t="shared" si="101"/>
        <v>0</v>
      </c>
      <c r="BC37" s="201"/>
      <c r="BD37" s="209">
        <v>0</v>
      </c>
      <c r="BE37" s="201">
        <f t="shared" si="102"/>
        <v>0</v>
      </c>
      <c r="BF37" s="208"/>
      <c r="BG37" s="201">
        <f t="shared" si="103"/>
        <v>0</v>
      </c>
      <c r="BH37" s="201">
        <f t="shared" si="103"/>
        <v>9633149.6800000016</v>
      </c>
      <c r="BI37" s="201">
        <f t="shared" si="104"/>
        <v>9633149.6800000016</v>
      </c>
      <c r="BJ37" s="201">
        <f t="shared" si="3"/>
        <v>98.861714079288276</v>
      </c>
      <c r="BK37" s="210">
        <v>10</v>
      </c>
      <c r="BL37" s="210">
        <v>90</v>
      </c>
      <c r="BM37" s="211"/>
      <c r="BN37" s="211"/>
      <c r="BO37" s="212">
        <f t="shared" si="105"/>
        <v>404261</v>
      </c>
      <c r="BP37" s="201">
        <f t="shared" si="106"/>
        <v>-293345.68000000081</v>
      </c>
      <c r="BQ37" s="201">
        <f t="shared" si="111"/>
        <v>110915.31999999919</v>
      </c>
      <c r="BR37" s="201">
        <f t="shared" si="112"/>
        <v>404261</v>
      </c>
      <c r="BS37" s="201">
        <f t="shared" si="112"/>
        <v>-374386.13000000082</v>
      </c>
      <c r="BT37" s="201">
        <f t="shared" si="113"/>
        <v>29874.86999999918</v>
      </c>
      <c r="BU37" s="213">
        <f t="shared" si="114"/>
        <v>81040.450000000012</v>
      </c>
      <c r="BV37" s="201">
        <f>273000+55818</f>
        <v>328818</v>
      </c>
      <c r="BW37" s="201"/>
      <c r="BX37" s="201">
        <f t="shared" si="115"/>
        <v>328818</v>
      </c>
      <c r="BY37" s="199">
        <v>0</v>
      </c>
      <c r="BZ37" s="199">
        <v>1238800</v>
      </c>
      <c r="CA37" s="199">
        <v>1238800</v>
      </c>
      <c r="CB37" s="199">
        <v>1239000</v>
      </c>
      <c r="CC37" s="199">
        <v>1239000</v>
      </c>
      <c r="CD37" s="199">
        <v>1239200</v>
      </c>
      <c r="CE37" s="199">
        <v>800000</v>
      </c>
      <c r="CF37" s="199">
        <v>700000</v>
      </c>
      <c r="CG37" s="199">
        <v>700000</v>
      </c>
      <c r="CH37" s="199">
        <v>500000</v>
      </c>
      <c r="CI37" s="199">
        <v>500000</v>
      </c>
      <c r="CJ37" s="199">
        <v>405200</v>
      </c>
      <c r="CK37" s="214" t="s">
        <v>182</v>
      </c>
      <c r="CL37" s="214" t="s">
        <v>171</v>
      </c>
      <c r="CM37" s="211">
        <v>182</v>
      </c>
      <c r="CN37" s="215"/>
      <c r="CO37" s="215">
        <v>420</v>
      </c>
      <c r="CP37" s="216">
        <v>39</v>
      </c>
      <c r="CQ37" s="217"/>
      <c r="CR37" s="211"/>
      <c r="CS37" s="218"/>
      <c r="CT37" s="218"/>
      <c r="CU37" s="218"/>
      <c r="CV37" s="211"/>
      <c r="CW37" s="211"/>
      <c r="CX37" s="211"/>
      <c r="CY37" s="211"/>
      <c r="CZ37" s="211"/>
      <c r="DA37" s="211"/>
      <c r="DB37" s="211"/>
      <c r="DC37" s="219"/>
      <c r="DD37" s="219"/>
      <c r="DE37" s="219"/>
      <c r="DF37" s="211"/>
      <c r="DG37" s="211"/>
      <c r="DH37" s="211"/>
      <c r="DI37" s="211"/>
      <c r="DJ37" s="211"/>
      <c r="DK37" s="220" t="s">
        <v>53</v>
      </c>
      <c r="DT37" s="222"/>
    </row>
    <row r="38" spans="1:124" s="176" customFormat="1" ht="42" x14ac:dyDescent="0.2">
      <c r="A38" s="195" t="s">
        <v>94</v>
      </c>
      <c r="B38" s="197" t="s">
        <v>183</v>
      </c>
      <c r="C38" s="198">
        <v>1</v>
      </c>
      <c r="D38" s="199">
        <v>2450000</v>
      </c>
      <c r="E38" s="198" t="s">
        <v>159</v>
      </c>
      <c r="F38" s="198" t="s">
        <v>111</v>
      </c>
      <c r="G38" s="198" t="s">
        <v>98</v>
      </c>
      <c r="H38" s="200">
        <v>1</v>
      </c>
      <c r="I38" s="199">
        <f t="shared" si="80"/>
        <v>0</v>
      </c>
      <c r="J38" s="199">
        <f t="shared" si="81"/>
        <v>2450000</v>
      </c>
      <c r="K38" s="199">
        <f t="shared" si="82"/>
        <v>2450000</v>
      </c>
      <c r="L38" s="199">
        <v>0</v>
      </c>
      <c r="M38" s="199">
        <v>2450000</v>
      </c>
      <c r="N38" s="199">
        <f t="shared" si="83"/>
        <v>2450000</v>
      </c>
      <c r="O38" s="199"/>
      <c r="P38" s="201">
        <v>0</v>
      </c>
      <c r="Q38" s="202">
        <v>20</v>
      </c>
      <c r="R38" s="203">
        <v>45566</v>
      </c>
      <c r="S38" s="204"/>
      <c r="T38" s="204">
        <v>2450000</v>
      </c>
      <c r="U38" s="204">
        <f t="shared" si="84"/>
        <v>2450000</v>
      </c>
      <c r="V38" s="205">
        <v>228</v>
      </c>
      <c r="W38" s="200">
        <v>45586</v>
      </c>
      <c r="X38" s="201"/>
      <c r="Y38" s="201">
        <v>-103400</v>
      </c>
      <c r="Z38" s="201">
        <f t="shared" si="85"/>
        <v>-103400</v>
      </c>
      <c r="AA38" s="198"/>
      <c r="AB38" s="206"/>
      <c r="AC38" s="207"/>
      <c r="AD38" s="201"/>
      <c r="AE38" s="204">
        <f t="shared" si="86"/>
        <v>0</v>
      </c>
      <c r="AF38" s="203">
        <f t="shared" si="87"/>
        <v>45566</v>
      </c>
      <c r="AG38" s="201">
        <f t="shared" si="88"/>
        <v>0</v>
      </c>
      <c r="AH38" s="204">
        <f t="shared" si="89"/>
        <v>2450000</v>
      </c>
      <c r="AI38" s="204">
        <f t="shared" si="90"/>
        <v>2450000</v>
      </c>
      <c r="AJ38" s="201">
        <f t="shared" si="91"/>
        <v>0</v>
      </c>
      <c r="AK38" s="201">
        <f t="shared" si="91"/>
        <v>2346600</v>
      </c>
      <c r="AL38" s="201">
        <f t="shared" si="92"/>
        <v>2346600</v>
      </c>
      <c r="AM38" s="205">
        <v>229</v>
      </c>
      <c r="AN38" s="200">
        <v>45586</v>
      </c>
      <c r="AO38" s="208">
        <v>103400</v>
      </c>
      <c r="AP38" s="201">
        <f t="shared" si="93"/>
        <v>0</v>
      </c>
      <c r="AQ38" s="201">
        <f t="shared" si="94"/>
        <v>2274026.06</v>
      </c>
      <c r="AR38" s="201">
        <f t="shared" si="95"/>
        <v>2274026.06</v>
      </c>
      <c r="AS38" s="201">
        <f t="shared" si="96"/>
        <v>92.817390204081633</v>
      </c>
      <c r="AT38" s="201"/>
      <c r="AU38" s="209">
        <v>2180410.96</v>
      </c>
      <c r="AV38" s="201">
        <f t="shared" si="97"/>
        <v>2180410.96</v>
      </c>
      <c r="AW38" s="201">
        <f t="shared" si="110"/>
        <v>0</v>
      </c>
      <c r="AX38" s="201">
        <f t="shared" si="98"/>
        <v>92.917879485212652</v>
      </c>
      <c r="AY38" s="208">
        <v>93615.1</v>
      </c>
      <c r="AZ38" s="201">
        <f t="shared" si="99"/>
        <v>0</v>
      </c>
      <c r="BA38" s="201">
        <f t="shared" si="100"/>
        <v>155115</v>
      </c>
      <c r="BB38" s="201">
        <f t="shared" si="101"/>
        <v>155115</v>
      </c>
      <c r="BC38" s="201"/>
      <c r="BD38" s="209">
        <v>155115</v>
      </c>
      <c r="BE38" s="201">
        <f t="shared" si="102"/>
        <v>155115</v>
      </c>
      <c r="BF38" s="208"/>
      <c r="BG38" s="201">
        <f t="shared" si="103"/>
        <v>0</v>
      </c>
      <c r="BH38" s="201">
        <f t="shared" si="103"/>
        <v>2429141.06</v>
      </c>
      <c r="BI38" s="201">
        <f t="shared" si="104"/>
        <v>2429141.06</v>
      </c>
      <c r="BJ38" s="201">
        <f t="shared" si="3"/>
        <v>99.148614693877548</v>
      </c>
      <c r="BK38" s="210">
        <v>10</v>
      </c>
      <c r="BL38" s="210">
        <v>90</v>
      </c>
      <c r="BM38" s="211"/>
      <c r="BN38" s="211"/>
      <c r="BO38" s="212">
        <f t="shared" si="105"/>
        <v>0</v>
      </c>
      <c r="BP38" s="201">
        <f t="shared" si="106"/>
        <v>175973.94000000003</v>
      </c>
      <c r="BQ38" s="201">
        <f t="shared" si="111"/>
        <v>175973.94000000003</v>
      </c>
      <c r="BR38" s="201">
        <f t="shared" si="112"/>
        <v>0</v>
      </c>
      <c r="BS38" s="201">
        <f t="shared" si="112"/>
        <v>166189.04000000004</v>
      </c>
      <c r="BT38" s="201">
        <f t="shared" si="113"/>
        <v>166189.04000000004</v>
      </c>
      <c r="BU38" s="213">
        <f t="shared" si="114"/>
        <v>9784.8999999999942</v>
      </c>
      <c r="BV38" s="201">
        <v>103400</v>
      </c>
      <c r="BW38" s="201"/>
      <c r="BX38" s="201">
        <f t="shared" si="115"/>
        <v>103400</v>
      </c>
      <c r="BY38" s="199">
        <v>450000</v>
      </c>
      <c r="BZ38" s="199">
        <v>450000</v>
      </c>
      <c r="CA38" s="199">
        <v>450000</v>
      </c>
      <c r="CB38" s="199">
        <v>345800</v>
      </c>
      <c r="CC38" s="199">
        <v>345800</v>
      </c>
      <c r="CD38" s="199">
        <v>408400</v>
      </c>
      <c r="CE38" s="199">
        <v>0</v>
      </c>
      <c r="CF38" s="199">
        <v>0</v>
      </c>
      <c r="CG38" s="199">
        <v>0</v>
      </c>
      <c r="CH38" s="199">
        <v>0</v>
      </c>
      <c r="CI38" s="199">
        <v>0</v>
      </c>
      <c r="CJ38" s="199">
        <v>0</v>
      </c>
      <c r="CK38" s="214" t="s">
        <v>184</v>
      </c>
      <c r="CL38" s="214" t="s">
        <v>171</v>
      </c>
      <c r="CM38" s="211">
        <v>182</v>
      </c>
      <c r="CN38" s="215"/>
      <c r="CO38" s="215">
        <v>700</v>
      </c>
      <c r="CP38" s="216">
        <v>40</v>
      </c>
      <c r="CQ38" s="217"/>
      <c r="CR38" s="211"/>
      <c r="CS38" s="218"/>
      <c r="CT38" s="218"/>
      <c r="CU38" s="218"/>
      <c r="CV38" s="211"/>
      <c r="CW38" s="211"/>
      <c r="CX38" s="211"/>
      <c r="CY38" s="211"/>
      <c r="CZ38" s="211"/>
      <c r="DA38" s="211"/>
      <c r="DB38" s="211"/>
      <c r="DC38" s="219"/>
      <c r="DD38" s="219"/>
      <c r="DE38" s="219"/>
      <c r="DF38" s="211"/>
      <c r="DG38" s="211"/>
      <c r="DH38" s="211"/>
      <c r="DI38" s="211"/>
      <c r="DJ38" s="211"/>
      <c r="DK38" s="220" t="s">
        <v>32</v>
      </c>
      <c r="DT38" s="222"/>
    </row>
    <row r="39" spans="1:124" s="176" customFormat="1" ht="42" x14ac:dyDescent="0.2">
      <c r="A39" s="195" t="s">
        <v>119</v>
      </c>
      <c r="B39" s="197" t="s">
        <v>185</v>
      </c>
      <c r="C39" s="198">
        <v>1</v>
      </c>
      <c r="D39" s="199">
        <v>6660000</v>
      </c>
      <c r="E39" s="198" t="s">
        <v>186</v>
      </c>
      <c r="F39" s="198" t="s">
        <v>187</v>
      </c>
      <c r="G39" s="198" t="s">
        <v>123</v>
      </c>
      <c r="H39" s="200">
        <v>1</v>
      </c>
      <c r="I39" s="199">
        <f t="shared" si="80"/>
        <v>0</v>
      </c>
      <c r="J39" s="199">
        <f t="shared" si="81"/>
        <v>6660000</v>
      </c>
      <c r="K39" s="199">
        <f t="shared" si="82"/>
        <v>6660000</v>
      </c>
      <c r="L39" s="199">
        <v>0</v>
      </c>
      <c r="M39" s="199">
        <v>6660000</v>
      </c>
      <c r="N39" s="199">
        <f t="shared" si="83"/>
        <v>6660000</v>
      </c>
      <c r="O39" s="199"/>
      <c r="P39" s="201">
        <v>0</v>
      </c>
      <c r="Q39" s="202">
        <v>20</v>
      </c>
      <c r="R39" s="203">
        <v>45566</v>
      </c>
      <c r="S39" s="204"/>
      <c r="T39" s="204">
        <v>6660000</v>
      </c>
      <c r="U39" s="204">
        <f t="shared" si="84"/>
        <v>6660000</v>
      </c>
      <c r="V39" s="205">
        <v>228</v>
      </c>
      <c r="W39" s="200">
        <v>45586</v>
      </c>
      <c r="X39" s="201"/>
      <c r="Y39" s="201">
        <v>-270000</v>
      </c>
      <c r="Z39" s="201">
        <f t="shared" si="85"/>
        <v>-270000</v>
      </c>
      <c r="AA39" s="247"/>
      <c r="AB39" s="206"/>
      <c r="AC39" s="207"/>
      <c r="AD39" s="201"/>
      <c r="AE39" s="204">
        <f t="shared" si="86"/>
        <v>0</v>
      </c>
      <c r="AF39" s="203">
        <f t="shared" si="87"/>
        <v>45566</v>
      </c>
      <c r="AG39" s="201">
        <f t="shared" si="88"/>
        <v>0</v>
      </c>
      <c r="AH39" s="204">
        <f t="shared" si="89"/>
        <v>6660000</v>
      </c>
      <c r="AI39" s="204">
        <f t="shared" si="90"/>
        <v>6660000</v>
      </c>
      <c r="AJ39" s="201">
        <f t="shared" si="91"/>
        <v>0</v>
      </c>
      <c r="AK39" s="201">
        <f t="shared" si="91"/>
        <v>6390000</v>
      </c>
      <c r="AL39" s="201">
        <f t="shared" si="92"/>
        <v>6390000</v>
      </c>
      <c r="AM39" s="205">
        <v>229</v>
      </c>
      <c r="AN39" s="200">
        <v>45586</v>
      </c>
      <c r="AO39" s="208">
        <v>270000</v>
      </c>
      <c r="AP39" s="201">
        <f t="shared" si="93"/>
        <v>0</v>
      </c>
      <c r="AQ39" s="201">
        <f t="shared" si="94"/>
        <v>6596494.0099999998</v>
      </c>
      <c r="AR39" s="201">
        <f t="shared" si="95"/>
        <v>6596494.0099999998</v>
      </c>
      <c r="AS39" s="201">
        <f t="shared" si="96"/>
        <v>99.046456606606611</v>
      </c>
      <c r="AT39" s="201"/>
      <c r="AU39" s="209">
        <v>6389148.8099999996</v>
      </c>
      <c r="AV39" s="201">
        <f t="shared" si="97"/>
        <v>6389148.8099999996</v>
      </c>
      <c r="AW39" s="201">
        <f t="shared" si="110"/>
        <v>18.824726134585291</v>
      </c>
      <c r="AX39" s="201">
        <f t="shared" si="98"/>
        <v>99.986679342723008</v>
      </c>
      <c r="AY39" s="208">
        <v>207345.2</v>
      </c>
      <c r="AZ39" s="201">
        <f t="shared" si="99"/>
        <v>0</v>
      </c>
      <c r="BA39" s="201">
        <f t="shared" si="100"/>
        <v>0</v>
      </c>
      <c r="BB39" s="201">
        <f t="shared" si="101"/>
        <v>0</v>
      </c>
      <c r="BC39" s="201"/>
      <c r="BD39" s="209">
        <v>0</v>
      </c>
      <c r="BE39" s="201">
        <f t="shared" si="102"/>
        <v>0</v>
      </c>
      <c r="BF39" s="208"/>
      <c r="BG39" s="201">
        <f t="shared" si="103"/>
        <v>0</v>
      </c>
      <c r="BH39" s="201">
        <f t="shared" si="103"/>
        <v>6596494.0099999998</v>
      </c>
      <c r="BI39" s="201">
        <f t="shared" si="104"/>
        <v>6596494.0099999998</v>
      </c>
      <c r="BJ39" s="201">
        <f t="shared" si="3"/>
        <v>99.046456606606611</v>
      </c>
      <c r="BK39" s="210">
        <v>5</v>
      </c>
      <c r="BL39" s="210">
        <v>95</v>
      </c>
      <c r="BM39" s="211"/>
      <c r="BN39" s="211"/>
      <c r="BO39" s="212">
        <f t="shared" si="105"/>
        <v>0</v>
      </c>
      <c r="BP39" s="201">
        <f t="shared" si="106"/>
        <v>63505.990000000398</v>
      </c>
      <c r="BQ39" s="201">
        <f t="shared" si="111"/>
        <v>63505.990000000398</v>
      </c>
      <c r="BR39" s="201">
        <f t="shared" si="112"/>
        <v>0</v>
      </c>
      <c r="BS39" s="201">
        <f t="shared" si="112"/>
        <v>851.19000000040978</v>
      </c>
      <c r="BT39" s="201">
        <f t="shared" si="113"/>
        <v>851.19000000040978</v>
      </c>
      <c r="BU39" s="213">
        <f t="shared" si="114"/>
        <v>62654.799999999988</v>
      </c>
      <c r="BV39" s="201">
        <v>270000</v>
      </c>
      <c r="BW39" s="201"/>
      <c r="BX39" s="201">
        <f t="shared" si="115"/>
        <v>270000</v>
      </c>
      <c r="BY39" s="199">
        <v>0</v>
      </c>
      <c r="BZ39" s="199">
        <v>0</v>
      </c>
      <c r="CA39" s="199">
        <v>290900</v>
      </c>
      <c r="CB39" s="199">
        <v>581800</v>
      </c>
      <c r="CC39" s="199">
        <v>872700</v>
      </c>
      <c r="CD39" s="199">
        <v>1163600</v>
      </c>
      <c r="CE39" s="199">
        <v>1345200</v>
      </c>
      <c r="CF39" s="199">
        <v>1202900</v>
      </c>
      <c r="CG39" s="199">
        <v>1202900</v>
      </c>
      <c r="CH39" s="199">
        <v>0</v>
      </c>
      <c r="CI39" s="199">
        <v>0</v>
      </c>
      <c r="CJ39" s="199">
        <v>0</v>
      </c>
      <c r="CK39" s="214" t="s">
        <v>188</v>
      </c>
      <c r="CL39" s="214" t="s">
        <v>171</v>
      </c>
      <c r="CM39" s="211">
        <v>182</v>
      </c>
      <c r="CN39" s="215"/>
      <c r="CO39" s="215">
        <v>200</v>
      </c>
      <c r="CP39" s="216">
        <v>161</v>
      </c>
      <c r="CQ39" s="217"/>
      <c r="CR39" s="211"/>
      <c r="CS39" s="218"/>
      <c r="CT39" s="218"/>
      <c r="CU39" s="218"/>
      <c r="CV39" s="211"/>
      <c r="CW39" s="211"/>
      <c r="CX39" s="211"/>
      <c r="CY39" s="211"/>
      <c r="CZ39" s="211"/>
      <c r="DA39" s="211"/>
      <c r="DB39" s="211"/>
      <c r="DC39" s="219"/>
      <c r="DD39" s="219"/>
      <c r="DE39" s="219"/>
      <c r="DF39" s="211"/>
      <c r="DG39" s="211"/>
      <c r="DH39" s="211"/>
      <c r="DI39" s="211"/>
      <c r="DJ39" s="211"/>
      <c r="DK39" s="220" t="s">
        <v>32</v>
      </c>
      <c r="DT39" s="222"/>
    </row>
    <row r="40" spans="1:124" s="176" customFormat="1" ht="42" x14ac:dyDescent="0.2">
      <c r="A40" s="195" t="s">
        <v>119</v>
      </c>
      <c r="B40" s="197" t="s">
        <v>189</v>
      </c>
      <c r="C40" s="198">
        <v>1</v>
      </c>
      <c r="D40" s="199">
        <v>4000000</v>
      </c>
      <c r="E40" s="198" t="s">
        <v>190</v>
      </c>
      <c r="F40" s="198" t="s">
        <v>191</v>
      </c>
      <c r="G40" s="198" t="s">
        <v>123</v>
      </c>
      <c r="H40" s="200">
        <v>1</v>
      </c>
      <c r="I40" s="199">
        <f t="shared" si="80"/>
        <v>0</v>
      </c>
      <c r="J40" s="199">
        <f t="shared" si="81"/>
        <v>4000000</v>
      </c>
      <c r="K40" s="199">
        <f t="shared" si="82"/>
        <v>4000000</v>
      </c>
      <c r="L40" s="199">
        <v>0</v>
      </c>
      <c r="M40" s="199">
        <v>4000000</v>
      </c>
      <c r="N40" s="199">
        <f t="shared" si="83"/>
        <v>4000000</v>
      </c>
      <c r="O40" s="199"/>
      <c r="P40" s="201">
        <v>0</v>
      </c>
      <c r="Q40" s="202">
        <v>20</v>
      </c>
      <c r="R40" s="203">
        <v>45566</v>
      </c>
      <c r="S40" s="204"/>
      <c r="T40" s="204">
        <v>4000000</v>
      </c>
      <c r="U40" s="204">
        <f t="shared" si="84"/>
        <v>4000000</v>
      </c>
      <c r="V40" s="205">
        <v>228</v>
      </c>
      <c r="W40" s="200">
        <v>45586</v>
      </c>
      <c r="X40" s="201"/>
      <c r="Y40" s="201">
        <v>-120300</v>
      </c>
      <c r="Z40" s="201">
        <f t="shared" si="85"/>
        <v>-120300</v>
      </c>
      <c r="AA40" s="198">
        <v>690</v>
      </c>
      <c r="AB40" s="206">
        <v>45622</v>
      </c>
      <c r="AC40" s="207"/>
      <c r="AD40" s="201">
        <v>-1054.32</v>
      </c>
      <c r="AE40" s="204">
        <f t="shared" si="86"/>
        <v>-1054.32</v>
      </c>
      <c r="AF40" s="203">
        <f t="shared" si="87"/>
        <v>45566</v>
      </c>
      <c r="AG40" s="201">
        <f t="shared" si="88"/>
        <v>0</v>
      </c>
      <c r="AH40" s="204">
        <f t="shared" si="89"/>
        <v>3998945.68</v>
      </c>
      <c r="AI40" s="204">
        <f t="shared" si="90"/>
        <v>3998945.68</v>
      </c>
      <c r="AJ40" s="201">
        <f t="shared" si="91"/>
        <v>0</v>
      </c>
      <c r="AK40" s="201">
        <f t="shared" si="91"/>
        <v>3878645.68</v>
      </c>
      <c r="AL40" s="201">
        <f t="shared" si="92"/>
        <v>3878645.68</v>
      </c>
      <c r="AM40" s="205">
        <v>229</v>
      </c>
      <c r="AN40" s="200">
        <v>45586</v>
      </c>
      <c r="AO40" s="208">
        <v>120300</v>
      </c>
      <c r="AP40" s="201">
        <f t="shared" si="93"/>
        <v>0</v>
      </c>
      <c r="AQ40" s="201">
        <f t="shared" si="94"/>
        <v>3590170.45</v>
      </c>
      <c r="AR40" s="201">
        <f t="shared" si="95"/>
        <v>3590170.45</v>
      </c>
      <c r="AS40" s="201">
        <f t="shared" si="96"/>
        <v>89.777924915449205</v>
      </c>
      <c r="AT40" s="201"/>
      <c r="AU40" s="209">
        <v>3513050.45</v>
      </c>
      <c r="AV40" s="201">
        <f t="shared" si="97"/>
        <v>3513050.45</v>
      </c>
      <c r="AW40" s="201">
        <f t="shared" si="110"/>
        <v>10.312878076555835</v>
      </c>
      <c r="AX40" s="201">
        <f t="shared" si="98"/>
        <v>90.574152419099022</v>
      </c>
      <c r="AY40" s="208">
        <v>77120</v>
      </c>
      <c r="AZ40" s="201">
        <f t="shared" si="99"/>
        <v>0</v>
      </c>
      <c r="BA40" s="201">
        <f t="shared" si="100"/>
        <v>20982.639999999999</v>
      </c>
      <c r="BB40" s="201">
        <f t="shared" si="101"/>
        <v>20982.639999999999</v>
      </c>
      <c r="BC40" s="201"/>
      <c r="BD40" s="209">
        <v>20982.639999999999</v>
      </c>
      <c r="BE40" s="201">
        <f t="shared" si="102"/>
        <v>20982.639999999999</v>
      </c>
      <c r="BF40" s="208"/>
      <c r="BG40" s="201">
        <f t="shared" si="103"/>
        <v>0</v>
      </c>
      <c r="BH40" s="201">
        <f t="shared" si="103"/>
        <v>3611153.0900000003</v>
      </c>
      <c r="BI40" s="201">
        <f t="shared" si="104"/>
        <v>3611153.0900000003</v>
      </c>
      <c r="BJ40" s="201">
        <f t="shared" si="3"/>
        <v>90.302629217009027</v>
      </c>
      <c r="BK40" s="210">
        <v>8</v>
      </c>
      <c r="BL40" s="210">
        <v>85</v>
      </c>
      <c r="BM40" s="211"/>
      <c r="BN40" s="211"/>
      <c r="BO40" s="212">
        <f t="shared" si="105"/>
        <v>0</v>
      </c>
      <c r="BP40" s="201">
        <f t="shared" si="106"/>
        <v>408775.23</v>
      </c>
      <c r="BQ40" s="201">
        <f t="shared" si="111"/>
        <v>408775.23</v>
      </c>
      <c r="BR40" s="201">
        <f t="shared" si="112"/>
        <v>0</v>
      </c>
      <c r="BS40" s="201">
        <f t="shared" si="112"/>
        <v>365595.23</v>
      </c>
      <c r="BT40" s="201">
        <f t="shared" si="113"/>
        <v>365595.23</v>
      </c>
      <c r="BU40" s="213">
        <f t="shared" si="114"/>
        <v>43180</v>
      </c>
      <c r="BV40" s="201">
        <f>120300+1054.32</f>
        <v>121354.32</v>
      </c>
      <c r="BW40" s="201"/>
      <c r="BX40" s="201">
        <f t="shared" si="115"/>
        <v>121354.32</v>
      </c>
      <c r="BY40" s="199"/>
      <c r="BZ40" s="199">
        <v>400000</v>
      </c>
      <c r="CA40" s="199">
        <v>400000</v>
      </c>
      <c r="CB40" s="199">
        <v>400000</v>
      </c>
      <c r="CC40" s="199">
        <v>400000</v>
      </c>
      <c r="CD40" s="199">
        <v>400000</v>
      </c>
      <c r="CE40" s="199">
        <v>400000</v>
      </c>
      <c r="CF40" s="199">
        <v>400000</v>
      </c>
      <c r="CG40" s="199">
        <v>400000</v>
      </c>
      <c r="CH40" s="199">
        <v>400000</v>
      </c>
      <c r="CI40" s="199">
        <v>400000</v>
      </c>
      <c r="CJ40" s="199"/>
      <c r="CK40" s="214" t="s">
        <v>192</v>
      </c>
      <c r="CL40" s="214" t="s">
        <v>171</v>
      </c>
      <c r="CM40" s="211">
        <v>182</v>
      </c>
      <c r="CN40" s="215"/>
      <c r="CO40" s="215">
        <v>300</v>
      </c>
      <c r="CP40" s="216">
        <v>425</v>
      </c>
      <c r="CQ40" s="217"/>
      <c r="CR40" s="211"/>
      <c r="CS40" s="218"/>
      <c r="CT40" s="218"/>
      <c r="CU40" s="218"/>
      <c r="CV40" s="211"/>
      <c r="CW40" s="211"/>
      <c r="CX40" s="211"/>
      <c r="CY40" s="211"/>
      <c r="CZ40" s="211"/>
      <c r="DA40" s="211"/>
      <c r="DB40" s="211"/>
      <c r="DC40" s="219"/>
      <c r="DD40" s="219"/>
      <c r="DE40" s="219"/>
      <c r="DF40" s="211"/>
      <c r="DG40" s="211"/>
      <c r="DH40" s="211"/>
      <c r="DI40" s="211"/>
      <c r="DJ40" s="211"/>
      <c r="DK40" s="220" t="s">
        <v>32</v>
      </c>
      <c r="DT40" s="222"/>
    </row>
    <row r="41" spans="1:124" s="176" customFormat="1" ht="42" x14ac:dyDescent="0.2">
      <c r="A41" s="195" t="s">
        <v>94</v>
      </c>
      <c r="B41" s="197" t="s">
        <v>193</v>
      </c>
      <c r="C41" s="198">
        <v>1</v>
      </c>
      <c r="D41" s="199">
        <v>9500000</v>
      </c>
      <c r="E41" s="198" t="s">
        <v>194</v>
      </c>
      <c r="F41" s="198" t="s">
        <v>195</v>
      </c>
      <c r="G41" s="198" t="s">
        <v>139</v>
      </c>
      <c r="H41" s="200">
        <v>1</v>
      </c>
      <c r="I41" s="199">
        <f t="shared" si="80"/>
        <v>0</v>
      </c>
      <c r="J41" s="199">
        <f t="shared" si="81"/>
        <v>9500000</v>
      </c>
      <c r="K41" s="199">
        <f t="shared" si="82"/>
        <v>9500000</v>
      </c>
      <c r="L41" s="199">
        <v>0</v>
      </c>
      <c r="M41" s="199">
        <v>9500000</v>
      </c>
      <c r="N41" s="199">
        <f t="shared" si="83"/>
        <v>9500000</v>
      </c>
      <c r="O41" s="199"/>
      <c r="P41" s="201">
        <v>0</v>
      </c>
      <c r="Q41" s="202">
        <v>20</v>
      </c>
      <c r="R41" s="203">
        <v>45566</v>
      </c>
      <c r="S41" s="204"/>
      <c r="T41" s="204">
        <v>9500000</v>
      </c>
      <c r="U41" s="204">
        <f t="shared" si="84"/>
        <v>9500000</v>
      </c>
      <c r="V41" s="205">
        <v>228</v>
      </c>
      <c r="W41" s="200">
        <v>45586</v>
      </c>
      <c r="X41" s="201"/>
      <c r="Y41" s="201">
        <v>-275700</v>
      </c>
      <c r="Z41" s="201">
        <f t="shared" si="85"/>
        <v>-275700</v>
      </c>
      <c r="AA41" s="198">
        <v>2340</v>
      </c>
      <c r="AB41" s="206">
        <v>45803</v>
      </c>
      <c r="AC41" s="207"/>
      <c r="AD41" s="201">
        <v>-131441</v>
      </c>
      <c r="AE41" s="204">
        <f t="shared" si="86"/>
        <v>-131441</v>
      </c>
      <c r="AF41" s="203">
        <f t="shared" si="87"/>
        <v>45566</v>
      </c>
      <c r="AG41" s="201">
        <f t="shared" si="88"/>
        <v>0</v>
      </c>
      <c r="AH41" s="204">
        <f t="shared" si="89"/>
        <v>9368559</v>
      </c>
      <c r="AI41" s="204">
        <f t="shared" si="90"/>
        <v>9368559</v>
      </c>
      <c r="AJ41" s="201">
        <f t="shared" si="91"/>
        <v>0</v>
      </c>
      <c r="AK41" s="201">
        <f t="shared" si="91"/>
        <v>9092859</v>
      </c>
      <c r="AL41" s="201">
        <f t="shared" si="92"/>
        <v>9092859</v>
      </c>
      <c r="AM41" s="205">
        <v>229</v>
      </c>
      <c r="AN41" s="200">
        <v>45586</v>
      </c>
      <c r="AO41" s="208">
        <v>275700</v>
      </c>
      <c r="AP41" s="201">
        <f t="shared" si="93"/>
        <v>0</v>
      </c>
      <c r="AQ41" s="201">
        <f t="shared" si="94"/>
        <v>7908229.4500000002</v>
      </c>
      <c r="AR41" s="201">
        <f t="shared" si="95"/>
        <v>7908229.4500000002</v>
      </c>
      <c r="AS41" s="201">
        <f t="shared" si="96"/>
        <v>84.412442190949534</v>
      </c>
      <c r="AT41" s="201"/>
      <c r="AU41" s="209">
        <v>7739875.0499999998</v>
      </c>
      <c r="AV41" s="201">
        <f t="shared" si="97"/>
        <v>7739875.0499999998</v>
      </c>
      <c r="AW41" s="201">
        <f t="shared" si="110"/>
        <v>8.8596996830149894</v>
      </c>
      <c r="AX41" s="201">
        <f t="shared" si="98"/>
        <v>85.120368082250039</v>
      </c>
      <c r="AY41" s="208">
        <v>168354.4</v>
      </c>
      <c r="AZ41" s="201">
        <f t="shared" si="99"/>
        <v>0</v>
      </c>
      <c r="BA41" s="201">
        <f t="shared" si="100"/>
        <v>65580</v>
      </c>
      <c r="BB41" s="201">
        <f t="shared" si="101"/>
        <v>65580</v>
      </c>
      <c r="BC41" s="201"/>
      <c r="BD41" s="209">
        <v>65580</v>
      </c>
      <c r="BE41" s="201">
        <f t="shared" si="102"/>
        <v>65580</v>
      </c>
      <c r="BF41" s="208"/>
      <c r="BG41" s="201">
        <f t="shared" si="103"/>
        <v>0</v>
      </c>
      <c r="BH41" s="201">
        <f t="shared" si="103"/>
        <v>7973809.4500000002</v>
      </c>
      <c r="BI41" s="201">
        <f t="shared" si="104"/>
        <v>7973809.4500000002</v>
      </c>
      <c r="BJ41" s="201">
        <f t="shared" si="3"/>
        <v>85.112443119587553</v>
      </c>
      <c r="BK41" s="210">
        <v>10</v>
      </c>
      <c r="BL41" s="210">
        <v>75</v>
      </c>
      <c r="BM41" s="211"/>
      <c r="BN41" s="211"/>
      <c r="BO41" s="212">
        <f t="shared" si="105"/>
        <v>0</v>
      </c>
      <c r="BP41" s="201">
        <f t="shared" si="106"/>
        <v>1460329.5500000003</v>
      </c>
      <c r="BQ41" s="201">
        <f t="shared" si="111"/>
        <v>1460329.5500000003</v>
      </c>
      <c r="BR41" s="201">
        <f t="shared" si="112"/>
        <v>0</v>
      </c>
      <c r="BS41" s="201">
        <f t="shared" si="112"/>
        <v>1352983.9500000002</v>
      </c>
      <c r="BT41" s="201">
        <f t="shared" si="113"/>
        <v>1352983.9500000002</v>
      </c>
      <c r="BU41" s="213">
        <f t="shared" si="114"/>
        <v>107345.60000000001</v>
      </c>
      <c r="BV41" s="201">
        <f>275700+131441</f>
        <v>407141</v>
      </c>
      <c r="BW41" s="201"/>
      <c r="BX41" s="201">
        <f t="shared" si="115"/>
        <v>407141</v>
      </c>
      <c r="BY41" s="199">
        <v>555500</v>
      </c>
      <c r="BZ41" s="199">
        <v>1000000</v>
      </c>
      <c r="CA41" s="199">
        <v>1155500</v>
      </c>
      <c r="CB41" s="199">
        <v>1205500</v>
      </c>
      <c r="CC41" s="199">
        <v>1205500</v>
      </c>
      <c r="CD41" s="199">
        <v>1205500</v>
      </c>
      <c r="CE41" s="199">
        <v>1005600</v>
      </c>
      <c r="CF41" s="199">
        <v>805600</v>
      </c>
      <c r="CG41" s="199">
        <v>705800</v>
      </c>
      <c r="CH41" s="199">
        <v>655500</v>
      </c>
      <c r="CI41" s="199">
        <v>0</v>
      </c>
      <c r="CJ41" s="199">
        <v>0</v>
      </c>
      <c r="CK41" s="214" t="s">
        <v>196</v>
      </c>
      <c r="CL41" s="214" t="s">
        <v>171</v>
      </c>
      <c r="CM41" s="211">
        <v>182</v>
      </c>
      <c r="CN41" s="215"/>
      <c r="CO41" s="215">
        <v>1156</v>
      </c>
      <c r="CP41" s="216">
        <v>112</v>
      </c>
      <c r="CQ41" s="217"/>
      <c r="CR41" s="211"/>
      <c r="CS41" s="218"/>
      <c r="CT41" s="218"/>
      <c r="CU41" s="218"/>
      <c r="CV41" s="211"/>
      <c r="CW41" s="211"/>
      <c r="CX41" s="211"/>
      <c r="CY41" s="211"/>
      <c r="CZ41" s="211"/>
      <c r="DA41" s="211"/>
      <c r="DB41" s="211"/>
      <c r="DC41" s="219"/>
      <c r="DD41" s="219"/>
      <c r="DE41" s="219"/>
      <c r="DF41" s="211"/>
      <c r="DG41" s="211"/>
      <c r="DH41" s="211"/>
      <c r="DI41" s="211"/>
      <c r="DJ41" s="211"/>
      <c r="DK41" s="220" t="s">
        <v>32</v>
      </c>
      <c r="DT41" s="222"/>
    </row>
    <row r="42" spans="1:124" s="176" customFormat="1" ht="42" x14ac:dyDescent="0.2">
      <c r="A42" s="195" t="s">
        <v>197</v>
      </c>
      <c r="B42" s="197" t="s">
        <v>198</v>
      </c>
      <c r="C42" s="198">
        <v>1</v>
      </c>
      <c r="D42" s="199">
        <v>1663000</v>
      </c>
      <c r="E42" s="198" t="s">
        <v>199</v>
      </c>
      <c r="F42" s="198" t="s">
        <v>150</v>
      </c>
      <c r="G42" s="198" t="s">
        <v>151</v>
      </c>
      <c r="H42" s="200">
        <v>1</v>
      </c>
      <c r="I42" s="199">
        <f t="shared" si="80"/>
        <v>0</v>
      </c>
      <c r="J42" s="199">
        <f t="shared" si="81"/>
        <v>1663000</v>
      </c>
      <c r="K42" s="199">
        <f t="shared" si="82"/>
        <v>1663000</v>
      </c>
      <c r="L42" s="199">
        <v>0</v>
      </c>
      <c r="M42" s="199">
        <v>1663000</v>
      </c>
      <c r="N42" s="199">
        <f t="shared" si="83"/>
        <v>1663000</v>
      </c>
      <c r="O42" s="199"/>
      <c r="P42" s="201">
        <v>0</v>
      </c>
      <c r="Q42" s="202">
        <v>20</v>
      </c>
      <c r="R42" s="203">
        <v>45566</v>
      </c>
      <c r="S42" s="204"/>
      <c r="T42" s="204">
        <v>1663000</v>
      </c>
      <c r="U42" s="204">
        <f t="shared" si="84"/>
        <v>1663000</v>
      </c>
      <c r="V42" s="205"/>
      <c r="W42" s="200"/>
      <c r="X42" s="201"/>
      <c r="Y42" s="201"/>
      <c r="Z42" s="201">
        <f t="shared" si="85"/>
        <v>0</v>
      </c>
      <c r="AA42" s="198"/>
      <c r="AB42" s="206"/>
      <c r="AC42" s="207"/>
      <c r="AD42" s="201"/>
      <c r="AE42" s="204">
        <f t="shared" si="86"/>
        <v>0</v>
      </c>
      <c r="AF42" s="203">
        <f t="shared" si="87"/>
        <v>45566</v>
      </c>
      <c r="AG42" s="201">
        <f t="shared" si="88"/>
        <v>0</v>
      </c>
      <c r="AH42" s="204">
        <f t="shared" si="89"/>
        <v>1663000</v>
      </c>
      <c r="AI42" s="204">
        <f t="shared" si="90"/>
        <v>1663000</v>
      </c>
      <c r="AJ42" s="201">
        <f t="shared" si="91"/>
        <v>0</v>
      </c>
      <c r="AK42" s="201">
        <f t="shared" si="91"/>
        <v>1663000</v>
      </c>
      <c r="AL42" s="201">
        <f t="shared" si="92"/>
        <v>1663000</v>
      </c>
      <c r="AM42" s="202"/>
      <c r="AN42" s="203"/>
      <c r="AO42" s="208"/>
      <c r="AP42" s="201">
        <f t="shared" si="93"/>
        <v>0</v>
      </c>
      <c r="AQ42" s="201">
        <f t="shared" si="94"/>
        <v>1662438.3999999999</v>
      </c>
      <c r="AR42" s="201">
        <f t="shared" si="95"/>
        <v>1662438.3999999999</v>
      </c>
      <c r="AS42" s="201">
        <f t="shared" si="96"/>
        <v>99.966229705351779</v>
      </c>
      <c r="AT42" s="201"/>
      <c r="AU42" s="209">
        <v>1662438.3999999999</v>
      </c>
      <c r="AV42" s="201">
        <f t="shared" si="97"/>
        <v>1662438.3999999999</v>
      </c>
      <c r="AW42" s="201">
        <f t="shared" si="110"/>
        <v>2.4052916416115453</v>
      </c>
      <c r="AX42" s="201">
        <f t="shared" si="98"/>
        <v>99.966229705351779</v>
      </c>
      <c r="AY42" s="208"/>
      <c r="AZ42" s="201">
        <f t="shared" si="99"/>
        <v>0</v>
      </c>
      <c r="BA42" s="201">
        <f t="shared" si="100"/>
        <v>0</v>
      </c>
      <c r="BB42" s="201">
        <f t="shared" si="101"/>
        <v>0</v>
      </c>
      <c r="BC42" s="201"/>
      <c r="BD42" s="209">
        <v>0</v>
      </c>
      <c r="BE42" s="201">
        <f t="shared" si="102"/>
        <v>0</v>
      </c>
      <c r="BF42" s="208"/>
      <c r="BG42" s="201">
        <f t="shared" si="103"/>
        <v>0</v>
      </c>
      <c r="BH42" s="201">
        <f t="shared" si="103"/>
        <v>1662438.3999999999</v>
      </c>
      <c r="BI42" s="201">
        <f t="shared" si="104"/>
        <v>1662438.3999999999</v>
      </c>
      <c r="BJ42" s="201">
        <f t="shared" si="3"/>
        <v>99.966229705351779</v>
      </c>
      <c r="BK42" s="210">
        <v>10</v>
      </c>
      <c r="BL42" s="210">
        <v>100</v>
      </c>
      <c r="BM42" s="211"/>
      <c r="BN42" s="211"/>
      <c r="BO42" s="212">
        <f t="shared" si="105"/>
        <v>0</v>
      </c>
      <c r="BP42" s="201">
        <f t="shared" si="106"/>
        <v>561.60000000009313</v>
      </c>
      <c r="BQ42" s="201">
        <f t="shared" si="111"/>
        <v>561.60000000009313</v>
      </c>
      <c r="BR42" s="201">
        <f t="shared" si="112"/>
        <v>0</v>
      </c>
      <c r="BS42" s="201">
        <f t="shared" si="112"/>
        <v>561.60000000009313</v>
      </c>
      <c r="BT42" s="201">
        <f t="shared" si="113"/>
        <v>561.60000000009313</v>
      </c>
      <c r="BU42" s="213">
        <f t="shared" si="114"/>
        <v>0</v>
      </c>
      <c r="BV42" s="201"/>
      <c r="BW42" s="201"/>
      <c r="BX42" s="201">
        <f t="shared" si="115"/>
        <v>0</v>
      </c>
      <c r="BY42" s="199">
        <v>550000</v>
      </c>
      <c r="BZ42" s="199">
        <v>740000</v>
      </c>
      <c r="CA42" s="199">
        <v>80000</v>
      </c>
      <c r="CB42" s="199">
        <v>60000</v>
      </c>
      <c r="CC42" s="199">
        <v>60000</v>
      </c>
      <c r="CD42" s="199">
        <v>60000</v>
      </c>
      <c r="CE42" s="199">
        <v>50000</v>
      </c>
      <c r="CF42" s="199">
        <v>40000</v>
      </c>
      <c r="CG42" s="199">
        <v>23000</v>
      </c>
      <c r="CH42" s="199">
        <v>0</v>
      </c>
      <c r="CI42" s="199">
        <v>0</v>
      </c>
      <c r="CJ42" s="199">
        <v>0</v>
      </c>
      <c r="CK42" s="214" t="s">
        <v>200</v>
      </c>
      <c r="CL42" s="214" t="s">
        <v>171</v>
      </c>
      <c r="CM42" s="211">
        <v>182</v>
      </c>
      <c r="CN42" s="215"/>
      <c r="CO42" s="215">
        <v>1300</v>
      </c>
      <c r="CP42" s="216"/>
      <c r="CQ42" s="217"/>
      <c r="CR42" s="211"/>
      <c r="CS42" s="218"/>
      <c r="CT42" s="218"/>
      <c r="CU42" s="218"/>
      <c r="CV42" s="211"/>
      <c r="CW42" s="211"/>
      <c r="CX42" s="211"/>
      <c r="CY42" s="211"/>
      <c r="CZ42" s="211"/>
      <c r="DA42" s="211"/>
      <c r="DB42" s="211"/>
      <c r="DC42" s="219"/>
      <c r="DD42" s="219"/>
      <c r="DE42" s="219"/>
      <c r="DF42" s="211"/>
      <c r="DG42" s="211"/>
      <c r="DH42" s="211"/>
      <c r="DI42" s="211"/>
      <c r="DJ42" s="211"/>
      <c r="DK42" s="220" t="s">
        <v>32</v>
      </c>
      <c r="DL42" s="248"/>
      <c r="DT42" s="222"/>
    </row>
    <row r="43" spans="1:124" s="176" customFormat="1" ht="42" x14ac:dyDescent="0.2">
      <c r="A43" s="195" t="s">
        <v>197</v>
      </c>
      <c r="B43" s="197" t="s">
        <v>201</v>
      </c>
      <c r="C43" s="198">
        <v>1</v>
      </c>
      <c r="D43" s="199">
        <v>9500000</v>
      </c>
      <c r="E43" s="198" t="s">
        <v>149</v>
      </c>
      <c r="F43" s="198" t="s">
        <v>150</v>
      </c>
      <c r="G43" s="198" t="s">
        <v>151</v>
      </c>
      <c r="H43" s="200">
        <v>1</v>
      </c>
      <c r="I43" s="199">
        <f t="shared" si="80"/>
        <v>0</v>
      </c>
      <c r="J43" s="199">
        <f t="shared" si="81"/>
        <v>9500000</v>
      </c>
      <c r="K43" s="199">
        <f t="shared" si="82"/>
        <v>9500000</v>
      </c>
      <c r="L43" s="199">
        <v>0</v>
      </c>
      <c r="M43" s="199">
        <v>9500000</v>
      </c>
      <c r="N43" s="199">
        <f t="shared" si="83"/>
        <v>9500000</v>
      </c>
      <c r="O43" s="199"/>
      <c r="P43" s="201">
        <v>0</v>
      </c>
      <c r="Q43" s="202">
        <v>20</v>
      </c>
      <c r="R43" s="203">
        <v>45566</v>
      </c>
      <c r="S43" s="204"/>
      <c r="T43" s="204">
        <v>9500000</v>
      </c>
      <c r="U43" s="204">
        <f t="shared" si="84"/>
        <v>9500000</v>
      </c>
      <c r="V43" s="205">
        <v>228</v>
      </c>
      <c r="W43" s="200">
        <v>45586</v>
      </c>
      <c r="X43" s="201"/>
      <c r="Y43" s="201">
        <v>-403600</v>
      </c>
      <c r="Z43" s="201">
        <f t="shared" si="85"/>
        <v>-403600</v>
      </c>
      <c r="AA43" s="198">
        <v>690</v>
      </c>
      <c r="AB43" s="206">
        <v>45622</v>
      </c>
      <c r="AC43" s="207"/>
      <c r="AD43" s="201">
        <f>+-117242.96+-223420.46</f>
        <v>-340663.42</v>
      </c>
      <c r="AE43" s="204">
        <f t="shared" si="86"/>
        <v>-340663.42</v>
      </c>
      <c r="AF43" s="203">
        <f t="shared" si="87"/>
        <v>45566</v>
      </c>
      <c r="AG43" s="201">
        <f t="shared" si="88"/>
        <v>0</v>
      </c>
      <c r="AH43" s="204">
        <f t="shared" si="89"/>
        <v>9159336.5800000001</v>
      </c>
      <c r="AI43" s="204">
        <f t="shared" si="90"/>
        <v>9159336.5800000001</v>
      </c>
      <c r="AJ43" s="201">
        <f t="shared" si="91"/>
        <v>0</v>
      </c>
      <c r="AK43" s="201">
        <f t="shared" si="91"/>
        <v>8755736.5800000001</v>
      </c>
      <c r="AL43" s="201">
        <f t="shared" si="92"/>
        <v>8755736.5800000001</v>
      </c>
      <c r="AM43" s="205">
        <v>229</v>
      </c>
      <c r="AN43" s="200">
        <v>45586</v>
      </c>
      <c r="AO43" s="208">
        <v>403600</v>
      </c>
      <c r="AP43" s="201">
        <f t="shared" si="93"/>
        <v>0</v>
      </c>
      <c r="AQ43" s="201">
        <f t="shared" si="94"/>
        <v>8418578.4199999999</v>
      </c>
      <c r="AR43" s="201">
        <f t="shared" si="95"/>
        <v>8418578.4199999999</v>
      </c>
      <c r="AS43" s="201">
        <f t="shared" si="96"/>
        <v>91.912534783168766</v>
      </c>
      <c r="AT43" s="201"/>
      <c r="AU43" s="209">
        <v>8178854.0599999996</v>
      </c>
      <c r="AV43" s="201">
        <f t="shared" si="97"/>
        <v>8178854.0599999996</v>
      </c>
      <c r="AW43" s="201">
        <f t="shared" si="110"/>
        <v>10.850029478616406</v>
      </c>
      <c r="AX43" s="201">
        <f t="shared" si="98"/>
        <v>93.411376476106824</v>
      </c>
      <c r="AY43" s="208">
        <v>239724.36</v>
      </c>
      <c r="AZ43" s="201">
        <f t="shared" si="99"/>
        <v>0</v>
      </c>
      <c r="BA43" s="201">
        <f t="shared" si="100"/>
        <v>87127.5</v>
      </c>
      <c r="BB43" s="201">
        <f t="shared" si="101"/>
        <v>87127.5</v>
      </c>
      <c r="BC43" s="201"/>
      <c r="BD43" s="209">
        <v>87127.5</v>
      </c>
      <c r="BE43" s="201">
        <f t="shared" si="102"/>
        <v>87127.5</v>
      </c>
      <c r="BF43" s="208"/>
      <c r="BG43" s="201">
        <f t="shared" si="103"/>
        <v>0</v>
      </c>
      <c r="BH43" s="201">
        <f t="shared" si="103"/>
        <v>8505705.9199999999</v>
      </c>
      <c r="BI43" s="201">
        <f t="shared" si="104"/>
        <v>8505705.9199999999</v>
      </c>
      <c r="BJ43" s="201">
        <f t="shared" si="3"/>
        <v>92.863777258417983</v>
      </c>
      <c r="BK43" s="210">
        <v>7</v>
      </c>
      <c r="BL43" s="210">
        <v>80</v>
      </c>
      <c r="BM43" s="211"/>
      <c r="BN43" s="214" t="s">
        <v>152</v>
      </c>
      <c r="BO43" s="212">
        <f t="shared" si="105"/>
        <v>0</v>
      </c>
      <c r="BP43" s="201">
        <f t="shared" si="106"/>
        <v>740758.1600000005</v>
      </c>
      <c r="BQ43" s="201">
        <f t="shared" si="111"/>
        <v>740758.1600000005</v>
      </c>
      <c r="BR43" s="201">
        <f t="shared" si="112"/>
        <v>0</v>
      </c>
      <c r="BS43" s="201">
        <f t="shared" si="112"/>
        <v>576882.52000000048</v>
      </c>
      <c r="BT43" s="201">
        <f t="shared" si="113"/>
        <v>576882.52000000048</v>
      </c>
      <c r="BU43" s="213">
        <f t="shared" si="114"/>
        <v>163875.64000000001</v>
      </c>
      <c r="BV43" s="201">
        <f>403600+117242.96+223420.46</f>
        <v>744263.42</v>
      </c>
      <c r="BW43" s="201"/>
      <c r="BX43" s="201">
        <f t="shared" si="115"/>
        <v>744263.42</v>
      </c>
      <c r="BY43" s="199">
        <v>475000</v>
      </c>
      <c r="BZ43" s="199">
        <v>475000</v>
      </c>
      <c r="CA43" s="199">
        <v>475000</v>
      </c>
      <c r="CB43" s="199">
        <v>950000</v>
      </c>
      <c r="CC43" s="199">
        <v>950000</v>
      </c>
      <c r="CD43" s="199">
        <v>950000</v>
      </c>
      <c r="CE43" s="199">
        <v>950000</v>
      </c>
      <c r="CF43" s="199">
        <v>950000</v>
      </c>
      <c r="CG43" s="199">
        <v>950000</v>
      </c>
      <c r="CH43" s="199">
        <v>950000</v>
      </c>
      <c r="CI43" s="199">
        <v>950000</v>
      </c>
      <c r="CJ43" s="199">
        <v>475000</v>
      </c>
      <c r="CK43" s="214" t="s">
        <v>202</v>
      </c>
      <c r="CL43" s="214" t="s">
        <v>171</v>
      </c>
      <c r="CM43" s="211">
        <v>182</v>
      </c>
      <c r="CN43" s="215"/>
      <c r="CO43" s="215">
        <v>1135</v>
      </c>
      <c r="CP43" s="216">
        <v>227</v>
      </c>
      <c r="CQ43" s="217"/>
      <c r="CR43" s="211"/>
      <c r="CS43" s="218"/>
      <c r="CT43" s="218"/>
      <c r="CU43" s="218"/>
      <c r="CV43" s="211"/>
      <c r="CW43" s="211"/>
      <c r="CX43" s="211"/>
      <c r="CY43" s="211"/>
      <c r="CZ43" s="211"/>
      <c r="DA43" s="211"/>
      <c r="DB43" s="211"/>
      <c r="DC43" s="219"/>
      <c r="DD43" s="219"/>
      <c r="DE43" s="219"/>
      <c r="DF43" s="211"/>
      <c r="DG43" s="211"/>
      <c r="DH43" s="211"/>
      <c r="DI43" s="211"/>
      <c r="DJ43" s="211"/>
      <c r="DK43" s="220" t="s">
        <v>32</v>
      </c>
      <c r="DL43" s="248"/>
      <c r="DT43" s="222"/>
    </row>
    <row r="44" spans="1:124" s="176" customFormat="1" ht="42" x14ac:dyDescent="0.2">
      <c r="A44" s="195" t="s">
        <v>197</v>
      </c>
      <c r="B44" s="197" t="s">
        <v>203</v>
      </c>
      <c r="C44" s="198">
        <v>1</v>
      </c>
      <c r="D44" s="199">
        <v>6100000</v>
      </c>
      <c r="E44" s="198" t="s">
        <v>149</v>
      </c>
      <c r="F44" s="198" t="s">
        <v>150</v>
      </c>
      <c r="G44" s="198" t="s">
        <v>151</v>
      </c>
      <c r="H44" s="200">
        <v>1</v>
      </c>
      <c r="I44" s="199">
        <f t="shared" si="80"/>
        <v>462000</v>
      </c>
      <c r="J44" s="199">
        <f t="shared" si="81"/>
        <v>5638000</v>
      </c>
      <c r="K44" s="199">
        <f t="shared" si="82"/>
        <v>6100000</v>
      </c>
      <c r="L44" s="199">
        <f>462000</f>
        <v>462000</v>
      </c>
      <c r="M44" s="199">
        <f>8000+5630000</f>
        <v>5638000</v>
      </c>
      <c r="N44" s="199">
        <f t="shared" si="83"/>
        <v>6100000</v>
      </c>
      <c r="O44" s="199"/>
      <c r="P44" s="201">
        <v>0</v>
      </c>
      <c r="Q44" s="202">
        <v>19</v>
      </c>
      <c r="R44" s="203">
        <v>45566</v>
      </c>
      <c r="S44" s="204"/>
      <c r="T44" s="204">
        <v>5630000</v>
      </c>
      <c r="U44" s="204">
        <f t="shared" si="84"/>
        <v>5630000</v>
      </c>
      <c r="V44" s="205">
        <v>706</v>
      </c>
      <c r="W44" s="200">
        <v>45623</v>
      </c>
      <c r="X44" s="201">
        <v>438627</v>
      </c>
      <c r="Y44" s="201">
        <v>7676</v>
      </c>
      <c r="Z44" s="201">
        <f t="shared" si="85"/>
        <v>446303</v>
      </c>
      <c r="AA44" s="198">
        <v>1033</v>
      </c>
      <c r="AB44" s="206">
        <v>45653</v>
      </c>
      <c r="AC44" s="207"/>
      <c r="AD44" s="201">
        <f>+-109750+-230362.59</f>
        <v>-340112.58999999997</v>
      </c>
      <c r="AE44" s="204">
        <f t="shared" si="86"/>
        <v>-340112.58999999997</v>
      </c>
      <c r="AF44" s="203">
        <f t="shared" si="87"/>
        <v>45566</v>
      </c>
      <c r="AG44" s="201">
        <f t="shared" si="88"/>
        <v>438627</v>
      </c>
      <c r="AH44" s="204">
        <f t="shared" si="89"/>
        <v>5297563.41</v>
      </c>
      <c r="AI44" s="204">
        <f t="shared" si="90"/>
        <v>5736190.4100000001</v>
      </c>
      <c r="AJ44" s="201">
        <f t="shared" si="91"/>
        <v>438627</v>
      </c>
      <c r="AK44" s="201">
        <f t="shared" si="91"/>
        <v>5297563.41</v>
      </c>
      <c r="AL44" s="201">
        <f t="shared" si="92"/>
        <v>5736190.4100000001</v>
      </c>
      <c r="AM44" s="202"/>
      <c r="AN44" s="203"/>
      <c r="AO44" s="208"/>
      <c r="AP44" s="201">
        <f t="shared" si="93"/>
        <v>0</v>
      </c>
      <c r="AQ44" s="201">
        <f t="shared" si="94"/>
        <v>5517443.1600000001</v>
      </c>
      <c r="AR44" s="201">
        <f t="shared" si="95"/>
        <v>5517443.1600000001</v>
      </c>
      <c r="AS44" s="201">
        <f t="shared" si="96"/>
        <v>96.186541339027826</v>
      </c>
      <c r="AT44" s="201"/>
      <c r="AU44" s="209">
        <v>5517443.1600000001</v>
      </c>
      <c r="AV44" s="201">
        <f t="shared" si="97"/>
        <v>5517443.1600000001</v>
      </c>
      <c r="AW44" s="201">
        <f t="shared" si="110"/>
        <v>0</v>
      </c>
      <c r="AX44" s="201">
        <f t="shared" si="98"/>
        <v>96.186541339027826</v>
      </c>
      <c r="AY44" s="208"/>
      <c r="AZ44" s="201">
        <f t="shared" si="99"/>
        <v>0</v>
      </c>
      <c r="BA44" s="201">
        <f t="shared" si="100"/>
        <v>217175</v>
      </c>
      <c r="BB44" s="201">
        <f t="shared" si="101"/>
        <v>217175</v>
      </c>
      <c r="BC44" s="201"/>
      <c r="BD44" s="209">
        <v>217175</v>
      </c>
      <c r="BE44" s="201">
        <f t="shared" si="102"/>
        <v>217175</v>
      </c>
      <c r="BF44" s="208"/>
      <c r="BG44" s="201">
        <f t="shared" si="103"/>
        <v>0</v>
      </c>
      <c r="BH44" s="201">
        <f t="shared" si="103"/>
        <v>5734618.1600000001</v>
      </c>
      <c r="BI44" s="201">
        <f t="shared" si="104"/>
        <v>5734618.1600000001</v>
      </c>
      <c r="BJ44" s="201">
        <f t="shared" si="3"/>
        <v>99.972590693690023</v>
      </c>
      <c r="BK44" s="210">
        <v>20</v>
      </c>
      <c r="BL44" s="210">
        <v>95</v>
      </c>
      <c r="BM44" s="211"/>
      <c r="BN44" s="211"/>
      <c r="BO44" s="212">
        <f t="shared" si="105"/>
        <v>438627</v>
      </c>
      <c r="BP44" s="201">
        <f t="shared" si="106"/>
        <v>-219879.75</v>
      </c>
      <c r="BQ44" s="201">
        <f t="shared" si="111"/>
        <v>218747.25</v>
      </c>
      <c r="BR44" s="201">
        <f t="shared" si="112"/>
        <v>438627</v>
      </c>
      <c r="BS44" s="201">
        <f t="shared" si="112"/>
        <v>-219879.75</v>
      </c>
      <c r="BT44" s="201">
        <f t="shared" si="113"/>
        <v>218747.25</v>
      </c>
      <c r="BU44" s="213">
        <f t="shared" si="114"/>
        <v>0</v>
      </c>
      <c r="BV44" s="201">
        <f>109750+230362.59</f>
        <v>340112.58999999997</v>
      </c>
      <c r="BW44" s="201"/>
      <c r="BX44" s="201">
        <f t="shared" si="115"/>
        <v>340112.58999999997</v>
      </c>
      <c r="BY44" s="199">
        <v>563000</v>
      </c>
      <c r="BZ44" s="199">
        <v>633500</v>
      </c>
      <c r="CA44" s="199">
        <v>1501500</v>
      </c>
      <c r="CB44" s="199">
        <v>1548500</v>
      </c>
      <c r="CC44" s="199">
        <v>938500</v>
      </c>
      <c r="CD44" s="199">
        <v>915000</v>
      </c>
      <c r="CE44" s="199">
        <v>0</v>
      </c>
      <c r="CF44" s="199">
        <v>0</v>
      </c>
      <c r="CG44" s="199">
        <v>0</v>
      </c>
      <c r="CH44" s="199">
        <v>0</v>
      </c>
      <c r="CI44" s="199">
        <v>0</v>
      </c>
      <c r="CJ44" s="199">
        <v>0</v>
      </c>
      <c r="CK44" s="214" t="s">
        <v>204</v>
      </c>
      <c r="CL44" s="214" t="s">
        <v>171</v>
      </c>
      <c r="CM44" s="211">
        <v>182</v>
      </c>
      <c r="CN44" s="215"/>
      <c r="CO44" s="215">
        <v>1000</v>
      </c>
      <c r="CP44" s="216">
        <v>200</v>
      </c>
      <c r="CQ44" s="217"/>
      <c r="CR44" s="211"/>
      <c r="CS44" s="218"/>
      <c r="CT44" s="218"/>
      <c r="CU44" s="218"/>
      <c r="CV44" s="211"/>
      <c r="CW44" s="211"/>
      <c r="CX44" s="211"/>
      <c r="CY44" s="211"/>
      <c r="CZ44" s="211"/>
      <c r="DA44" s="211"/>
      <c r="DB44" s="211"/>
      <c r="DC44" s="219"/>
      <c r="DD44" s="219"/>
      <c r="DE44" s="219"/>
      <c r="DF44" s="211"/>
      <c r="DG44" s="211"/>
      <c r="DH44" s="211"/>
      <c r="DI44" s="211"/>
      <c r="DJ44" s="211"/>
      <c r="DK44" s="220" t="s">
        <v>53</v>
      </c>
      <c r="DL44" s="248"/>
      <c r="DT44" s="222"/>
    </row>
    <row r="45" spans="1:124" s="176" customFormat="1" ht="63" x14ac:dyDescent="0.2">
      <c r="A45" s="195" t="s">
        <v>197</v>
      </c>
      <c r="B45" s="197" t="s">
        <v>205</v>
      </c>
      <c r="C45" s="198">
        <v>1</v>
      </c>
      <c r="D45" s="199">
        <v>9100000</v>
      </c>
      <c r="E45" s="198" t="s">
        <v>206</v>
      </c>
      <c r="F45" s="198" t="s">
        <v>150</v>
      </c>
      <c r="G45" s="198" t="s">
        <v>151</v>
      </c>
      <c r="H45" s="200">
        <v>1</v>
      </c>
      <c r="I45" s="199">
        <f t="shared" si="80"/>
        <v>0</v>
      </c>
      <c r="J45" s="199">
        <f t="shared" si="81"/>
        <v>9100000</v>
      </c>
      <c r="K45" s="199">
        <f t="shared" si="82"/>
        <v>9100000</v>
      </c>
      <c r="L45" s="199">
        <v>0</v>
      </c>
      <c r="M45" s="199">
        <v>9100000</v>
      </c>
      <c r="N45" s="199">
        <f t="shared" si="83"/>
        <v>9100000</v>
      </c>
      <c r="O45" s="199"/>
      <c r="P45" s="201">
        <v>0</v>
      </c>
      <c r="Q45" s="202">
        <v>20</v>
      </c>
      <c r="R45" s="203">
        <v>45566</v>
      </c>
      <c r="S45" s="204"/>
      <c r="T45" s="204">
        <v>9100000</v>
      </c>
      <c r="U45" s="204">
        <f t="shared" si="84"/>
        <v>9100000</v>
      </c>
      <c r="V45" s="198">
        <v>690</v>
      </c>
      <c r="W45" s="206">
        <v>45622</v>
      </c>
      <c r="X45" s="201"/>
      <c r="Y45" s="201">
        <v>-531554.34</v>
      </c>
      <c r="Z45" s="201">
        <f t="shared" si="85"/>
        <v>-531554.34</v>
      </c>
      <c r="AA45" s="198">
        <v>1033</v>
      </c>
      <c r="AB45" s="206">
        <v>45653</v>
      </c>
      <c r="AC45" s="207"/>
      <c r="AD45" s="201">
        <f>+-451346.01+-222938.43</f>
        <v>-674284.44</v>
      </c>
      <c r="AE45" s="204">
        <f t="shared" si="86"/>
        <v>-674284.44</v>
      </c>
      <c r="AF45" s="203">
        <f t="shared" si="87"/>
        <v>45566</v>
      </c>
      <c r="AG45" s="201">
        <f t="shared" si="88"/>
        <v>0</v>
      </c>
      <c r="AH45" s="204">
        <f t="shared" si="89"/>
        <v>7894161.2200000007</v>
      </c>
      <c r="AI45" s="204">
        <f t="shared" si="90"/>
        <v>7894161.2200000007</v>
      </c>
      <c r="AJ45" s="201">
        <f t="shared" si="91"/>
        <v>0</v>
      </c>
      <c r="AK45" s="201">
        <f t="shared" si="91"/>
        <v>7894161.2200000007</v>
      </c>
      <c r="AL45" s="201">
        <f t="shared" si="92"/>
        <v>7894161.2200000007</v>
      </c>
      <c r="AM45" s="202"/>
      <c r="AN45" s="203"/>
      <c r="AO45" s="208"/>
      <c r="AP45" s="201">
        <f t="shared" si="93"/>
        <v>0</v>
      </c>
      <c r="AQ45" s="201">
        <f t="shared" si="94"/>
        <v>6637500.6100000003</v>
      </c>
      <c r="AR45" s="201">
        <f t="shared" si="95"/>
        <v>6637500.6100000003</v>
      </c>
      <c r="AS45" s="201">
        <f t="shared" si="96"/>
        <v>84.081138261830418</v>
      </c>
      <c r="AT45" s="201"/>
      <c r="AU45" s="209">
        <v>6637500.6100000003</v>
      </c>
      <c r="AV45" s="201">
        <f t="shared" si="97"/>
        <v>6637500.6100000003</v>
      </c>
      <c r="AW45" s="201">
        <f t="shared" si="110"/>
        <v>11.527507161805849</v>
      </c>
      <c r="AX45" s="201">
        <f t="shared" si="98"/>
        <v>84.081138261830418</v>
      </c>
      <c r="AY45" s="208"/>
      <c r="AZ45" s="201">
        <f t="shared" si="99"/>
        <v>0</v>
      </c>
      <c r="BA45" s="201">
        <f t="shared" si="100"/>
        <v>431083</v>
      </c>
      <c r="BB45" s="201">
        <f t="shared" si="101"/>
        <v>431083</v>
      </c>
      <c r="BC45" s="201"/>
      <c r="BD45" s="209">
        <v>431083</v>
      </c>
      <c r="BE45" s="201">
        <f t="shared" si="102"/>
        <v>431083</v>
      </c>
      <c r="BF45" s="208"/>
      <c r="BG45" s="201">
        <f t="shared" si="103"/>
        <v>0</v>
      </c>
      <c r="BH45" s="201">
        <f t="shared" si="103"/>
        <v>7068583.6100000003</v>
      </c>
      <c r="BI45" s="201">
        <f t="shared" si="104"/>
        <v>7068583.6100000003</v>
      </c>
      <c r="BJ45" s="201">
        <f t="shared" si="3"/>
        <v>89.541921085822452</v>
      </c>
      <c r="BK45" s="210">
        <v>5</v>
      </c>
      <c r="BL45" s="210">
        <v>75</v>
      </c>
      <c r="BM45" s="211"/>
      <c r="BN45" s="211"/>
      <c r="BO45" s="212">
        <f t="shared" si="105"/>
        <v>0</v>
      </c>
      <c r="BP45" s="201">
        <f t="shared" si="106"/>
        <v>1256660.6100000003</v>
      </c>
      <c r="BQ45" s="201">
        <f t="shared" si="111"/>
        <v>1256660.6100000003</v>
      </c>
      <c r="BR45" s="201">
        <f t="shared" si="112"/>
        <v>0</v>
      </c>
      <c r="BS45" s="201">
        <f t="shared" si="112"/>
        <v>1256660.6100000003</v>
      </c>
      <c r="BT45" s="201">
        <f t="shared" si="113"/>
        <v>1256660.6100000003</v>
      </c>
      <c r="BU45" s="213">
        <f t="shared" si="114"/>
        <v>0</v>
      </c>
      <c r="BV45" s="201">
        <f>531554.34+451346.01+222938.43</f>
        <v>1205838.78</v>
      </c>
      <c r="BW45" s="201"/>
      <c r="BX45" s="201">
        <f t="shared" si="115"/>
        <v>1205838.78</v>
      </c>
      <c r="BY45" s="199">
        <v>364000</v>
      </c>
      <c r="BZ45" s="199">
        <v>910000</v>
      </c>
      <c r="CA45" s="199">
        <v>910000</v>
      </c>
      <c r="CB45" s="199">
        <v>728000</v>
      </c>
      <c r="CC45" s="199">
        <v>728000</v>
      </c>
      <c r="CD45" s="199">
        <v>910000</v>
      </c>
      <c r="CE45" s="199">
        <v>910000</v>
      </c>
      <c r="CF45" s="199">
        <v>910000</v>
      </c>
      <c r="CG45" s="199">
        <v>728000</v>
      </c>
      <c r="CH45" s="199">
        <v>637000</v>
      </c>
      <c r="CI45" s="199">
        <v>637000</v>
      </c>
      <c r="CJ45" s="199">
        <v>728000</v>
      </c>
      <c r="CK45" s="214" t="s">
        <v>207</v>
      </c>
      <c r="CL45" s="214" t="s">
        <v>171</v>
      </c>
      <c r="CM45" s="211">
        <v>182</v>
      </c>
      <c r="CN45" s="215"/>
      <c r="CO45" s="215">
        <v>2024</v>
      </c>
      <c r="CP45" s="216">
        <v>847</v>
      </c>
      <c r="CQ45" s="217"/>
      <c r="CR45" s="211"/>
      <c r="CS45" s="218"/>
      <c r="CT45" s="218"/>
      <c r="CU45" s="218"/>
      <c r="CV45" s="211"/>
      <c r="CW45" s="211"/>
      <c r="CX45" s="211"/>
      <c r="CY45" s="211"/>
      <c r="CZ45" s="211"/>
      <c r="DA45" s="211"/>
      <c r="DB45" s="211"/>
      <c r="DC45" s="219"/>
      <c r="DD45" s="219"/>
      <c r="DE45" s="219"/>
      <c r="DF45" s="211"/>
      <c r="DG45" s="211"/>
      <c r="DH45" s="211"/>
      <c r="DI45" s="211"/>
      <c r="DJ45" s="211"/>
      <c r="DK45" s="220" t="s">
        <v>32</v>
      </c>
      <c r="DT45" s="222"/>
    </row>
    <row r="46" spans="1:124" s="176" customFormat="1" ht="42" x14ac:dyDescent="0.2">
      <c r="A46" s="195" t="s">
        <v>208</v>
      </c>
      <c r="B46" s="197" t="s">
        <v>209</v>
      </c>
      <c r="C46" s="198">
        <v>1</v>
      </c>
      <c r="D46" s="199">
        <v>9500000</v>
      </c>
      <c r="E46" s="198" t="s">
        <v>210</v>
      </c>
      <c r="F46" s="198" t="s">
        <v>150</v>
      </c>
      <c r="G46" s="198" t="s">
        <v>151</v>
      </c>
      <c r="H46" s="200">
        <v>1</v>
      </c>
      <c r="I46" s="199">
        <f t="shared" si="80"/>
        <v>0</v>
      </c>
      <c r="J46" s="199">
        <f t="shared" si="81"/>
        <v>9500000</v>
      </c>
      <c r="K46" s="199">
        <f t="shared" si="82"/>
        <v>9500000</v>
      </c>
      <c r="L46" s="199"/>
      <c r="M46" s="199">
        <v>9500000</v>
      </c>
      <c r="N46" s="199">
        <f t="shared" si="83"/>
        <v>9500000</v>
      </c>
      <c r="O46" s="199"/>
      <c r="P46" s="201">
        <v>0</v>
      </c>
      <c r="Q46" s="202">
        <v>20</v>
      </c>
      <c r="R46" s="203">
        <v>45566</v>
      </c>
      <c r="S46" s="204"/>
      <c r="T46" s="204">
        <v>9500000</v>
      </c>
      <c r="U46" s="204">
        <f t="shared" si="84"/>
        <v>9500000</v>
      </c>
      <c r="V46" s="205">
        <v>228</v>
      </c>
      <c r="W46" s="200">
        <v>45586</v>
      </c>
      <c r="X46" s="201"/>
      <c r="Y46" s="201">
        <v>-385200</v>
      </c>
      <c r="Z46" s="201">
        <f t="shared" si="85"/>
        <v>-385200</v>
      </c>
      <c r="AA46" s="198">
        <v>690</v>
      </c>
      <c r="AB46" s="206">
        <v>45628</v>
      </c>
      <c r="AC46" s="207"/>
      <c r="AD46" s="201">
        <f>+-242400.04+-8572.02</f>
        <v>-250972.06</v>
      </c>
      <c r="AE46" s="204">
        <f t="shared" si="86"/>
        <v>-250972.06</v>
      </c>
      <c r="AF46" s="203">
        <f t="shared" si="87"/>
        <v>45566</v>
      </c>
      <c r="AG46" s="201">
        <f t="shared" si="88"/>
        <v>0</v>
      </c>
      <c r="AH46" s="204">
        <f t="shared" si="89"/>
        <v>9249027.9399999995</v>
      </c>
      <c r="AI46" s="204">
        <f t="shared" si="90"/>
        <v>9249027.9399999995</v>
      </c>
      <c r="AJ46" s="201">
        <f t="shared" si="91"/>
        <v>0</v>
      </c>
      <c r="AK46" s="201">
        <f t="shared" si="91"/>
        <v>8863827.9399999995</v>
      </c>
      <c r="AL46" s="201">
        <f t="shared" si="92"/>
        <v>8863827.9399999995</v>
      </c>
      <c r="AM46" s="205">
        <v>229</v>
      </c>
      <c r="AN46" s="200">
        <v>45586</v>
      </c>
      <c r="AO46" s="208">
        <v>385200</v>
      </c>
      <c r="AP46" s="201">
        <f t="shared" si="93"/>
        <v>0</v>
      </c>
      <c r="AQ46" s="201">
        <f t="shared" si="94"/>
        <v>8854143.6099999994</v>
      </c>
      <c r="AR46" s="201">
        <f t="shared" si="95"/>
        <v>8854143.6099999994</v>
      </c>
      <c r="AS46" s="201">
        <f t="shared" si="96"/>
        <v>95.730531548161807</v>
      </c>
      <c r="AT46" s="201"/>
      <c r="AU46" s="209">
        <v>8483276.8399999999</v>
      </c>
      <c r="AV46" s="201">
        <f t="shared" si="97"/>
        <v>8483276.8399999999</v>
      </c>
      <c r="AW46" s="201">
        <f t="shared" si="110"/>
        <v>10.717717067960145</v>
      </c>
      <c r="AX46" s="201">
        <f t="shared" si="98"/>
        <v>95.706695768735784</v>
      </c>
      <c r="AY46" s="208">
        <v>370866.76999999996</v>
      </c>
      <c r="AZ46" s="201">
        <f t="shared" si="99"/>
        <v>0</v>
      </c>
      <c r="BA46" s="201">
        <f t="shared" si="100"/>
        <v>95734.6</v>
      </c>
      <c r="BB46" s="201">
        <f t="shared" si="101"/>
        <v>95734.6</v>
      </c>
      <c r="BC46" s="201"/>
      <c r="BD46" s="209">
        <v>95734.6</v>
      </c>
      <c r="BE46" s="201">
        <f t="shared" si="102"/>
        <v>95734.6</v>
      </c>
      <c r="BF46" s="208"/>
      <c r="BG46" s="201">
        <f>+AP46+AZ46</f>
        <v>0</v>
      </c>
      <c r="BH46" s="201">
        <f t="shared" si="103"/>
        <v>8949878.209999999</v>
      </c>
      <c r="BI46" s="201">
        <f t="shared" si="104"/>
        <v>8949878.209999999</v>
      </c>
      <c r="BJ46" s="201">
        <f t="shared" si="3"/>
        <v>96.765608970579009</v>
      </c>
      <c r="BK46" s="210">
        <v>34</v>
      </c>
      <c r="BL46" s="210">
        <v>85</v>
      </c>
      <c r="BM46" s="211"/>
      <c r="BN46" s="214" t="s">
        <v>152</v>
      </c>
      <c r="BO46" s="212">
        <f t="shared" si="105"/>
        <v>0</v>
      </c>
      <c r="BP46" s="201">
        <f t="shared" si="106"/>
        <v>394884.32999999967</v>
      </c>
      <c r="BQ46" s="201">
        <f t="shared" si="111"/>
        <v>394884.32999999967</v>
      </c>
      <c r="BR46" s="201">
        <f t="shared" si="112"/>
        <v>0</v>
      </c>
      <c r="BS46" s="201">
        <f t="shared" si="112"/>
        <v>380551.09999999963</v>
      </c>
      <c r="BT46" s="201">
        <f t="shared" si="113"/>
        <v>380551.09999999963</v>
      </c>
      <c r="BU46" s="213">
        <f t="shared" si="114"/>
        <v>14333.23000000004</v>
      </c>
      <c r="BV46" s="201">
        <f>385200+242400.04+8572.02</f>
        <v>636172.06000000006</v>
      </c>
      <c r="BW46" s="201"/>
      <c r="BX46" s="201">
        <f t="shared" si="115"/>
        <v>636172.06000000006</v>
      </c>
      <c r="BY46" s="199">
        <v>950000</v>
      </c>
      <c r="BZ46" s="199">
        <v>1140000</v>
      </c>
      <c r="CA46" s="199">
        <v>1140000</v>
      </c>
      <c r="CB46" s="199">
        <v>950000</v>
      </c>
      <c r="CC46" s="199">
        <v>950000</v>
      </c>
      <c r="CD46" s="199">
        <v>950000</v>
      </c>
      <c r="CE46" s="199">
        <v>950000</v>
      </c>
      <c r="CF46" s="199">
        <v>950000</v>
      </c>
      <c r="CG46" s="199">
        <v>656460</v>
      </c>
      <c r="CH46" s="199">
        <v>387320</v>
      </c>
      <c r="CI46" s="199">
        <v>238110</v>
      </c>
      <c r="CJ46" s="199">
        <v>238110</v>
      </c>
      <c r="CK46" s="214" t="s">
        <v>211</v>
      </c>
      <c r="CL46" s="214" t="s">
        <v>171</v>
      </c>
      <c r="CM46" s="211">
        <v>182</v>
      </c>
      <c r="CN46" s="215"/>
      <c r="CO46" s="215">
        <v>100</v>
      </c>
      <c r="CP46" s="216">
        <v>50</v>
      </c>
      <c r="CQ46" s="217"/>
      <c r="CR46" s="211"/>
      <c r="CS46" s="218"/>
      <c r="CT46" s="218"/>
      <c r="CU46" s="218"/>
      <c r="CV46" s="211"/>
      <c r="CW46" s="211"/>
      <c r="CX46" s="211"/>
      <c r="CY46" s="211"/>
      <c r="CZ46" s="211"/>
      <c r="DA46" s="211"/>
      <c r="DB46" s="211"/>
      <c r="DC46" s="219"/>
      <c r="DD46" s="219"/>
      <c r="DE46" s="219"/>
      <c r="DF46" s="211"/>
      <c r="DG46" s="211"/>
      <c r="DH46" s="211"/>
      <c r="DI46" s="211"/>
      <c r="DJ46" s="211"/>
      <c r="DK46" s="220" t="s">
        <v>32</v>
      </c>
      <c r="DL46" s="248"/>
      <c r="DT46" s="222"/>
    </row>
    <row r="47" spans="1:124" s="176" customFormat="1" ht="42" x14ac:dyDescent="0.2">
      <c r="A47" s="195" t="s">
        <v>208</v>
      </c>
      <c r="B47" s="197" t="s">
        <v>212</v>
      </c>
      <c r="C47" s="198">
        <v>1</v>
      </c>
      <c r="D47" s="199">
        <v>8000000</v>
      </c>
      <c r="E47" s="198" t="s">
        <v>213</v>
      </c>
      <c r="F47" s="198" t="s">
        <v>150</v>
      </c>
      <c r="G47" s="198" t="s">
        <v>151</v>
      </c>
      <c r="H47" s="200">
        <v>1</v>
      </c>
      <c r="I47" s="199">
        <f t="shared" si="80"/>
        <v>0</v>
      </c>
      <c r="J47" s="199">
        <f t="shared" si="81"/>
        <v>8000000</v>
      </c>
      <c r="K47" s="199">
        <f t="shared" si="82"/>
        <v>8000000</v>
      </c>
      <c r="L47" s="199"/>
      <c r="M47" s="199">
        <v>8000000</v>
      </c>
      <c r="N47" s="199">
        <f t="shared" si="83"/>
        <v>8000000</v>
      </c>
      <c r="O47" s="199"/>
      <c r="P47" s="201">
        <v>0</v>
      </c>
      <c r="Q47" s="202">
        <v>20</v>
      </c>
      <c r="R47" s="203">
        <v>45566</v>
      </c>
      <c r="S47" s="204"/>
      <c r="T47" s="204">
        <v>8000000</v>
      </c>
      <c r="U47" s="204">
        <f t="shared" si="84"/>
        <v>8000000</v>
      </c>
      <c r="V47" s="205">
        <v>228</v>
      </c>
      <c r="W47" s="200">
        <v>45586</v>
      </c>
      <c r="X47" s="201"/>
      <c r="Y47" s="201">
        <v>-276000</v>
      </c>
      <c r="Z47" s="201">
        <f t="shared" si="85"/>
        <v>-276000</v>
      </c>
      <c r="AA47" s="198">
        <v>690</v>
      </c>
      <c r="AB47" s="206">
        <v>45628</v>
      </c>
      <c r="AC47" s="207"/>
      <c r="AD47" s="201">
        <f>+-153423.51+-8839.81</f>
        <v>-162263.32</v>
      </c>
      <c r="AE47" s="204">
        <f t="shared" si="86"/>
        <v>-162263.32</v>
      </c>
      <c r="AF47" s="203">
        <f t="shared" si="87"/>
        <v>45566</v>
      </c>
      <c r="AG47" s="201">
        <f t="shared" si="88"/>
        <v>0</v>
      </c>
      <c r="AH47" s="204">
        <f t="shared" si="89"/>
        <v>7837736.6799999997</v>
      </c>
      <c r="AI47" s="204">
        <f t="shared" si="90"/>
        <v>7837736.6799999997</v>
      </c>
      <c r="AJ47" s="201">
        <f t="shared" si="91"/>
        <v>0</v>
      </c>
      <c r="AK47" s="201">
        <f t="shared" si="91"/>
        <v>7561736.6799999997</v>
      </c>
      <c r="AL47" s="201">
        <f t="shared" si="92"/>
        <v>7561736.6799999997</v>
      </c>
      <c r="AM47" s="205">
        <v>229</v>
      </c>
      <c r="AN47" s="200">
        <v>45586</v>
      </c>
      <c r="AO47" s="208">
        <v>276000</v>
      </c>
      <c r="AP47" s="201">
        <f t="shared" si="93"/>
        <v>0</v>
      </c>
      <c r="AQ47" s="201">
        <f t="shared" si="94"/>
        <v>7491645.79</v>
      </c>
      <c r="AR47" s="201">
        <f t="shared" si="95"/>
        <v>7491645.79</v>
      </c>
      <c r="AS47" s="201">
        <f t="shared" si="96"/>
        <v>95.584300619805973</v>
      </c>
      <c r="AT47" s="201"/>
      <c r="AU47" s="209">
        <v>7219963.04</v>
      </c>
      <c r="AV47" s="201">
        <f t="shared" si="97"/>
        <v>7219963.04</v>
      </c>
      <c r="AW47" s="201">
        <f t="shared" si="110"/>
        <v>12.514585472182826</v>
      </c>
      <c r="AX47" s="201">
        <f t="shared" si="98"/>
        <v>95.480222937358363</v>
      </c>
      <c r="AY47" s="208">
        <v>271682.75</v>
      </c>
      <c r="AZ47" s="201">
        <f t="shared" si="99"/>
        <v>0</v>
      </c>
      <c r="BA47" s="201">
        <f t="shared" si="100"/>
        <v>24200</v>
      </c>
      <c r="BB47" s="201">
        <f t="shared" si="101"/>
        <v>24200</v>
      </c>
      <c r="BC47" s="201"/>
      <c r="BD47" s="209">
        <v>24200</v>
      </c>
      <c r="BE47" s="201">
        <f t="shared" si="102"/>
        <v>24200</v>
      </c>
      <c r="BF47" s="208"/>
      <c r="BG47" s="201">
        <f t="shared" si="103"/>
        <v>0</v>
      </c>
      <c r="BH47" s="201">
        <f t="shared" si="103"/>
        <v>7515845.79</v>
      </c>
      <c r="BI47" s="201">
        <f t="shared" si="104"/>
        <v>7515845.79</v>
      </c>
      <c r="BJ47" s="201">
        <f t="shared" si="3"/>
        <v>95.893063225492284</v>
      </c>
      <c r="BK47" s="210">
        <v>10</v>
      </c>
      <c r="BL47" s="210">
        <v>85</v>
      </c>
      <c r="BM47" s="211"/>
      <c r="BN47" s="214" t="s">
        <v>152</v>
      </c>
      <c r="BO47" s="212">
        <f t="shared" si="105"/>
        <v>0</v>
      </c>
      <c r="BP47" s="201">
        <f t="shared" si="106"/>
        <v>346090.88999999966</v>
      </c>
      <c r="BQ47" s="201">
        <f t="shared" si="111"/>
        <v>346090.88999999966</v>
      </c>
      <c r="BR47" s="201">
        <f t="shared" si="112"/>
        <v>0</v>
      </c>
      <c r="BS47" s="201">
        <f t="shared" si="112"/>
        <v>341773.63999999966</v>
      </c>
      <c r="BT47" s="201">
        <f t="shared" si="113"/>
        <v>341773.63999999966</v>
      </c>
      <c r="BU47" s="213">
        <f t="shared" si="114"/>
        <v>4317.25</v>
      </c>
      <c r="BV47" s="201">
        <f>276000+153423.51+8839.81</f>
        <v>438263.32</v>
      </c>
      <c r="BW47" s="201"/>
      <c r="BX47" s="201">
        <f t="shared" si="115"/>
        <v>438263.32</v>
      </c>
      <c r="BY47" s="199">
        <v>157710</v>
      </c>
      <c r="BZ47" s="199">
        <v>157710</v>
      </c>
      <c r="CA47" s="199">
        <v>473160</v>
      </c>
      <c r="CB47" s="199">
        <v>732540</v>
      </c>
      <c r="CC47" s="199">
        <v>991920</v>
      </c>
      <c r="CD47" s="199">
        <v>1149640</v>
      </c>
      <c r="CE47" s="199">
        <v>1182910</v>
      </c>
      <c r="CF47" s="199">
        <v>946320</v>
      </c>
      <c r="CG47" s="199">
        <v>946320</v>
      </c>
      <c r="CH47" s="199">
        <v>709740</v>
      </c>
      <c r="CI47" s="199">
        <v>394310</v>
      </c>
      <c r="CJ47" s="199">
        <v>157720</v>
      </c>
      <c r="CK47" s="214" t="s">
        <v>214</v>
      </c>
      <c r="CL47" s="214" t="s">
        <v>171</v>
      </c>
      <c r="CM47" s="211">
        <v>182</v>
      </c>
      <c r="CN47" s="215"/>
      <c r="CO47" s="215">
        <v>350</v>
      </c>
      <c r="CP47" s="216">
        <v>250</v>
      </c>
      <c r="CQ47" s="217"/>
      <c r="CR47" s="211"/>
      <c r="CS47" s="218"/>
      <c r="CT47" s="218"/>
      <c r="CU47" s="218"/>
      <c r="CV47" s="211"/>
      <c r="CW47" s="211"/>
      <c r="CX47" s="211"/>
      <c r="CY47" s="211"/>
      <c r="CZ47" s="211"/>
      <c r="DA47" s="211"/>
      <c r="DB47" s="211"/>
      <c r="DC47" s="219"/>
      <c r="DD47" s="219"/>
      <c r="DE47" s="219"/>
      <c r="DF47" s="211"/>
      <c r="DG47" s="211"/>
      <c r="DH47" s="211"/>
      <c r="DI47" s="211"/>
      <c r="DJ47" s="211"/>
      <c r="DK47" s="220" t="s">
        <v>32</v>
      </c>
      <c r="DT47" s="222"/>
    </row>
    <row r="48" spans="1:124" s="176" customFormat="1" ht="42" x14ac:dyDescent="0.2">
      <c r="A48" s="195" t="s">
        <v>208</v>
      </c>
      <c r="B48" s="197" t="s">
        <v>215</v>
      </c>
      <c r="C48" s="198">
        <v>1</v>
      </c>
      <c r="D48" s="199">
        <v>8500000</v>
      </c>
      <c r="E48" s="198" t="s">
        <v>213</v>
      </c>
      <c r="F48" s="198" t="s">
        <v>150</v>
      </c>
      <c r="G48" s="198" t="s">
        <v>151</v>
      </c>
      <c r="H48" s="200">
        <v>1</v>
      </c>
      <c r="I48" s="199">
        <f t="shared" si="80"/>
        <v>0</v>
      </c>
      <c r="J48" s="199">
        <f t="shared" si="81"/>
        <v>8500000</v>
      </c>
      <c r="K48" s="199">
        <f t="shared" si="82"/>
        <v>8500000</v>
      </c>
      <c r="L48" s="199"/>
      <c r="M48" s="199">
        <v>8500000</v>
      </c>
      <c r="N48" s="199">
        <f t="shared" si="83"/>
        <v>8500000</v>
      </c>
      <c r="O48" s="199"/>
      <c r="P48" s="201">
        <v>0</v>
      </c>
      <c r="Q48" s="202">
        <v>20</v>
      </c>
      <c r="R48" s="203">
        <v>45566</v>
      </c>
      <c r="S48" s="204"/>
      <c r="T48" s="204">
        <v>8500000</v>
      </c>
      <c r="U48" s="204">
        <f t="shared" si="84"/>
        <v>8500000</v>
      </c>
      <c r="V48" s="205">
        <v>228</v>
      </c>
      <c r="W48" s="200">
        <v>45586</v>
      </c>
      <c r="X48" s="201"/>
      <c r="Y48" s="201">
        <v>-312300</v>
      </c>
      <c r="Z48" s="201">
        <f t="shared" si="85"/>
        <v>-312300</v>
      </c>
      <c r="AA48" s="198">
        <v>690</v>
      </c>
      <c r="AB48" s="206">
        <v>45628</v>
      </c>
      <c r="AC48" s="207"/>
      <c r="AD48" s="201">
        <f>+-137502.91+-11719.14</f>
        <v>-149222.04999999999</v>
      </c>
      <c r="AE48" s="204">
        <f t="shared" si="86"/>
        <v>-149222.04999999999</v>
      </c>
      <c r="AF48" s="203">
        <f t="shared" si="87"/>
        <v>45566</v>
      </c>
      <c r="AG48" s="201">
        <f t="shared" si="88"/>
        <v>0</v>
      </c>
      <c r="AH48" s="204">
        <f t="shared" si="89"/>
        <v>8350777.9500000002</v>
      </c>
      <c r="AI48" s="204">
        <f t="shared" si="90"/>
        <v>8350777.9500000002</v>
      </c>
      <c r="AJ48" s="201">
        <f t="shared" si="91"/>
        <v>0</v>
      </c>
      <c r="AK48" s="201">
        <f t="shared" si="91"/>
        <v>8038477.9500000002</v>
      </c>
      <c r="AL48" s="201">
        <f t="shared" si="92"/>
        <v>8038477.9500000002</v>
      </c>
      <c r="AM48" s="205">
        <v>229</v>
      </c>
      <c r="AN48" s="200">
        <v>45586</v>
      </c>
      <c r="AO48" s="208">
        <v>312300</v>
      </c>
      <c r="AP48" s="201">
        <f t="shared" si="93"/>
        <v>0</v>
      </c>
      <c r="AQ48" s="201">
        <f t="shared" si="94"/>
        <v>8259752.9300000006</v>
      </c>
      <c r="AR48" s="201">
        <f t="shared" si="95"/>
        <v>8259752.9300000006</v>
      </c>
      <c r="AS48" s="201">
        <f t="shared" si="96"/>
        <v>98.909981554473035</v>
      </c>
      <c r="AT48" s="201"/>
      <c r="AU48" s="209">
        <v>8009399.3600000003</v>
      </c>
      <c r="AV48" s="201">
        <f t="shared" si="97"/>
        <v>8009399.3600000003</v>
      </c>
      <c r="AW48" s="201">
        <f t="shared" si="110"/>
        <v>10.718820221432591</v>
      </c>
      <c r="AX48" s="201">
        <f t="shared" si="98"/>
        <v>99.638257513662765</v>
      </c>
      <c r="AY48" s="208">
        <v>250353.56999999998</v>
      </c>
      <c r="AZ48" s="201">
        <f t="shared" si="99"/>
        <v>0</v>
      </c>
      <c r="BA48" s="201">
        <f t="shared" si="100"/>
        <v>0</v>
      </c>
      <c r="BB48" s="201">
        <f t="shared" si="101"/>
        <v>0</v>
      </c>
      <c r="BC48" s="201"/>
      <c r="BD48" s="209">
        <v>0</v>
      </c>
      <c r="BE48" s="201">
        <f t="shared" si="102"/>
        <v>0</v>
      </c>
      <c r="BF48" s="208"/>
      <c r="BG48" s="201">
        <f t="shared" si="103"/>
        <v>0</v>
      </c>
      <c r="BH48" s="201">
        <f t="shared" si="103"/>
        <v>8259752.9300000006</v>
      </c>
      <c r="BI48" s="201">
        <f t="shared" si="104"/>
        <v>8259752.9300000006</v>
      </c>
      <c r="BJ48" s="201">
        <f t="shared" si="3"/>
        <v>98.909981554473035</v>
      </c>
      <c r="BK48" s="210">
        <v>5</v>
      </c>
      <c r="BL48" s="210">
        <v>95</v>
      </c>
      <c r="BM48" s="211"/>
      <c r="BN48" s="214" t="s">
        <v>152</v>
      </c>
      <c r="BO48" s="212">
        <f t="shared" si="105"/>
        <v>0</v>
      </c>
      <c r="BP48" s="201">
        <f t="shared" si="106"/>
        <v>91025.019999999873</v>
      </c>
      <c r="BQ48" s="201">
        <f t="shared" si="111"/>
        <v>91025.019999999873</v>
      </c>
      <c r="BR48" s="201">
        <f t="shared" si="112"/>
        <v>0</v>
      </c>
      <c r="BS48" s="201">
        <f t="shared" si="112"/>
        <v>29078.589999999851</v>
      </c>
      <c r="BT48" s="201">
        <f t="shared" si="113"/>
        <v>29078.589999999851</v>
      </c>
      <c r="BU48" s="213">
        <f t="shared" si="114"/>
        <v>61946.430000000022</v>
      </c>
      <c r="BV48" s="201">
        <f>312300+137502.91+11719.14</f>
        <v>461522.05000000005</v>
      </c>
      <c r="BW48" s="201"/>
      <c r="BX48" s="201">
        <f t="shared" si="115"/>
        <v>461522.05000000005</v>
      </c>
      <c r="BY48" s="199">
        <v>31130</v>
      </c>
      <c r="BZ48" s="199">
        <v>62260</v>
      </c>
      <c r="CA48" s="199">
        <v>299620</v>
      </c>
      <c r="CB48" s="199">
        <v>682250</v>
      </c>
      <c r="CC48" s="199">
        <v>1097290</v>
      </c>
      <c r="CD48" s="199">
        <v>1893670</v>
      </c>
      <c r="CE48" s="199">
        <v>828730</v>
      </c>
      <c r="CF48" s="199">
        <v>861630</v>
      </c>
      <c r="CG48" s="199">
        <v>1206950</v>
      </c>
      <c r="CH48" s="199">
        <v>810800</v>
      </c>
      <c r="CI48" s="199">
        <v>551280</v>
      </c>
      <c r="CJ48" s="199">
        <v>174390</v>
      </c>
      <c r="CK48" s="214" t="s">
        <v>216</v>
      </c>
      <c r="CL48" s="214" t="s">
        <v>171</v>
      </c>
      <c r="CM48" s="211">
        <v>182</v>
      </c>
      <c r="CN48" s="215"/>
      <c r="CO48" s="215">
        <v>1153</v>
      </c>
      <c r="CP48" s="216">
        <v>230</v>
      </c>
      <c r="CQ48" s="217"/>
      <c r="CR48" s="211"/>
      <c r="CS48" s="218"/>
      <c r="CT48" s="218"/>
      <c r="CU48" s="218"/>
      <c r="CV48" s="211"/>
      <c r="CW48" s="211"/>
      <c r="CX48" s="211"/>
      <c r="CY48" s="211"/>
      <c r="CZ48" s="211"/>
      <c r="DA48" s="211"/>
      <c r="DB48" s="211"/>
      <c r="DC48" s="219"/>
      <c r="DD48" s="219"/>
      <c r="DE48" s="219"/>
      <c r="DF48" s="211"/>
      <c r="DG48" s="211"/>
      <c r="DH48" s="211"/>
      <c r="DI48" s="211"/>
      <c r="DJ48" s="211"/>
      <c r="DK48" s="220" t="s">
        <v>32</v>
      </c>
      <c r="DL48" s="248"/>
      <c r="DT48" s="222"/>
    </row>
    <row r="49" spans="1:124" s="176" customFormat="1" ht="42" x14ac:dyDescent="0.2">
      <c r="A49" s="195" t="s">
        <v>197</v>
      </c>
      <c r="B49" s="197" t="s">
        <v>217</v>
      </c>
      <c r="C49" s="198">
        <v>1</v>
      </c>
      <c r="D49" s="199">
        <v>5000000</v>
      </c>
      <c r="E49" s="198" t="s">
        <v>149</v>
      </c>
      <c r="F49" s="198" t="s">
        <v>150</v>
      </c>
      <c r="G49" s="198" t="s">
        <v>151</v>
      </c>
      <c r="H49" s="200">
        <v>1</v>
      </c>
      <c r="I49" s="199">
        <f t="shared" si="80"/>
        <v>0</v>
      </c>
      <c r="J49" s="199">
        <f t="shared" si="81"/>
        <v>5000000</v>
      </c>
      <c r="K49" s="199">
        <f t="shared" si="82"/>
        <v>5000000</v>
      </c>
      <c r="L49" s="199"/>
      <c r="M49" s="199">
        <v>5000000</v>
      </c>
      <c r="N49" s="199">
        <f t="shared" si="83"/>
        <v>5000000</v>
      </c>
      <c r="O49" s="199"/>
      <c r="P49" s="201">
        <v>0</v>
      </c>
      <c r="Q49" s="202">
        <v>20</v>
      </c>
      <c r="R49" s="203">
        <v>45566</v>
      </c>
      <c r="S49" s="204"/>
      <c r="T49" s="204">
        <v>5000000</v>
      </c>
      <c r="U49" s="204">
        <f t="shared" si="84"/>
        <v>5000000</v>
      </c>
      <c r="V49" s="198">
        <v>690</v>
      </c>
      <c r="W49" s="206">
        <v>45622</v>
      </c>
      <c r="X49" s="201"/>
      <c r="Y49" s="201">
        <v>-159779.75</v>
      </c>
      <c r="Z49" s="201">
        <f t="shared" si="85"/>
        <v>-159779.75</v>
      </c>
      <c r="AA49" s="198"/>
      <c r="AB49" s="206"/>
      <c r="AC49" s="207"/>
      <c r="AD49" s="201"/>
      <c r="AE49" s="204">
        <f t="shared" si="86"/>
        <v>0</v>
      </c>
      <c r="AF49" s="203">
        <f t="shared" si="87"/>
        <v>45566</v>
      </c>
      <c r="AG49" s="201">
        <f t="shared" si="88"/>
        <v>0</v>
      </c>
      <c r="AH49" s="204">
        <f t="shared" si="89"/>
        <v>4840220.25</v>
      </c>
      <c r="AI49" s="204">
        <f t="shared" si="90"/>
        <v>4840220.25</v>
      </c>
      <c r="AJ49" s="201">
        <f t="shared" ref="AJ49:AK80" si="116">+S49+X49+AC49</f>
        <v>0</v>
      </c>
      <c r="AK49" s="201">
        <f t="shared" si="116"/>
        <v>4840220.25</v>
      </c>
      <c r="AL49" s="201">
        <f t="shared" si="92"/>
        <v>4840220.25</v>
      </c>
      <c r="AM49" s="202"/>
      <c r="AN49" s="203"/>
      <c r="AO49" s="208"/>
      <c r="AP49" s="201">
        <f t="shared" si="93"/>
        <v>0</v>
      </c>
      <c r="AQ49" s="201">
        <f t="shared" si="94"/>
        <v>4837813.47</v>
      </c>
      <c r="AR49" s="201">
        <f t="shared" si="95"/>
        <v>4837813.47</v>
      </c>
      <c r="AS49" s="201">
        <f t="shared" si="96"/>
        <v>99.950275403273224</v>
      </c>
      <c r="AT49" s="201"/>
      <c r="AU49" s="209">
        <v>4837813.47</v>
      </c>
      <c r="AV49" s="201">
        <f t="shared" si="97"/>
        <v>4837813.47</v>
      </c>
      <c r="AW49" s="201">
        <f t="shared" si="110"/>
        <v>10.330108428433602</v>
      </c>
      <c r="AX49" s="201">
        <f t="shared" si="98"/>
        <v>99.950275403273224</v>
      </c>
      <c r="AY49" s="208"/>
      <c r="AZ49" s="201">
        <f t="shared" si="99"/>
        <v>0</v>
      </c>
      <c r="BA49" s="201">
        <f t="shared" si="100"/>
        <v>0</v>
      </c>
      <c r="BB49" s="201">
        <f t="shared" si="101"/>
        <v>0</v>
      </c>
      <c r="BC49" s="201"/>
      <c r="BD49" s="209">
        <v>0</v>
      </c>
      <c r="BE49" s="201">
        <f t="shared" si="102"/>
        <v>0</v>
      </c>
      <c r="BF49" s="208"/>
      <c r="BG49" s="201">
        <f t="shared" ref="BG49:BH80" si="117">+AP49+AZ49</f>
        <v>0</v>
      </c>
      <c r="BH49" s="201">
        <f t="shared" si="117"/>
        <v>4837813.47</v>
      </c>
      <c r="BI49" s="201">
        <f t="shared" si="104"/>
        <v>4837813.47</v>
      </c>
      <c r="BJ49" s="201">
        <f t="shared" si="3"/>
        <v>99.950275403273224</v>
      </c>
      <c r="BK49" s="210">
        <v>10</v>
      </c>
      <c r="BL49" s="210">
        <v>95</v>
      </c>
      <c r="BM49" s="211"/>
      <c r="BN49" s="211"/>
      <c r="BO49" s="212">
        <f t="shared" si="105"/>
        <v>0</v>
      </c>
      <c r="BP49" s="201">
        <f t="shared" si="106"/>
        <v>2406.7800000002608</v>
      </c>
      <c r="BQ49" s="201">
        <f t="shared" si="111"/>
        <v>2406.7800000002608</v>
      </c>
      <c r="BR49" s="201">
        <f t="shared" si="112"/>
        <v>0</v>
      </c>
      <c r="BS49" s="201">
        <f t="shared" si="112"/>
        <v>2406.7800000002608</v>
      </c>
      <c r="BT49" s="201">
        <f t="shared" si="113"/>
        <v>2406.7800000002608</v>
      </c>
      <c r="BU49" s="213">
        <f t="shared" si="114"/>
        <v>0</v>
      </c>
      <c r="BV49" s="201">
        <v>159779.75</v>
      </c>
      <c r="BW49" s="201"/>
      <c r="BX49" s="201">
        <f t="shared" si="115"/>
        <v>159779.75</v>
      </c>
      <c r="BY49" s="199">
        <v>250000</v>
      </c>
      <c r="BZ49" s="199">
        <v>250000</v>
      </c>
      <c r="CA49" s="199">
        <v>250000</v>
      </c>
      <c r="CB49" s="199">
        <v>500000</v>
      </c>
      <c r="CC49" s="199">
        <v>500000</v>
      </c>
      <c r="CD49" s="199">
        <v>500000</v>
      </c>
      <c r="CE49" s="199">
        <v>500000</v>
      </c>
      <c r="CF49" s="199">
        <v>500000</v>
      </c>
      <c r="CG49" s="199">
        <v>500000</v>
      </c>
      <c r="CH49" s="199">
        <v>500000</v>
      </c>
      <c r="CI49" s="199">
        <v>500000</v>
      </c>
      <c r="CJ49" s="199">
        <v>250000</v>
      </c>
      <c r="CK49" s="214" t="s">
        <v>218</v>
      </c>
      <c r="CL49" s="214" t="s">
        <v>171</v>
      </c>
      <c r="CM49" s="211">
        <v>182</v>
      </c>
      <c r="CN49" s="215"/>
      <c r="CO49" s="215">
        <v>26450</v>
      </c>
      <c r="CP49" s="216">
        <v>3500</v>
      </c>
      <c r="CQ49" s="217"/>
      <c r="CR49" s="211"/>
      <c r="CS49" s="218"/>
      <c r="CT49" s="218"/>
      <c r="CU49" s="218"/>
      <c r="CV49" s="211"/>
      <c r="CW49" s="211"/>
      <c r="CX49" s="211"/>
      <c r="CY49" s="211"/>
      <c r="CZ49" s="211"/>
      <c r="DA49" s="211"/>
      <c r="DB49" s="211"/>
      <c r="DC49" s="219"/>
      <c r="DD49" s="219"/>
      <c r="DE49" s="219"/>
      <c r="DF49" s="211"/>
      <c r="DG49" s="211"/>
      <c r="DH49" s="211"/>
      <c r="DI49" s="211"/>
      <c r="DJ49" s="211"/>
      <c r="DK49" s="220" t="s">
        <v>32</v>
      </c>
      <c r="DT49" s="222"/>
    </row>
    <row r="50" spans="1:124" s="176" customFormat="1" ht="42" x14ac:dyDescent="0.2">
      <c r="A50" s="195" t="s">
        <v>154</v>
      </c>
      <c r="B50" s="197" t="s">
        <v>219</v>
      </c>
      <c r="C50" s="198">
        <v>1</v>
      </c>
      <c r="D50" s="199">
        <v>7500000</v>
      </c>
      <c r="E50" s="198" t="s">
        <v>220</v>
      </c>
      <c r="F50" s="198" t="s">
        <v>221</v>
      </c>
      <c r="G50" s="198" t="s">
        <v>151</v>
      </c>
      <c r="H50" s="200">
        <v>1</v>
      </c>
      <c r="I50" s="199">
        <f t="shared" si="80"/>
        <v>0</v>
      </c>
      <c r="J50" s="199">
        <f t="shared" si="81"/>
        <v>7500000</v>
      </c>
      <c r="K50" s="199">
        <f t="shared" si="82"/>
        <v>7500000</v>
      </c>
      <c r="L50" s="199"/>
      <c r="M50" s="199">
        <v>7500000</v>
      </c>
      <c r="N50" s="199">
        <f t="shared" si="83"/>
        <v>7500000</v>
      </c>
      <c r="O50" s="199"/>
      <c r="P50" s="201">
        <v>0</v>
      </c>
      <c r="Q50" s="202">
        <v>20</v>
      </c>
      <c r="R50" s="203">
        <v>45566</v>
      </c>
      <c r="S50" s="204"/>
      <c r="T50" s="204">
        <v>7500000</v>
      </c>
      <c r="U50" s="204">
        <f t="shared" si="84"/>
        <v>7500000</v>
      </c>
      <c r="V50" s="205">
        <v>228</v>
      </c>
      <c r="W50" s="200">
        <v>45586</v>
      </c>
      <c r="X50" s="201"/>
      <c r="Y50" s="201">
        <v>-285800</v>
      </c>
      <c r="Z50" s="201">
        <f t="shared" si="85"/>
        <v>-285800</v>
      </c>
      <c r="AA50" s="198">
        <v>690</v>
      </c>
      <c r="AB50" s="206">
        <v>45622</v>
      </c>
      <c r="AC50" s="207"/>
      <c r="AD50" s="201">
        <f>+-363122+-4136+-90239</f>
        <v>-457497</v>
      </c>
      <c r="AE50" s="204">
        <f t="shared" si="86"/>
        <v>-457497</v>
      </c>
      <c r="AF50" s="203">
        <f t="shared" si="87"/>
        <v>45566</v>
      </c>
      <c r="AG50" s="201">
        <f t="shared" si="88"/>
        <v>0</v>
      </c>
      <c r="AH50" s="204">
        <f t="shared" si="89"/>
        <v>7042503</v>
      </c>
      <c r="AI50" s="204">
        <f t="shared" si="90"/>
        <v>7042503</v>
      </c>
      <c r="AJ50" s="201">
        <f t="shared" si="116"/>
        <v>0</v>
      </c>
      <c r="AK50" s="201">
        <f t="shared" si="116"/>
        <v>6756703</v>
      </c>
      <c r="AL50" s="201">
        <f t="shared" si="92"/>
        <v>6756703</v>
      </c>
      <c r="AM50" s="202">
        <v>229</v>
      </c>
      <c r="AN50" s="203">
        <v>45586</v>
      </c>
      <c r="AO50" s="208">
        <v>285800</v>
      </c>
      <c r="AP50" s="201">
        <f t="shared" si="93"/>
        <v>0</v>
      </c>
      <c r="AQ50" s="201">
        <f t="shared" si="94"/>
        <v>6487963.3199999994</v>
      </c>
      <c r="AR50" s="201">
        <f t="shared" si="95"/>
        <v>6487963.3199999994</v>
      </c>
      <c r="AS50" s="201">
        <f t="shared" si="96"/>
        <v>92.125815494860262</v>
      </c>
      <c r="AT50" s="201"/>
      <c r="AU50" s="223">
        <v>6256283.2199999997</v>
      </c>
      <c r="AV50" s="201">
        <f t="shared" si="97"/>
        <v>6256283.2199999997</v>
      </c>
      <c r="AW50" s="201">
        <f t="shared" si="110"/>
        <v>11.100088312302614</v>
      </c>
      <c r="AX50" s="201">
        <f t="shared" si="98"/>
        <v>92.593728331702607</v>
      </c>
      <c r="AY50" s="208" t="s">
        <v>222</v>
      </c>
      <c r="AZ50" s="201">
        <f t="shared" si="99"/>
        <v>0</v>
      </c>
      <c r="BA50" s="201">
        <f t="shared" si="100"/>
        <v>0</v>
      </c>
      <c r="BB50" s="201">
        <f t="shared" si="101"/>
        <v>0</v>
      </c>
      <c r="BC50" s="201"/>
      <c r="BD50" s="223">
        <v>0</v>
      </c>
      <c r="BE50" s="201">
        <f t="shared" si="102"/>
        <v>0</v>
      </c>
      <c r="BF50" s="208"/>
      <c r="BG50" s="201">
        <f t="shared" si="117"/>
        <v>0</v>
      </c>
      <c r="BH50" s="201">
        <f t="shared" si="117"/>
        <v>6487963.3199999994</v>
      </c>
      <c r="BI50" s="201">
        <f t="shared" si="104"/>
        <v>6487963.3199999994</v>
      </c>
      <c r="BJ50" s="201">
        <f t="shared" si="3"/>
        <v>92.125815494860262</v>
      </c>
      <c r="BK50" s="210">
        <v>25.47</v>
      </c>
      <c r="BL50" s="210">
        <v>75</v>
      </c>
      <c r="BM50" s="211"/>
      <c r="BN50" s="214" t="s">
        <v>152</v>
      </c>
      <c r="BO50" s="212">
        <f t="shared" si="105"/>
        <v>0</v>
      </c>
      <c r="BP50" s="201">
        <f t="shared" si="106"/>
        <v>554539.68000000028</v>
      </c>
      <c r="BQ50" s="201">
        <f t="shared" si="111"/>
        <v>554539.68000000028</v>
      </c>
      <c r="BR50" s="201">
        <f t="shared" si="112"/>
        <v>0</v>
      </c>
      <c r="BS50" s="201">
        <f t="shared" si="112"/>
        <v>500419.78000000026</v>
      </c>
      <c r="BT50" s="201">
        <f t="shared" si="113"/>
        <v>500419.78000000026</v>
      </c>
      <c r="BU50" s="213">
        <f t="shared" si="114"/>
        <v>54119.899999999994</v>
      </c>
      <c r="BV50" s="201">
        <f>285800+363122+4136+90239</f>
        <v>743297</v>
      </c>
      <c r="BW50" s="201"/>
      <c r="BX50" s="201">
        <f t="shared" si="115"/>
        <v>743297</v>
      </c>
      <c r="BY50" s="199">
        <v>0</v>
      </c>
      <c r="BZ50" s="199">
        <v>750000</v>
      </c>
      <c r="CA50" s="199">
        <v>750000</v>
      </c>
      <c r="CB50" s="199">
        <v>750000</v>
      </c>
      <c r="CC50" s="199">
        <v>750000</v>
      </c>
      <c r="CD50" s="199">
        <v>750000</v>
      </c>
      <c r="CE50" s="199">
        <v>750000</v>
      </c>
      <c r="CF50" s="199">
        <v>750000</v>
      </c>
      <c r="CG50" s="199">
        <v>750000</v>
      </c>
      <c r="CH50" s="199">
        <v>500000</v>
      </c>
      <c r="CI50" s="199">
        <v>500000</v>
      </c>
      <c r="CJ50" s="199">
        <v>500000</v>
      </c>
      <c r="CK50" s="214" t="s">
        <v>223</v>
      </c>
      <c r="CL50" s="214" t="s">
        <v>171</v>
      </c>
      <c r="CM50" s="211">
        <v>182</v>
      </c>
      <c r="CN50" s="215"/>
      <c r="CO50" s="215">
        <v>600</v>
      </c>
      <c r="CP50" s="216">
        <v>250</v>
      </c>
      <c r="CQ50" s="217"/>
      <c r="CR50" s="211"/>
      <c r="CS50" s="218"/>
      <c r="CT50" s="218"/>
      <c r="CU50" s="218"/>
      <c r="CV50" s="211"/>
      <c r="CW50" s="211"/>
      <c r="CX50" s="211"/>
      <c r="CY50" s="211"/>
      <c r="CZ50" s="211"/>
      <c r="DA50" s="211"/>
      <c r="DB50" s="211"/>
      <c r="DC50" s="219"/>
      <c r="DD50" s="219"/>
      <c r="DE50" s="219"/>
      <c r="DF50" s="211"/>
      <c r="DG50" s="211"/>
      <c r="DH50" s="211"/>
      <c r="DI50" s="211"/>
      <c r="DJ50" s="211"/>
      <c r="DK50" s="220" t="s">
        <v>32</v>
      </c>
      <c r="DL50" s="248"/>
      <c r="DT50" s="222"/>
    </row>
    <row r="51" spans="1:124" s="176" customFormat="1" ht="42" x14ac:dyDescent="0.2">
      <c r="A51" s="195" t="s">
        <v>94</v>
      </c>
      <c r="B51" s="197" t="s">
        <v>224</v>
      </c>
      <c r="C51" s="198">
        <v>1</v>
      </c>
      <c r="D51" s="199">
        <v>20000000</v>
      </c>
      <c r="E51" s="198" t="s">
        <v>225</v>
      </c>
      <c r="F51" s="198" t="s">
        <v>111</v>
      </c>
      <c r="G51" s="198" t="s">
        <v>98</v>
      </c>
      <c r="H51" s="200">
        <v>1</v>
      </c>
      <c r="I51" s="199">
        <f t="shared" si="80"/>
        <v>0</v>
      </c>
      <c r="J51" s="199">
        <f t="shared" si="81"/>
        <v>20000000</v>
      </c>
      <c r="K51" s="199">
        <f t="shared" si="82"/>
        <v>20000000</v>
      </c>
      <c r="L51" s="199"/>
      <c r="M51" s="199">
        <v>20000000</v>
      </c>
      <c r="N51" s="199">
        <f t="shared" si="83"/>
        <v>20000000</v>
      </c>
      <c r="O51" s="199"/>
      <c r="P51" s="201">
        <v>0</v>
      </c>
      <c r="Q51" s="202">
        <v>20</v>
      </c>
      <c r="R51" s="203">
        <v>45566</v>
      </c>
      <c r="S51" s="204"/>
      <c r="T51" s="204">
        <v>20000000</v>
      </c>
      <c r="U51" s="204">
        <f t="shared" si="84"/>
        <v>20000000</v>
      </c>
      <c r="V51" s="205">
        <v>228</v>
      </c>
      <c r="W51" s="200">
        <v>45586</v>
      </c>
      <c r="X51" s="201"/>
      <c r="Y51" s="201">
        <v>-608600</v>
      </c>
      <c r="Z51" s="201">
        <f t="shared" si="85"/>
        <v>-608600</v>
      </c>
      <c r="AA51" s="198">
        <v>2340</v>
      </c>
      <c r="AB51" s="206">
        <v>45803</v>
      </c>
      <c r="AC51" s="207"/>
      <c r="AD51" s="201">
        <v>-522179</v>
      </c>
      <c r="AE51" s="204">
        <f t="shared" si="86"/>
        <v>-522179</v>
      </c>
      <c r="AF51" s="203">
        <f t="shared" si="87"/>
        <v>45566</v>
      </c>
      <c r="AG51" s="201">
        <f t="shared" si="88"/>
        <v>0</v>
      </c>
      <c r="AH51" s="204">
        <f t="shared" si="89"/>
        <v>19477821</v>
      </c>
      <c r="AI51" s="204">
        <f t="shared" si="90"/>
        <v>19477821</v>
      </c>
      <c r="AJ51" s="201">
        <f t="shared" si="116"/>
        <v>0</v>
      </c>
      <c r="AK51" s="201">
        <f t="shared" si="116"/>
        <v>18869221</v>
      </c>
      <c r="AL51" s="201">
        <f t="shared" si="92"/>
        <v>18869221</v>
      </c>
      <c r="AM51" s="205">
        <v>229</v>
      </c>
      <c r="AN51" s="200">
        <v>45586</v>
      </c>
      <c r="AO51" s="208">
        <v>608600</v>
      </c>
      <c r="AP51" s="201">
        <f t="shared" si="93"/>
        <v>0</v>
      </c>
      <c r="AQ51" s="201">
        <f t="shared" si="94"/>
        <v>10384434.310000001</v>
      </c>
      <c r="AR51" s="201">
        <f t="shared" si="95"/>
        <v>10384434.310000001</v>
      </c>
      <c r="AS51" s="201">
        <f t="shared" si="96"/>
        <v>53.314147973738955</v>
      </c>
      <c r="AT51" s="201"/>
      <c r="AU51" s="209">
        <v>10077173.67</v>
      </c>
      <c r="AV51" s="201">
        <f t="shared" si="97"/>
        <v>10077173.67</v>
      </c>
      <c r="AW51" s="201">
        <f t="shared" si="110"/>
        <v>10.59927169224421</v>
      </c>
      <c r="AX51" s="201">
        <f t="shared" si="98"/>
        <v>53.40535080912985</v>
      </c>
      <c r="AY51" s="208">
        <v>307260.64</v>
      </c>
      <c r="AZ51" s="201">
        <f t="shared" si="99"/>
        <v>0</v>
      </c>
      <c r="BA51" s="201">
        <f t="shared" si="100"/>
        <v>3635778</v>
      </c>
      <c r="BB51" s="201">
        <f t="shared" si="101"/>
        <v>3635778</v>
      </c>
      <c r="BC51" s="201"/>
      <c r="BD51" s="209">
        <v>3635778</v>
      </c>
      <c r="BE51" s="201">
        <f t="shared" si="102"/>
        <v>3635778</v>
      </c>
      <c r="BF51" s="208"/>
      <c r="BG51" s="201">
        <f t="shared" si="117"/>
        <v>0</v>
      </c>
      <c r="BH51" s="201">
        <f t="shared" si="117"/>
        <v>14020212.310000001</v>
      </c>
      <c r="BI51" s="201">
        <f t="shared" si="104"/>
        <v>14020212.310000001</v>
      </c>
      <c r="BJ51" s="201">
        <f t="shared" si="3"/>
        <v>71.980394059479238</v>
      </c>
      <c r="BK51" s="210">
        <v>5</v>
      </c>
      <c r="BL51" s="210">
        <v>60</v>
      </c>
      <c r="BM51" s="211"/>
      <c r="BN51" s="211"/>
      <c r="BO51" s="212">
        <f t="shared" si="105"/>
        <v>0</v>
      </c>
      <c r="BP51" s="201">
        <f t="shared" si="106"/>
        <v>9093386.6899999995</v>
      </c>
      <c r="BQ51" s="201">
        <f t="shared" si="111"/>
        <v>9093386.6899999995</v>
      </c>
      <c r="BR51" s="201">
        <f t="shared" si="112"/>
        <v>0</v>
      </c>
      <c r="BS51" s="201">
        <f t="shared" si="112"/>
        <v>8792047.3300000001</v>
      </c>
      <c r="BT51" s="201">
        <f t="shared" si="113"/>
        <v>8792047.3300000001</v>
      </c>
      <c r="BU51" s="213">
        <f t="shared" si="114"/>
        <v>301339.36</v>
      </c>
      <c r="BV51" s="201">
        <f>608600+522179</f>
        <v>1130779</v>
      </c>
      <c r="BW51" s="201"/>
      <c r="BX51" s="201">
        <f t="shared" si="115"/>
        <v>1130779</v>
      </c>
      <c r="BY51" s="199">
        <v>0</v>
      </c>
      <c r="BZ51" s="199">
        <v>1000000</v>
      </c>
      <c r="CA51" s="199">
        <v>1000000</v>
      </c>
      <c r="CB51" s="199">
        <v>2000000</v>
      </c>
      <c r="CC51" s="199">
        <v>2000000</v>
      </c>
      <c r="CD51" s="199">
        <v>2000000</v>
      </c>
      <c r="CE51" s="199">
        <v>2000000</v>
      </c>
      <c r="CF51" s="199">
        <v>2000000</v>
      </c>
      <c r="CG51" s="199">
        <v>2200000</v>
      </c>
      <c r="CH51" s="199">
        <v>3000000</v>
      </c>
      <c r="CI51" s="199">
        <v>1422200</v>
      </c>
      <c r="CJ51" s="199">
        <v>1377800</v>
      </c>
      <c r="CK51" s="214" t="s">
        <v>226</v>
      </c>
      <c r="CL51" s="214" t="s">
        <v>171</v>
      </c>
      <c r="CM51" s="211">
        <v>182</v>
      </c>
      <c r="CN51" s="215"/>
      <c r="CO51" s="215">
        <v>0</v>
      </c>
      <c r="CP51" s="216"/>
      <c r="CQ51" s="217"/>
      <c r="CR51" s="211"/>
      <c r="CS51" s="218"/>
      <c r="CT51" s="218"/>
      <c r="CU51" s="218"/>
      <c r="CV51" s="211"/>
      <c r="CW51" s="211"/>
      <c r="CX51" s="211"/>
      <c r="CY51" s="211"/>
      <c r="CZ51" s="211"/>
      <c r="DA51" s="211"/>
      <c r="DB51" s="211"/>
      <c r="DC51" s="219"/>
      <c r="DD51" s="219">
        <v>0.05</v>
      </c>
      <c r="DE51" s="219"/>
      <c r="DF51" s="211"/>
      <c r="DG51" s="211"/>
      <c r="DH51" s="211"/>
      <c r="DI51" s="211"/>
      <c r="DJ51" s="211"/>
      <c r="DK51" s="220" t="s">
        <v>32</v>
      </c>
      <c r="DL51" s="248"/>
      <c r="DT51" s="222"/>
    </row>
    <row r="52" spans="1:124" s="278" customFormat="1" ht="42" x14ac:dyDescent="0.2">
      <c r="A52" s="249" t="s">
        <v>227</v>
      </c>
      <c r="B52" s="250" t="s">
        <v>228</v>
      </c>
      <c r="C52" s="251">
        <v>1</v>
      </c>
      <c r="D52" s="252">
        <v>26000000</v>
      </c>
      <c r="E52" s="251" t="s">
        <v>229</v>
      </c>
      <c r="F52" s="251" t="s">
        <v>230</v>
      </c>
      <c r="G52" s="251" t="s">
        <v>98</v>
      </c>
      <c r="H52" s="253">
        <v>1</v>
      </c>
      <c r="I52" s="252">
        <f t="shared" si="80"/>
        <v>13904100</v>
      </c>
      <c r="J52" s="252">
        <f t="shared" si="81"/>
        <v>12095900</v>
      </c>
      <c r="K52" s="252">
        <f t="shared" si="82"/>
        <v>26000000</v>
      </c>
      <c r="L52" s="252">
        <v>13904100</v>
      </c>
      <c r="M52" s="252">
        <v>12095900</v>
      </c>
      <c r="N52" s="252">
        <f t="shared" si="83"/>
        <v>26000000</v>
      </c>
      <c r="O52" s="252"/>
      <c r="P52" s="209">
        <v>0</v>
      </c>
      <c r="Q52" s="254">
        <v>19</v>
      </c>
      <c r="R52" s="255">
        <v>45566</v>
      </c>
      <c r="S52" s="256"/>
      <c r="T52" s="256">
        <v>12095900</v>
      </c>
      <c r="U52" s="256">
        <f t="shared" si="84"/>
        <v>12095900</v>
      </c>
      <c r="V52" s="257">
        <v>358</v>
      </c>
      <c r="W52" s="258">
        <v>45597</v>
      </c>
      <c r="X52" s="259">
        <v>13808558</v>
      </c>
      <c r="Y52" s="259"/>
      <c r="Z52" s="259">
        <f t="shared" si="85"/>
        <v>13808558</v>
      </c>
      <c r="AA52" s="260">
        <v>2107</v>
      </c>
      <c r="AB52" s="261">
        <v>45769</v>
      </c>
      <c r="AC52" s="262"/>
      <c r="AD52" s="259">
        <v>-2747892.26</v>
      </c>
      <c r="AE52" s="256">
        <f t="shared" si="86"/>
        <v>-2747892.26</v>
      </c>
      <c r="AF52" s="263">
        <f t="shared" si="87"/>
        <v>45566</v>
      </c>
      <c r="AG52" s="209">
        <f t="shared" si="88"/>
        <v>13808558</v>
      </c>
      <c r="AH52" s="264">
        <f t="shared" si="89"/>
        <v>9348007.7400000002</v>
      </c>
      <c r="AI52" s="209">
        <f t="shared" si="90"/>
        <v>23156565.740000002</v>
      </c>
      <c r="AJ52" s="259">
        <f t="shared" si="116"/>
        <v>13808558</v>
      </c>
      <c r="AK52" s="259">
        <f t="shared" si="116"/>
        <v>9348007.7400000002</v>
      </c>
      <c r="AL52" s="259">
        <f t="shared" si="92"/>
        <v>23156565.740000002</v>
      </c>
      <c r="AM52" s="265"/>
      <c r="AN52" s="263"/>
      <c r="AO52" s="259"/>
      <c r="AP52" s="209">
        <f t="shared" si="93"/>
        <v>13808557.439999999</v>
      </c>
      <c r="AQ52" s="209">
        <f t="shared" si="94"/>
        <v>9163690.089999998</v>
      </c>
      <c r="AR52" s="209">
        <f t="shared" si="95"/>
        <v>22972247.529999997</v>
      </c>
      <c r="AS52" s="209">
        <f t="shared" si="96"/>
        <v>99.204034777567983</v>
      </c>
      <c r="AT52" s="259">
        <v>13808557.439999999</v>
      </c>
      <c r="AU52" s="259">
        <v>9163690.089999998</v>
      </c>
      <c r="AV52" s="259">
        <f t="shared" si="97"/>
        <v>22972247.529999997</v>
      </c>
      <c r="AW52" s="209">
        <f t="shared" si="110"/>
        <v>8.9823336644736855</v>
      </c>
      <c r="AX52" s="259">
        <f t="shared" si="98"/>
        <v>99.204034777567983</v>
      </c>
      <c r="AY52" s="209"/>
      <c r="AZ52" s="209">
        <f t="shared" si="99"/>
        <v>0</v>
      </c>
      <c r="BA52" s="209">
        <f t="shared" si="100"/>
        <v>80000</v>
      </c>
      <c r="BB52" s="209">
        <f t="shared" si="101"/>
        <v>80000</v>
      </c>
      <c r="BC52" s="259"/>
      <c r="BD52" s="259">
        <v>80000</v>
      </c>
      <c r="BE52" s="259">
        <f t="shared" si="102"/>
        <v>80000</v>
      </c>
      <c r="BF52" s="209"/>
      <c r="BG52" s="259">
        <f t="shared" si="117"/>
        <v>13808557.439999999</v>
      </c>
      <c r="BH52" s="259">
        <f t="shared" si="117"/>
        <v>9243690.089999998</v>
      </c>
      <c r="BI52" s="259">
        <f t="shared" si="104"/>
        <v>23052247.529999997</v>
      </c>
      <c r="BJ52" s="259">
        <f t="shared" si="3"/>
        <v>99.549509149278506</v>
      </c>
      <c r="BK52" s="266">
        <v>45</v>
      </c>
      <c r="BL52" s="266">
        <v>80</v>
      </c>
      <c r="BM52" s="267"/>
      <c r="BN52" s="268"/>
      <c r="BO52" s="269">
        <f t="shared" si="105"/>
        <v>0.56000000052154064</v>
      </c>
      <c r="BP52" s="259">
        <f t="shared" si="106"/>
        <v>184317.65000000224</v>
      </c>
      <c r="BQ52" s="259">
        <f t="shared" si="111"/>
        <v>184318.21000000276</v>
      </c>
      <c r="BR52" s="259">
        <f t="shared" si="112"/>
        <v>0.56000000052154064</v>
      </c>
      <c r="BS52" s="259">
        <f t="shared" si="112"/>
        <v>184317.65000000224</v>
      </c>
      <c r="BT52" s="259">
        <f t="shared" si="113"/>
        <v>184318.21000000276</v>
      </c>
      <c r="BU52" s="270">
        <f t="shared" si="114"/>
        <v>0</v>
      </c>
      <c r="BV52" s="259">
        <v>2747892.26</v>
      </c>
      <c r="BW52" s="259"/>
      <c r="BX52" s="259">
        <f t="shared" si="115"/>
        <v>2747892.26</v>
      </c>
      <c r="BY52" s="271">
        <v>250000</v>
      </c>
      <c r="BZ52" s="271">
        <v>300000</v>
      </c>
      <c r="CA52" s="271">
        <v>8550000</v>
      </c>
      <c r="CB52" s="271">
        <v>1820000.0000000002</v>
      </c>
      <c r="CC52" s="271">
        <v>1820000.0000000002</v>
      </c>
      <c r="CD52" s="271">
        <v>2080000</v>
      </c>
      <c r="CE52" s="271">
        <v>2340000</v>
      </c>
      <c r="CF52" s="271">
        <v>2080000</v>
      </c>
      <c r="CG52" s="271">
        <v>2080000</v>
      </c>
      <c r="CH52" s="271">
        <v>1560000</v>
      </c>
      <c r="CI52" s="271">
        <v>1560000</v>
      </c>
      <c r="CJ52" s="271">
        <v>1560000</v>
      </c>
      <c r="CK52" s="268" t="s">
        <v>231</v>
      </c>
      <c r="CL52" s="268" t="s">
        <v>171</v>
      </c>
      <c r="CM52" s="267">
        <v>182</v>
      </c>
      <c r="CN52" s="272"/>
      <c r="CO52" s="272">
        <v>1610</v>
      </c>
      <c r="CP52" s="273">
        <v>250</v>
      </c>
      <c r="CQ52" s="274"/>
      <c r="CR52" s="267"/>
      <c r="CS52" s="275"/>
      <c r="CT52" s="275"/>
      <c r="CU52" s="275"/>
      <c r="CV52" s="267"/>
      <c r="CW52" s="267"/>
      <c r="CX52" s="267"/>
      <c r="CY52" s="267"/>
      <c r="CZ52" s="267"/>
      <c r="DA52" s="267"/>
      <c r="DB52" s="267"/>
      <c r="DC52" s="276"/>
      <c r="DD52" s="276"/>
      <c r="DE52" s="276"/>
      <c r="DF52" s="267"/>
      <c r="DG52" s="267"/>
      <c r="DH52" s="267"/>
      <c r="DI52" s="267"/>
      <c r="DJ52" s="267"/>
      <c r="DK52" s="277" t="s">
        <v>53</v>
      </c>
      <c r="DT52" s="279"/>
    </row>
    <row r="53" spans="1:124" s="278" customFormat="1" ht="42" x14ac:dyDescent="0.2">
      <c r="A53" s="249" t="s">
        <v>227</v>
      </c>
      <c r="B53" s="250" t="s">
        <v>232</v>
      </c>
      <c r="C53" s="251">
        <v>1</v>
      </c>
      <c r="D53" s="252">
        <v>25000000</v>
      </c>
      <c r="E53" s="251" t="s">
        <v>233</v>
      </c>
      <c r="F53" s="251" t="s">
        <v>234</v>
      </c>
      <c r="G53" s="251" t="s">
        <v>98</v>
      </c>
      <c r="H53" s="253">
        <v>1</v>
      </c>
      <c r="I53" s="252">
        <f t="shared" si="80"/>
        <v>18106700</v>
      </c>
      <c r="J53" s="252">
        <f t="shared" si="81"/>
        <v>6893300</v>
      </c>
      <c r="K53" s="252">
        <f t="shared" si="82"/>
        <v>25000000</v>
      </c>
      <c r="L53" s="252">
        <v>18106700</v>
      </c>
      <c r="M53" s="252">
        <v>6893300</v>
      </c>
      <c r="N53" s="252">
        <f t="shared" si="83"/>
        <v>25000000</v>
      </c>
      <c r="O53" s="252"/>
      <c r="P53" s="209">
        <v>0</v>
      </c>
      <c r="Q53" s="254">
        <v>19</v>
      </c>
      <c r="R53" s="255">
        <v>45566</v>
      </c>
      <c r="S53" s="256"/>
      <c r="T53" s="256">
        <v>6893300</v>
      </c>
      <c r="U53" s="256">
        <f t="shared" si="84"/>
        <v>6893300</v>
      </c>
      <c r="V53" s="257">
        <v>358</v>
      </c>
      <c r="W53" s="258">
        <v>45597</v>
      </c>
      <c r="X53" s="259">
        <v>17942590</v>
      </c>
      <c r="Y53" s="259"/>
      <c r="Z53" s="259">
        <f t="shared" si="85"/>
        <v>17942590</v>
      </c>
      <c r="AA53" s="260">
        <v>2107</v>
      </c>
      <c r="AB53" s="261">
        <v>45769</v>
      </c>
      <c r="AC53" s="262"/>
      <c r="AD53" s="259">
        <v>-623605.56999999995</v>
      </c>
      <c r="AE53" s="256">
        <f t="shared" si="86"/>
        <v>-623605.56999999995</v>
      </c>
      <c r="AF53" s="263">
        <f t="shared" si="87"/>
        <v>45566</v>
      </c>
      <c r="AG53" s="209">
        <f t="shared" si="88"/>
        <v>17942590</v>
      </c>
      <c r="AH53" s="264">
        <f t="shared" si="89"/>
        <v>6269694.4299999997</v>
      </c>
      <c r="AI53" s="209">
        <f t="shared" si="90"/>
        <v>24212284.43</v>
      </c>
      <c r="AJ53" s="259">
        <f t="shared" si="116"/>
        <v>17942590</v>
      </c>
      <c r="AK53" s="259">
        <f t="shared" si="116"/>
        <v>6269694.4299999997</v>
      </c>
      <c r="AL53" s="259">
        <f t="shared" si="92"/>
        <v>24212284.43</v>
      </c>
      <c r="AM53" s="265"/>
      <c r="AN53" s="263"/>
      <c r="AO53" s="259"/>
      <c r="AP53" s="209">
        <f t="shared" si="93"/>
        <v>17942589.050000001</v>
      </c>
      <c r="AQ53" s="209">
        <f t="shared" si="94"/>
        <v>6128815.1099999994</v>
      </c>
      <c r="AR53" s="209">
        <f t="shared" si="95"/>
        <v>24071404.16</v>
      </c>
      <c r="AS53" s="209">
        <f t="shared" si="96"/>
        <v>99.418145485580681</v>
      </c>
      <c r="AT53" s="259">
        <v>17942589.050000001</v>
      </c>
      <c r="AU53" s="259">
        <v>6128815.1099999994</v>
      </c>
      <c r="AV53" s="259">
        <f t="shared" si="97"/>
        <v>24071404.16</v>
      </c>
      <c r="AW53" s="209">
        <f t="shared" si="110"/>
        <v>8.2602697229259334</v>
      </c>
      <c r="AX53" s="259">
        <f t="shared" si="98"/>
        <v>99.418145485580681</v>
      </c>
      <c r="AY53" s="209"/>
      <c r="AZ53" s="209">
        <f t="shared" si="99"/>
        <v>0</v>
      </c>
      <c r="BA53" s="209">
        <f t="shared" si="100"/>
        <v>101928</v>
      </c>
      <c r="BB53" s="209">
        <f t="shared" si="101"/>
        <v>101928</v>
      </c>
      <c r="BC53" s="259"/>
      <c r="BD53" s="259">
        <v>101928</v>
      </c>
      <c r="BE53" s="259">
        <f t="shared" si="102"/>
        <v>101928</v>
      </c>
      <c r="BF53" s="209"/>
      <c r="BG53" s="259">
        <f t="shared" si="117"/>
        <v>17942589.050000001</v>
      </c>
      <c r="BH53" s="259">
        <f t="shared" si="117"/>
        <v>6230743.1099999994</v>
      </c>
      <c r="BI53" s="259">
        <f t="shared" si="104"/>
        <v>24173332.16</v>
      </c>
      <c r="BJ53" s="259">
        <f t="shared" si="3"/>
        <v>99.839121871739877</v>
      </c>
      <c r="BK53" s="266">
        <v>45</v>
      </c>
      <c r="BL53" s="266">
        <v>80</v>
      </c>
      <c r="BM53" s="267"/>
      <c r="BN53" s="268"/>
      <c r="BO53" s="269">
        <f t="shared" si="105"/>
        <v>0.94999999925494194</v>
      </c>
      <c r="BP53" s="259">
        <f t="shared" si="106"/>
        <v>140879.3200000003</v>
      </c>
      <c r="BQ53" s="259">
        <f t="shared" si="111"/>
        <v>140880.26999999955</v>
      </c>
      <c r="BR53" s="259">
        <f t="shared" si="112"/>
        <v>0.94999999925494194</v>
      </c>
      <c r="BS53" s="259">
        <f t="shared" si="112"/>
        <v>140879.3200000003</v>
      </c>
      <c r="BT53" s="259">
        <f t="shared" si="113"/>
        <v>140880.26999999955</v>
      </c>
      <c r="BU53" s="270">
        <f t="shared" si="114"/>
        <v>0</v>
      </c>
      <c r="BV53" s="259">
        <v>623605.56999999995</v>
      </c>
      <c r="BW53" s="259"/>
      <c r="BX53" s="259">
        <f t="shared" si="115"/>
        <v>623605.56999999995</v>
      </c>
      <c r="BY53" s="271">
        <v>250000</v>
      </c>
      <c r="BZ53" s="271">
        <v>250000</v>
      </c>
      <c r="CA53" s="271">
        <v>8250000</v>
      </c>
      <c r="CB53" s="271">
        <v>1750000.0000000002</v>
      </c>
      <c r="CC53" s="271">
        <v>1750000.0000000002</v>
      </c>
      <c r="CD53" s="271">
        <v>2000000</v>
      </c>
      <c r="CE53" s="271">
        <v>2250000</v>
      </c>
      <c r="CF53" s="271">
        <v>2000000</v>
      </c>
      <c r="CG53" s="271">
        <v>2000000</v>
      </c>
      <c r="CH53" s="271">
        <v>1500000</v>
      </c>
      <c r="CI53" s="271">
        <v>1500000</v>
      </c>
      <c r="CJ53" s="271">
        <v>1500000</v>
      </c>
      <c r="CK53" s="268" t="s">
        <v>235</v>
      </c>
      <c r="CL53" s="268" t="s">
        <v>171</v>
      </c>
      <c r="CM53" s="267">
        <v>182</v>
      </c>
      <c r="CN53" s="272"/>
      <c r="CO53" s="272">
        <v>400</v>
      </c>
      <c r="CP53" s="273">
        <v>441</v>
      </c>
      <c r="CQ53" s="274"/>
      <c r="CR53" s="267"/>
      <c r="CS53" s="275"/>
      <c r="CT53" s="275"/>
      <c r="CU53" s="275"/>
      <c r="CV53" s="267"/>
      <c r="CW53" s="267"/>
      <c r="CX53" s="267"/>
      <c r="CY53" s="267"/>
      <c r="CZ53" s="267"/>
      <c r="DA53" s="267"/>
      <c r="DB53" s="267"/>
      <c r="DC53" s="276"/>
      <c r="DD53" s="276"/>
      <c r="DE53" s="276"/>
      <c r="DF53" s="267"/>
      <c r="DG53" s="267"/>
      <c r="DH53" s="267"/>
      <c r="DI53" s="267"/>
      <c r="DJ53" s="267"/>
      <c r="DK53" s="277" t="s">
        <v>53</v>
      </c>
      <c r="DT53" s="279"/>
    </row>
    <row r="54" spans="1:124" s="176" customFormat="1" ht="42" x14ac:dyDescent="0.2">
      <c r="A54" s="195" t="s">
        <v>108</v>
      </c>
      <c r="B54" s="197" t="s">
        <v>236</v>
      </c>
      <c r="C54" s="198">
        <v>1</v>
      </c>
      <c r="D54" s="199">
        <v>15000000</v>
      </c>
      <c r="E54" s="198" t="s">
        <v>237</v>
      </c>
      <c r="F54" s="198" t="s">
        <v>238</v>
      </c>
      <c r="G54" s="198" t="s">
        <v>98</v>
      </c>
      <c r="H54" s="200">
        <v>1</v>
      </c>
      <c r="I54" s="199">
        <f t="shared" si="80"/>
        <v>0</v>
      </c>
      <c r="J54" s="199">
        <f t="shared" si="81"/>
        <v>15000000</v>
      </c>
      <c r="K54" s="199">
        <f t="shared" si="82"/>
        <v>15000000</v>
      </c>
      <c r="L54" s="199">
        <v>0</v>
      </c>
      <c r="M54" s="199">
        <v>15000000</v>
      </c>
      <c r="N54" s="199">
        <f t="shared" si="83"/>
        <v>15000000</v>
      </c>
      <c r="O54" s="199"/>
      <c r="P54" s="201">
        <v>0</v>
      </c>
      <c r="Q54" s="202">
        <v>20</v>
      </c>
      <c r="R54" s="203">
        <v>45566</v>
      </c>
      <c r="S54" s="204"/>
      <c r="T54" s="204">
        <v>15000000</v>
      </c>
      <c r="U54" s="204">
        <f t="shared" si="84"/>
        <v>15000000</v>
      </c>
      <c r="V54" s="205">
        <v>228</v>
      </c>
      <c r="W54" s="200">
        <v>45586</v>
      </c>
      <c r="X54" s="201"/>
      <c r="Y54" s="201">
        <v>-518000</v>
      </c>
      <c r="Z54" s="201">
        <f t="shared" si="85"/>
        <v>-518000</v>
      </c>
      <c r="AA54" s="198">
        <v>2067</v>
      </c>
      <c r="AB54" s="206">
        <v>45758</v>
      </c>
      <c r="AC54" s="207"/>
      <c r="AD54" s="201">
        <v>-1383158.83</v>
      </c>
      <c r="AE54" s="204">
        <f t="shared" si="86"/>
        <v>-1383158.83</v>
      </c>
      <c r="AF54" s="203">
        <f t="shared" si="87"/>
        <v>45566</v>
      </c>
      <c r="AG54" s="201">
        <f t="shared" si="88"/>
        <v>0</v>
      </c>
      <c r="AH54" s="204">
        <f t="shared" si="89"/>
        <v>13616841.17</v>
      </c>
      <c r="AI54" s="204">
        <f t="shared" si="90"/>
        <v>13616841.17</v>
      </c>
      <c r="AJ54" s="201">
        <f t="shared" si="116"/>
        <v>0</v>
      </c>
      <c r="AK54" s="201">
        <f t="shared" si="116"/>
        <v>13098841.17</v>
      </c>
      <c r="AL54" s="201">
        <f t="shared" si="92"/>
        <v>13098841.17</v>
      </c>
      <c r="AM54" s="205">
        <v>229</v>
      </c>
      <c r="AN54" s="200">
        <v>45586</v>
      </c>
      <c r="AO54" s="208">
        <v>518000</v>
      </c>
      <c r="AP54" s="201">
        <f t="shared" si="93"/>
        <v>0</v>
      </c>
      <c r="AQ54" s="201">
        <f t="shared" si="94"/>
        <v>9465441.3300000001</v>
      </c>
      <c r="AR54" s="201">
        <f t="shared" si="95"/>
        <v>9465441.3300000001</v>
      </c>
      <c r="AS54" s="201">
        <f t="shared" si="96"/>
        <v>69.512754183061389</v>
      </c>
      <c r="AT54" s="201"/>
      <c r="AU54" s="223">
        <v>9222330.0299999993</v>
      </c>
      <c r="AV54" s="201">
        <f t="shared" si="97"/>
        <v>9222330.0299999993</v>
      </c>
      <c r="AW54" s="201">
        <f t="shared" si="110"/>
        <v>8.0159762712811027</v>
      </c>
      <c r="AX54" s="201">
        <f t="shared" si="98"/>
        <v>70.405693987050597</v>
      </c>
      <c r="AY54" s="208">
        <v>243111.30000000002</v>
      </c>
      <c r="AZ54" s="201">
        <f t="shared" si="99"/>
        <v>0</v>
      </c>
      <c r="BA54" s="201">
        <f t="shared" si="100"/>
        <v>785596</v>
      </c>
      <c r="BB54" s="201">
        <f t="shared" si="101"/>
        <v>785596</v>
      </c>
      <c r="BC54" s="201"/>
      <c r="BD54" s="223">
        <v>785596</v>
      </c>
      <c r="BE54" s="201">
        <f t="shared" si="102"/>
        <v>785596</v>
      </c>
      <c r="BF54" s="208"/>
      <c r="BG54" s="201">
        <f t="shared" si="117"/>
        <v>0</v>
      </c>
      <c r="BH54" s="201">
        <f t="shared" si="117"/>
        <v>10251037.33</v>
      </c>
      <c r="BI54" s="201">
        <f t="shared" si="104"/>
        <v>10251037.33</v>
      </c>
      <c r="BJ54" s="201">
        <f t="shared" si="3"/>
        <v>75.282051116117998</v>
      </c>
      <c r="BK54" s="210">
        <v>10</v>
      </c>
      <c r="BL54" s="210">
        <v>30</v>
      </c>
      <c r="BM54" s="211"/>
      <c r="BN54" s="211"/>
      <c r="BO54" s="212">
        <f t="shared" si="105"/>
        <v>0</v>
      </c>
      <c r="BP54" s="201">
        <f t="shared" si="106"/>
        <v>4151399.8400000008</v>
      </c>
      <c r="BQ54" s="201">
        <f t="shared" si="111"/>
        <v>4151399.8400000008</v>
      </c>
      <c r="BR54" s="201">
        <f t="shared" si="112"/>
        <v>0</v>
      </c>
      <c r="BS54" s="201">
        <f t="shared" si="112"/>
        <v>3876511.1400000006</v>
      </c>
      <c r="BT54" s="201">
        <f t="shared" si="113"/>
        <v>3876511.1400000006</v>
      </c>
      <c r="BU54" s="213">
        <f t="shared" si="114"/>
        <v>274888.69999999995</v>
      </c>
      <c r="BV54" s="201">
        <f>518000+1383158.83</f>
        <v>1901158.83</v>
      </c>
      <c r="BW54" s="201"/>
      <c r="BX54" s="201">
        <f t="shared" si="115"/>
        <v>1901158.83</v>
      </c>
      <c r="BY54" s="199">
        <v>1570000</v>
      </c>
      <c r="BZ54" s="199">
        <v>1510000</v>
      </c>
      <c r="CA54" s="199">
        <v>1520000</v>
      </c>
      <c r="CB54" s="199">
        <v>1360000</v>
      </c>
      <c r="CC54" s="199">
        <v>1200000</v>
      </c>
      <c r="CD54" s="199">
        <v>1020000</v>
      </c>
      <c r="CE54" s="199">
        <v>1040000</v>
      </c>
      <c r="CF54" s="199">
        <v>1050000</v>
      </c>
      <c r="CG54" s="199">
        <v>1260000</v>
      </c>
      <c r="CH54" s="199">
        <v>1150000</v>
      </c>
      <c r="CI54" s="199">
        <v>1180000</v>
      </c>
      <c r="CJ54" s="199">
        <v>1140000</v>
      </c>
      <c r="CK54" s="214" t="s">
        <v>239</v>
      </c>
      <c r="CL54" s="214" t="s">
        <v>171</v>
      </c>
      <c r="CM54" s="211">
        <v>182</v>
      </c>
      <c r="CN54" s="215"/>
      <c r="CO54" s="215">
        <v>100</v>
      </c>
      <c r="CP54" s="216">
        <v>45</v>
      </c>
      <c r="CQ54" s="217"/>
      <c r="CR54" s="211"/>
      <c r="CS54" s="218"/>
      <c r="CT54" s="218"/>
      <c r="CU54" s="218"/>
      <c r="CV54" s="211"/>
      <c r="CW54" s="211"/>
      <c r="CX54" s="211"/>
      <c r="CY54" s="211"/>
      <c r="CZ54" s="211"/>
      <c r="DA54" s="211"/>
      <c r="DB54" s="211"/>
      <c r="DC54" s="219"/>
      <c r="DD54" s="219"/>
      <c r="DE54" s="219"/>
      <c r="DF54" s="211"/>
      <c r="DG54" s="211"/>
      <c r="DH54" s="211"/>
      <c r="DI54" s="211"/>
      <c r="DJ54" s="211"/>
      <c r="DK54" s="220" t="s">
        <v>32</v>
      </c>
      <c r="DT54" s="222"/>
    </row>
    <row r="55" spans="1:124" s="176" customFormat="1" ht="42" x14ac:dyDescent="0.2">
      <c r="A55" s="195" t="s">
        <v>108</v>
      </c>
      <c r="B55" s="197" t="s">
        <v>240</v>
      </c>
      <c r="C55" s="198">
        <v>1</v>
      </c>
      <c r="D55" s="199">
        <v>10000000</v>
      </c>
      <c r="E55" s="198" t="s">
        <v>241</v>
      </c>
      <c r="F55" s="198" t="s">
        <v>241</v>
      </c>
      <c r="G55" s="198" t="s">
        <v>98</v>
      </c>
      <c r="H55" s="200">
        <v>1</v>
      </c>
      <c r="I55" s="199">
        <f t="shared" si="80"/>
        <v>175000</v>
      </c>
      <c r="J55" s="199">
        <f t="shared" si="81"/>
        <v>9825000</v>
      </c>
      <c r="K55" s="199">
        <f t="shared" si="82"/>
        <v>10000000</v>
      </c>
      <c r="L55" s="199">
        <v>175000</v>
      </c>
      <c r="M55" s="199">
        <v>9825000</v>
      </c>
      <c r="N55" s="199">
        <f t="shared" si="83"/>
        <v>10000000</v>
      </c>
      <c r="O55" s="199"/>
      <c r="P55" s="201">
        <v>0</v>
      </c>
      <c r="Q55" s="202">
        <v>19</v>
      </c>
      <c r="R55" s="203">
        <v>45566</v>
      </c>
      <c r="S55" s="204"/>
      <c r="T55" s="204">
        <v>9825000</v>
      </c>
      <c r="U55" s="204">
        <f t="shared" si="84"/>
        <v>9825000</v>
      </c>
      <c r="V55" s="205">
        <v>228</v>
      </c>
      <c r="W55" s="200">
        <v>45586</v>
      </c>
      <c r="X55" s="201"/>
      <c r="Y55" s="201">
        <v>-360000</v>
      </c>
      <c r="Z55" s="201">
        <f t="shared" si="85"/>
        <v>-360000</v>
      </c>
      <c r="AA55" s="198">
        <v>1617</v>
      </c>
      <c r="AB55" s="206">
        <v>45713</v>
      </c>
      <c r="AC55" s="207">
        <v>174840</v>
      </c>
      <c r="AD55" s="201">
        <v>-10501.5</v>
      </c>
      <c r="AE55" s="204">
        <f t="shared" si="86"/>
        <v>164338.5</v>
      </c>
      <c r="AF55" s="203">
        <f t="shared" si="87"/>
        <v>45566</v>
      </c>
      <c r="AG55" s="201">
        <f t="shared" si="88"/>
        <v>174840</v>
      </c>
      <c r="AH55" s="204">
        <f t="shared" si="89"/>
        <v>9814498.5</v>
      </c>
      <c r="AI55" s="204">
        <f t="shared" si="90"/>
        <v>9989338.5</v>
      </c>
      <c r="AJ55" s="201">
        <f t="shared" si="116"/>
        <v>174840</v>
      </c>
      <c r="AK55" s="201">
        <f t="shared" si="116"/>
        <v>9454498.5</v>
      </c>
      <c r="AL55" s="201">
        <f t="shared" si="92"/>
        <v>9629338.5</v>
      </c>
      <c r="AM55" s="205">
        <v>229</v>
      </c>
      <c r="AN55" s="200">
        <v>45586</v>
      </c>
      <c r="AO55" s="208">
        <v>360000</v>
      </c>
      <c r="AP55" s="201">
        <f t="shared" si="93"/>
        <v>0</v>
      </c>
      <c r="AQ55" s="201">
        <f t="shared" si="94"/>
        <v>4518242.8499999996</v>
      </c>
      <c r="AR55" s="201">
        <f t="shared" si="95"/>
        <v>4518242.8499999996</v>
      </c>
      <c r="AS55" s="201">
        <f t="shared" si="96"/>
        <v>45.230651158732876</v>
      </c>
      <c r="AT55" s="201"/>
      <c r="AU55" s="223">
        <v>4217537.3</v>
      </c>
      <c r="AV55" s="201">
        <f t="shared" si="97"/>
        <v>4217537.3</v>
      </c>
      <c r="AW55" s="201">
        <f t="shared" si="110"/>
        <v>7.788697011741772</v>
      </c>
      <c r="AX55" s="201">
        <f t="shared" si="98"/>
        <v>43.79882688722595</v>
      </c>
      <c r="AY55" s="208">
        <v>300705.55</v>
      </c>
      <c r="AZ55" s="201">
        <f t="shared" si="99"/>
        <v>174839.5</v>
      </c>
      <c r="BA55" s="201">
        <f t="shared" si="100"/>
        <v>1367739</v>
      </c>
      <c r="BB55" s="201">
        <f t="shared" si="101"/>
        <v>1542578.5</v>
      </c>
      <c r="BC55" s="201">
        <v>174839.5</v>
      </c>
      <c r="BD55" s="223">
        <f>1542578.5-BC55</f>
        <v>1367739</v>
      </c>
      <c r="BE55" s="201">
        <f t="shared" si="102"/>
        <v>1542578.5</v>
      </c>
      <c r="BF55" s="208"/>
      <c r="BG55" s="201">
        <f t="shared" si="117"/>
        <v>174839.5</v>
      </c>
      <c r="BH55" s="201">
        <f t="shared" si="117"/>
        <v>5885981.8499999996</v>
      </c>
      <c r="BI55" s="201">
        <f t="shared" si="104"/>
        <v>6060821.3499999996</v>
      </c>
      <c r="BJ55" s="201">
        <f t="shared" si="3"/>
        <v>60.672899912241434</v>
      </c>
      <c r="BK55" s="210">
        <v>10</v>
      </c>
      <c r="BL55" s="210">
        <v>30</v>
      </c>
      <c r="BM55" s="211"/>
      <c r="BN55" s="211"/>
      <c r="BO55" s="212">
        <f t="shared" si="105"/>
        <v>174840</v>
      </c>
      <c r="BP55" s="201">
        <f t="shared" si="106"/>
        <v>5296255.6500000004</v>
      </c>
      <c r="BQ55" s="201">
        <f t="shared" si="111"/>
        <v>5471095.6500000004</v>
      </c>
      <c r="BR55" s="201">
        <f t="shared" si="112"/>
        <v>174840</v>
      </c>
      <c r="BS55" s="201">
        <f t="shared" si="112"/>
        <v>5236961.2</v>
      </c>
      <c r="BT55" s="201">
        <f t="shared" si="113"/>
        <v>5411801.2000000002</v>
      </c>
      <c r="BU55" s="213">
        <f t="shared" si="114"/>
        <v>59294.450000000012</v>
      </c>
      <c r="BV55" s="201">
        <f>360000+10501.5</f>
        <v>370501.5</v>
      </c>
      <c r="BW55" s="201"/>
      <c r="BX55" s="201">
        <f t="shared" si="115"/>
        <v>370501.5</v>
      </c>
      <c r="BY55" s="199">
        <v>1070000</v>
      </c>
      <c r="BZ55" s="199">
        <v>1010000</v>
      </c>
      <c r="CA55" s="199">
        <v>1020000</v>
      </c>
      <c r="CB55" s="199">
        <v>960000</v>
      </c>
      <c r="CC55" s="199">
        <v>900000</v>
      </c>
      <c r="CD55" s="199">
        <v>520000</v>
      </c>
      <c r="CE55" s="199">
        <v>1040000</v>
      </c>
      <c r="CF55" s="199">
        <v>750000</v>
      </c>
      <c r="CG55" s="199">
        <v>760000</v>
      </c>
      <c r="CH55" s="199">
        <v>650000</v>
      </c>
      <c r="CI55" s="199">
        <v>680000</v>
      </c>
      <c r="CJ55" s="199">
        <v>640000</v>
      </c>
      <c r="CK55" s="214" t="s">
        <v>242</v>
      </c>
      <c r="CL55" s="214" t="s">
        <v>171</v>
      </c>
      <c r="CM55" s="211">
        <v>182</v>
      </c>
      <c r="CN55" s="215"/>
      <c r="CO55" s="215">
        <v>700</v>
      </c>
      <c r="CP55" s="216">
        <v>629</v>
      </c>
      <c r="CQ55" s="217"/>
      <c r="CR55" s="211"/>
      <c r="CS55" s="218"/>
      <c r="CT55" s="218"/>
      <c r="CU55" s="218"/>
      <c r="CV55" s="211"/>
      <c r="CW55" s="211"/>
      <c r="CX55" s="211"/>
      <c r="CY55" s="211"/>
      <c r="CZ55" s="211"/>
      <c r="DA55" s="211"/>
      <c r="DB55" s="211"/>
      <c r="DC55" s="219"/>
      <c r="DD55" s="219"/>
      <c r="DE55" s="219"/>
      <c r="DF55" s="211"/>
      <c r="DG55" s="211"/>
      <c r="DH55" s="211"/>
      <c r="DI55" s="211"/>
      <c r="DJ55" s="211"/>
      <c r="DK55" s="220" t="s">
        <v>53</v>
      </c>
      <c r="DL55" s="248"/>
      <c r="DT55" s="222"/>
    </row>
    <row r="56" spans="1:124" s="291" customFormat="1" ht="42" x14ac:dyDescent="0.2">
      <c r="A56" s="280" t="s">
        <v>108</v>
      </c>
      <c r="B56" s="281" t="s">
        <v>243</v>
      </c>
      <c r="C56" s="198">
        <v>1</v>
      </c>
      <c r="D56" s="199">
        <v>10000000</v>
      </c>
      <c r="E56" s="198" t="s">
        <v>244</v>
      </c>
      <c r="F56" s="198" t="s">
        <v>245</v>
      </c>
      <c r="G56" s="198" t="s">
        <v>98</v>
      </c>
      <c r="H56" s="200">
        <v>1</v>
      </c>
      <c r="I56" s="199">
        <f t="shared" si="80"/>
        <v>0</v>
      </c>
      <c r="J56" s="199">
        <f t="shared" si="81"/>
        <v>10000000</v>
      </c>
      <c r="K56" s="199">
        <f t="shared" si="82"/>
        <v>10000000</v>
      </c>
      <c r="L56" s="199">
        <v>0</v>
      </c>
      <c r="M56" s="199">
        <v>10000000</v>
      </c>
      <c r="N56" s="199">
        <f t="shared" si="83"/>
        <v>10000000</v>
      </c>
      <c r="O56" s="199"/>
      <c r="P56" s="201">
        <v>0</v>
      </c>
      <c r="Q56" s="202">
        <v>20</v>
      </c>
      <c r="R56" s="203">
        <v>45566</v>
      </c>
      <c r="S56" s="204"/>
      <c r="T56" s="204">
        <v>10000000</v>
      </c>
      <c r="U56" s="204">
        <f t="shared" si="84"/>
        <v>10000000</v>
      </c>
      <c r="V56" s="205">
        <v>228</v>
      </c>
      <c r="W56" s="200">
        <v>45586</v>
      </c>
      <c r="X56" s="209"/>
      <c r="Y56" s="209">
        <v>-370000</v>
      </c>
      <c r="Z56" s="201">
        <f t="shared" si="85"/>
        <v>-370000</v>
      </c>
      <c r="AA56" s="198">
        <v>2476</v>
      </c>
      <c r="AB56" s="206">
        <v>45827</v>
      </c>
      <c r="AC56" s="282"/>
      <c r="AD56" s="209">
        <v>-144921.4</v>
      </c>
      <c r="AE56" s="204">
        <f t="shared" si="86"/>
        <v>-144921.4</v>
      </c>
      <c r="AF56" s="203">
        <f t="shared" si="87"/>
        <v>45566</v>
      </c>
      <c r="AG56" s="201">
        <f t="shared" si="88"/>
        <v>0</v>
      </c>
      <c r="AH56" s="204">
        <f t="shared" si="89"/>
        <v>9855078.5999999996</v>
      </c>
      <c r="AI56" s="204">
        <f t="shared" si="90"/>
        <v>9855078.5999999996</v>
      </c>
      <c r="AJ56" s="209">
        <f t="shared" si="116"/>
        <v>0</v>
      </c>
      <c r="AK56" s="209">
        <f t="shared" si="116"/>
        <v>9485078.5999999996</v>
      </c>
      <c r="AL56" s="209">
        <f t="shared" si="92"/>
        <v>9485078.5999999996</v>
      </c>
      <c r="AM56" s="205">
        <v>229</v>
      </c>
      <c r="AN56" s="200">
        <v>45586</v>
      </c>
      <c r="AO56" s="208">
        <v>370000</v>
      </c>
      <c r="AP56" s="201">
        <f t="shared" si="93"/>
        <v>0</v>
      </c>
      <c r="AQ56" s="201">
        <f t="shared" si="94"/>
        <v>6531485.54</v>
      </c>
      <c r="AR56" s="201">
        <f t="shared" si="95"/>
        <v>6531485.54</v>
      </c>
      <c r="AS56" s="201">
        <f t="shared" si="96"/>
        <v>66.275326713274524</v>
      </c>
      <c r="AT56" s="201"/>
      <c r="AU56" s="223">
        <v>6206986.0099999998</v>
      </c>
      <c r="AV56" s="201">
        <f t="shared" si="97"/>
        <v>6206986.0099999998</v>
      </c>
      <c r="AW56" s="201">
        <f t="shared" si="110"/>
        <v>7.9071564045868845</v>
      </c>
      <c r="AX56" s="201">
        <f t="shared" si="98"/>
        <v>65.43947890953693</v>
      </c>
      <c r="AY56" s="208">
        <v>324499.53000000003</v>
      </c>
      <c r="AZ56" s="201">
        <f t="shared" si="99"/>
        <v>0</v>
      </c>
      <c r="BA56" s="201">
        <f t="shared" si="100"/>
        <v>199660</v>
      </c>
      <c r="BB56" s="201">
        <f t="shared" si="101"/>
        <v>199660</v>
      </c>
      <c r="BC56" s="201"/>
      <c r="BD56" s="223">
        <v>199660</v>
      </c>
      <c r="BE56" s="201">
        <f t="shared" si="102"/>
        <v>199660</v>
      </c>
      <c r="BF56" s="208"/>
      <c r="BG56" s="201">
        <f t="shared" si="117"/>
        <v>0</v>
      </c>
      <c r="BH56" s="201">
        <f t="shared" si="117"/>
        <v>6731145.54</v>
      </c>
      <c r="BI56" s="201">
        <f t="shared" si="104"/>
        <v>6731145.54</v>
      </c>
      <c r="BJ56" s="201">
        <f t="shared" si="3"/>
        <v>68.301287216522056</v>
      </c>
      <c r="BK56" s="210">
        <v>10</v>
      </c>
      <c r="BL56" s="210">
        <v>10</v>
      </c>
      <c r="BM56" s="211"/>
      <c r="BN56" s="211"/>
      <c r="BO56" s="212">
        <f t="shared" si="105"/>
        <v>0</v>
      </c>
      <c r="BP56" s="201">
        <f t="shared" si="106"/>
        <v>3323593.0599999996</v>
      </c>
      <c r="BQ56" s="201">
        <f t="shared" si="111"/>
        <v>3323593.0599999996</v>
      </c>
      <c r="BR56" s="201">
        <f t="shared" si="112"/>
        <v>0</v>
      </c>
      <c r="BS56" s="201">
        <f t="shared" si="112"/>
        <v>3278092.59</v>
      </c>
      <c r="BT56" s="201">
        <f t="shared" si="113"/>
        <v>3278092.59</v>
      </c>
      <c r="BU56" s="213">
        <f t="shared" si="114"/>
        <v>45500.469999999972</v>
      </c>
      <c r="BV56" s="209">
        <f>370000+144921.4</f>
        <v>514921.4</v>
      </c>
      <c r="BW56" s="209"/>
      <c r="BX56" s="209">
        <f t="shared" si="115"/>
        <v>514921.4</v>
      </c>
      <c r="BY56" s="252">
        <v>1070000</v>
      </c>
      <c r="BZ56" s="252">
        <v>1010000</v>
      </c>
      <c r="CA56" s="252">
        <v>1020000</v>
      </c>
      <c r="CB56" s="252">
        <v>960000</v>
      </c>
      <c r="CC56" s="252">
        <v>900000</v>
      </c>
      <c r="CD56" s="252">
        <v>520000</v>
      </c>
      <c r="CE56" s="252">
        <v>1040000</v>
      </c>
      <c r="CF56" s="252">
        <v>750000</v>
      </c>
      <c r="CG56" s="252">
        <v>760000</v>
      </c>
      <c r="CH56" s="252">
        <v>650000</v>
      </c>
      <c r="CI56" s="252">
        <v>680000</v>
      </c>
      <c r="CJ56" s="252">
        <v>640000</v>
      </c>
      <c r="CK56" s="283" t="s">
        <v>246</v>
      </c>
      <c r="CL56" s="283" t="s">
        <v>171</v>
      </c>
      <c r="CM56" s="284">
        <v>182</v>
      </c>
      <c r="CN56" s="285"/>
      <c r="CO56" s="285">
        <v>1600</v>
      </c>
      <c r="CP56" s="286">
        <v>136</v>
      </c>
      <c r="CQ56" s="287"/>
      <c r="CR56" s="284"/>
      <c r="CS56" s="288"/>
      <c r="CT56" s="288"/>
      <c r="CU56" s="288"/>
      <c r="CV56" s="284"/>
      <c r="CW56" s="284"/>
      <c r="CX56" s="284"/>
      <c r="CY56" s="284"/>
      <c r="CZ56" s="284"/>
      <c r="DA56" s="284"/>
      <c r="DB56" s="284"/>
      <c r="DC56" s="289"/>
      <c r="DD56" s="289"/>
      <c r="DE56" s="289"/>
      <c r="DF56" s="284"/>
      <c r="DG56" s="284"/>
      <c r="DH56" s="284"/>
      <c r="DI56" s="284"/>
      <c r="DJ56" s="284"/>
      <c r="DK56" s="290" t="s">
        <v>32</v>
      </c>
      <c r="DT56" s="292"/>
    </row>
    <row r="57" spans="1:124" s="176" customFormat="1" ht="42" x14ac:dyDescent="0.2">
      <c r="A57" s="195" t="s">
        <v>119</v>
      </c>
      <c r="B57" s="197" t="s">
        <v>247</v>
      </c>
      <c r="C57" s="198">
        <v>1</v>
      </c>
      <c r="D57" s="199">
        <v>16850000</v>
      </c>
      <c r="E57" s="198" t="s">
        <v>186</v>
      </c>
      <c r="F57" s="198" t="s">
        <v>187</v>
      </c>
      <c r="G57" s="198" t="s">
        <v>123</v>
      </c>
      <c r="H57" s="200">
        <v>1</v>
      </c>
      <c r="I57" s="199">
        <f t="shared" si="80"/>
        <v>0</v>
      </c>
      <c r="J57" s="199">
        <f t="shared" si="81"/>
        <v>16850000</v>
      </c>
      <c r="K57" s="199">
        <f t="shared" si="82"/>
        <v>16850000</v>
      </c>
      <c r="L57" s="199">
        <v>0</v>
      </c>
      <c r="M57" s="199">
        <v>16850000</v>
      </c>
      <c r="N57" s="199">
        <f t="shared" si="83"/>
        <v>16850000</v>
      </c>
      <c r="O57" s="199"/>
      <c r="P57" s="201">
        <v>0</v>
      </c>
      <c r="Q57" s="202">
        <v>20</v>
      </c>
      <c r="R57" s="203">
        <v>45566</v>
      </c>
      <c r="S57" s="204"/>
      <c r="T57" s="204">
        <v>16850000</v>
      </c>
      <c r="U57" s="204">
        <f t="shared" si="84"/>
        <v>16850000</v>
      </c>
      <c r="V57" s="205">
        <v>228</v>
      </c>
      <c r="W57" s="200">
        <v>45586</v>
      </c>
      <c r="X57" s="201"/>
      <c r="Y57" s="201">
        <v>-521400</v>
      </c>
      <c r="Z57" s="201">
        <f t="shared" si="85"/>
        <v>-521400</v>
      </c>
      <c r="AA57" s="198">
        <v>690</v>
      </c>
      <c r="AB57" s="206">
        <v>45622</v>
      </c>
      <c r="AC57" s="207"/>
      <c r="AD57" s="201">
        <v>-441599.6</v>
      </c>
      <c r="AE57" s="204">
        <f t="shared" si="86"/>
        <v>-441599.6</v>
      </c>
      <c r="AF57" s="203">
        <f t="shared" si="87"/>
        <v>45566</v>
      </c>
      <c r="AG57" s="201">
        <f t="shared" si="88"/>
        <v>0</v>
      </c>
      <c r="AH57" s="204">
        <f t="shared" si="89"/>
        <v>16408400.4</v>
      </c>
      <c r="AI57" s="204">
        <f t="shared" si="90"/>
        <v>16408400.4</v>
      </c>
      <c r="AJ57" s="201">
        <f t="shared" si="116"/>
        <v>0</v>
      </c>
      <c r="AK57" s="201">
        <f t="shared" si="116"/>
        <v>15887000.4</v>
      </c>
      <c r="AL57" s="201">
        <f t="shared" si="92"/>
        <v>15887000.4</v>
      </c>
      <c r="AM57" s="205">
        <v>229</v>
      </c>
      <c r="AN57" s="200">
        <v>45586</v>
      </c>
      <c r="AO57" s="208">
        <v>521400</v>
      </c>
      <c r="AP57" s="201">
        <f t="shared" si="93"/>
        <v>0</v>
      </c>
      <c r="AQ57" s="201">
        <f t="shared" si="94"/>
        <v>13393228.23</v>
      </c>
      <c r="AR57" s="201">
        <f t="shared" si="95"/>
        <v>13393228.23</v>
      </c>
      <c r="AS57" s="201">
        <f t="shared" si="96"/>
        <v>81.624216276438503</v>
      </c>
      <c r="AT57" s="201"/>
      <c r="AU57" s="209">
        <v>13090283.83</v>
      </c>
      <c r="AV57" s="201">
        <f t="shared" si="97"/>
        <v>13090283.83</v>
      </c>
      <c r="AW57" s="201">
        <f t="shared" si="110"/>
        <v>4.2172844661097884</v>
      </c>
      <c r="AX57" s="201">
        <f t="shared" si="98"/>
        <v>82.396195004816647</v>
      </c>
      <c r="AY57" s="208">
        <v>302944.39999999997</v>
      </c>
      <c r="AZ57" s="201">
        <f t="shared" si="99"/>
        <v>0</v>
      </c>
      <c r="BA57" s="201">
        <f t="shared" si="100"/>
        <v>792628.52</v>
      </c>
      <c r="BB57" s="201">
        <f t="shared" si="101"/>
        <v>792628.52</v>
      </c>
      <c r="BC57" s="201"/>
      <c r="BD57" s="209">
        <v>792628.52</v>
      </c>
      <c r="BE57" s="201">
        <f t="shared" si="102"/>
        <v>792628.52</v>
      </c>
      <c r="BF57" s="208"/>
      <c r="BG57" s="201">
        <f t="shared" si="117"/>
        <v>0</v>
      </c>
      <c r="BH57" s="201">
        <f t="shared" si="117"/>
        <v>14185856.75</v>
      </c>
      <c r="BI57" s="201">
        <f t="shared" si="104"/>
        <v>14185856.75</v>
      </c>
      <c r="BJ57" s="201">
        <f t="shared" si="3"/>
        <v>86.454842667052418</v>
      </c>
      <c r="BK57" s="210">
        <v>10</v>
      </c>
      <c r="BL57" s="210">
        <v>70</v>
      </c>
      <c r="BM57" s="211"/>
      <c r="BN57" s="211"/>
      <c r="BO57" s="212">
        <f t="shared" si="105"/>
        <v>0</v>
      </c>
      <c r="BP57" s="201">
        <f t="shared" si="106"/>
        <v>3015172.1700000004</v>
      </c>
      <c r="BQ57" s="201">
        <f t="shared" si="111"/>
        <v>3015172.1700000004</v>
      </c>
      <c r="BR57" s="201">
        <f t="shared" si="112"/>
        <v>0</v>
      </c>
      <c r="BS57" s="201">
        <f t="shared" si="112"/>
        <v>2796716.5700000003</v>
      </c>
      <c r="BT57" s="201">
        <f t="shared" si="113"/>
        <v>2796716.5700000003</v>
      </c>
      <c r="BU57" s="213">
        <f t="shared" si="114"/>
        <v>218455.60000000003</v>
      </c>
      <c r="BV57" s="201">
        <f>521400+441599.6</f>
        <v>962999.6</v>
      </c>
      <c r="BW57" s="201"/>
      <c r="BX57" s="201">
        <f t="shared" si="115"/>
        <v>962999.6</v>
      </c>
      <c r="BY57" s="199">
        <v>0</v>
      </c>
      <c r="BZ57" s="199">
        <v>1546000</v>
      </c>
      <c r="CA57" s="199">
        <v>1821000</v>
      </c>
      <c r="CB57" s="199">
        <v>2233000</v>
      </c>
      <c r="CC57" s="199">
        <v>3678000</v>
      </c>
      <c r="CD57" s="199">
        <v>3678000</v>
      </c>
      <c r="CE57" s="199">
        <v>2528000</v>
      </c>
      <c r="CF57" s="199">
        <v>670000</v>
      </c>
      <c r="CG57" s="199">
        <v>348000</v>
      </c>
      <c r="CH57" s="199">
        <v>174000</v>
      </c>
      <c r="CI57" s="199">
        <v>174000</v>
      </c>
      <c r="CJ57" s="199">
        <v>0</v>
      </c>
      <c r="CK57" s="214" t="s">
        <v>248</v>
      </c>
      <c r="CL57" s="214" t="s">
        <v>171</v>
      </c>
      <c r="CM57" s="211">
        <v>182</v>
      </c>
      <c r="CN57" s="215">
        <v>240</v>
      </c>
      <c r="CO57" s="215"/>
      <c r="CP57" s="216">
        <v>150</v>
      </c>
      <c r="CQ57" s="217"/>
      <c r="CR57" s="211"/>
      <c r="CS57" s="218"/>
      <c r="CT57" s="218"/>
      <c r="CU57" s="218"/>
      <c r="CV57" s="211"/>
      <c r="CW57" s="211"/>
      <c r="CX57" s="211"/>
      <c r="CY57" s="211"/>
      <c r="CZ57" s="211"/>
      <c r="DA57" s="211"/>
      <c r="DB57" s="211"/>
      <c r="DC57" s="219"/>
      <c r="DD57" s="219"/>
      <c r="DE57" s="219"/>
      <c r="DF57" s="211"/>
      <c r="DG57" s="211"/>
      <c r="DH57" s="211"/>
      <c r="DI57" s="211"/>
      <c r="DJ57" s="211"/>
      <c r="DK57" s="220" t="s">
        <v>32</v>
      </c>
      <c r="DT57" s="222"/>
    </row>
    <row r="58" spans="1:124" s="278" customFormat="1" ht="42" x14ac:dyDescent="0.2">
      <c r="A58" s="249" t="s">
        <v>227</v>
      </c>
      <c r="B58" s="250" t="s">
        <v>249</v>
      </c>
      <c r="C58" s="260">
        <v>1</v>
      </c>
      <c r="D58" s="271">
        <v>12000000</v>
      </c>
      <c r="E58" s="260" t="s">
        <v>250</v>
      </c>
      <c r="F58" s="260" t="s">
        <v>250</v>
      </c>
      <c r="G58" s="260" t="s">
        <v>139</v>
      </c>
      <c r="H58" s="258">
        <v>1</v>
      </c>
      <c r="I58" s="271">
        <f t="shared" si="80"/>
        <v>6389500</v>
      </c>
      <c r="J58" s="271">
        <f t="shared" si="81"/>
        <v>5610500</v>
      </c>
      <c r="K58" s="271">
        <f t="shared" si="82"/>
        <v>12000000</v>
      </c>
      <c r="L58" s="271">
        <v>6389500</v>
      </c>
      <c r="M58" s="271">
        <v>5610500</v>
      </c>
      <c r="N58" s="271">
        <f t="shared" si="83"/>
        <v>12000000</v>
      </c>
      <c r="O58" s="271"/>
      <c r="P58" s="259">
        <v>0</v>
      </c>
      <c r="Q58" s="254">
        <v>19</v>
      </c>
      <c r="R58" s="255">
        <v>45566</v>
      </c>
      <c r="S58" s="256"/>
      <c r="T58" s="256">
        <v>5610500</v>
      </c>
      <c r="U58" s="256">
        <f t="shared" si="84"/>
        <v>5610500</v>
      </c>
      <c r="V58" s="257">
        <v>372</v>
      </c>
      <c r="W58" s="258">
        <v>45600</v>
      </c>
      <c r="X58" s="259">
        <v>6320080</v>
      </c>
      <c r="Y58" s="259"/>
      <c r="Z58" s="259">
        <f t="shared" si="85"/>
        <v>6320080</v>
      </c>
      <c r="AA58" s="260">
        <v>2107</v>
      </c>
      <c r="AB58" s="261">
        <v>45769</v>
      </c>
      <c r="AC58" s="262">
        <v>-60000.5</v>
      </c>
      <c r="AD58" s="259">
        <f>+-366182.39+-31247.2</f>
        <v>-397429.59</v>
      </c>
      <c r="AE58" s="256">
        <f t="shared" si="86"/>
        <v>-457430.09</v>
      </c>
      <c r="AF58" s="255">
        <f t="shared" si="87"/>
        <v>45566</v>
      </c>
      <c r="AG58" s="259">
        <f t="shared" si="88"/>
        <v>6260079.5</v>
      </c>
      <c r="AH58" s="256">
        <f t="shared" si="89"/>
        <v>5213070.41</v>
      </c>
      <c r="AI58" s="256">
        <f t="shared" si="90"/>
        <v>11473149.91</v>
      </c>
      <c r="AJ58" s="259">
        <f t="shared" si="116"/>
        <v>6260079.5</v>
      </c>
      <c r="AK58" s="259">
        <f t="shared" si="116"/>
        <v>5213070.41</v>
      </c>
      <c r="AL58" s="259">
        <f t="shared" si="92"/>
        <v>11473149.91</v>
      </c>
      <c r="AM58" s="254"/>
      <c r="AN58" s="255"/>
      <c r="AO58" s="259"/>
      <c r="AP58" s="259">
        <f t="shared" si="93"/>
        <v>6260079.5</v>
      </c>
      <c r="AQ58" s="259">
        <f t="shared" si="94"/>
        <v>5213070.41</v>
      </c>
      <c r="AR58" s="259">
        <f t="shared" si="95"/>
        <v>11473149.91</v>
      </c>
      <c r="AS58" s="259">
        <f t="shared" si="96"/>
        <v>100</v>
      </c>
      <c r="AT58" s="259">
        <v>6260079.5</v>
      </c>
      <c r="AU58" s="259">
        <f>5213070.41</f>
        <v>5213070.41</v>
      </c>
      <c r="AV58" s="259">
        <f t="shared" si="97"/>
        <v>11473149.91</v>
      </c>
      <c r="AW58" s="259">
        <f t="shared" si="110"/>
        <v>8.367362124008018</v>
      </c>
      <c r="AX58" s="259">
        <f t="shared" si="98"/>
        <v>100</v>
      </c>
      <c r="AY58" s="209"/>
      <c r="AZ58" s="259">
        <f t="shared" si="99"/>
        <v>0</v>
      </c>
      <c r="BA58" s="259">
        <f t="shared" si="100"/>
        <v>0</v>
      </c>
      <c r="BB58" s="259">
        <f t="shared" si="101"/>
        <v>0</v>
      </c>
      <c r="BC58" s="259"/>
      <c r="BD58" s="259">
        <v>0</v>
      </c>
      <c r="BE58" s="259">
        <f t="shared" si="102"/>
        <v>0</v>
      </c>
      <c r="BF58" s="209"/>
      <c r="BG58" s="259">
        <f t="shared" si="117"/>
        <v>6260079.5</v>
      </c>
      <c r="BH58" s="259">
        <f t="shared" si="117"/>
        <v>5213070.41</v>
      </c>
      <c r="BI58" s="259">
        <f t="shared" si="104"/>
        <v>11473149.91</v>
      </c>
      <c r="BJ58" s="259">
        <f t="shared" si="3"/>
        <v>100</v>
      </c>
      <c r="BK58" s="266">
        <v>35</v>
      </c>
      <c r="BL58" s="266">
        <v>85</v>
      </c>
      <c r="BM58" s="267"/>
      <c r="BN58" s="268"/>
      <c r="BO58" s="269">
        <f t="shared" si="105"/>
        <v>0</v>
      </c>
      <c r="BP58" s="259">
        <f t="shared" si="106"/>
        <v>0</v>
      </c>
      <c r="BQ58" s="259">
        <f t="shared" si="111"/>
        <v>0</v>
      </c>
      <c r="BR58" s="259">
        <f t="shared" si="112"/>
        <v>0</v>
      </c>
      <c r="BS58" s="259">
        <f t="shared" si="112"/>
        <v>0</v>
      </c>
      <c r="BT58" s="259">
        <f t="shared" si="113"/>
        <v>0</v>
      </c>
      <c r="BU58" s="270">
        <f t="shared" si="114"/>
        <v>0</v>
      </c>
      <c r="BV58" s="259">
        <f>366182.39+31247.2+60000.5</f>
        <v>457430.09</v>
      </c>
      <c r="BW58" s="259"/>
      <c r="BX58" s="259">
        <f t="shared" si="115"/>
        <v>457430.09</v>
      </c>
      <c r="BY58" s="271">
        <v>200000</v>
      </c>
      <c r="BZ58" s="271">
        <v>200000</v>
      </c>
      <c r="CA58" s="271">
        <v>3800000</v>
      </c>
      <c r="CB58" s="271">
        <v>840000.00000000012</v>
      </c>
      <c r="CC58" s="271">
        <v>840000.00000000012</v>
      </c>
      <c r="CD58" s="271">
        <v>960000</v>
      </c>
      <c r="CE58" s="271">
        <v>1080000</v>
      </c>
      <c r="CF58" s="271">
        <v>960000</v>
      </c>
      <c r="CG58" s="271">
        <v>960000</v>
      </c>
      <c r="CH58" s="271">
        <v>720000</v>
      </c>
      <c r="CI58" s="271">
        <v>720000</v>
      </c>
      <c r="CJ58" s="271">
        <v>720000</v>
      </c>
      <c r="CK58" s="268" t="s">
        <v>251</v>
      </c>
      <c r="CL58" s="268" t="s">
        <v>171</v>
      </c>
      <c r="CM58" s="267">
        <v>182</v>
      </c>
      <c r="CN58" s="272"/>
      <c r="CO58" s="272">
        <v>230</v>
      </c>
      <c r="CP58" s="273">
        <v>100</v>
      </c>
      <c r="CQ58" s="274"/>
      <c r="CR58" s="267"/>
      <c r="CS58" s="275"/>
      <c r="CT58" s="275"/>
      <c r="CU58" s="275"/>
      <c r="CV58" s="267"/>
      <c r="CW58" s="267"/>
      <c r="CX58" s="267"/>
      <c r="CY58" s="267"/>
      <c r="CZ58" s="267"/>
      <c r="DA58" s="267"/>
      <c r="DB58" s="267"/>
      <c r="DC58" s="276"/>
      <c r="DD58" s="276"/>
      <c r="DE58" s="276"/>
      <c r="DF58" s="267"/>
      <c r="DG58" s="267"/>
      <c r="DH58" s="267"/>
      <c r="DI58" s="267"/>
      <c r="DJ58" s="267"/>
      <c r="DK58" s="277" t="s">
        <v>53</v>
      </c>
      <c r="DT58" s="279"/>
    </row>
    <row r="59" spans="1:124" s="176" customFormat="1" ht="42" x14ac:dyDescent="0.2">
      <c r="A59" s="195" t="s">
        <v>197</v>
      </c>
      <c r="B59" s="197" t="s">
        <v>252</v>
      </c>
      <c r="C59" s="198">
        <v>1</v>
      </c>
      <c r="D59" s="199">
        <v>10000000</v>
      </c>
      <c r="E59" s="198" t="s">
        <v>206</v>
      </c>
      <c r="F59" s="198" t="s">
        <v>150</v>
      </c>
      <c r="G59" s="198" t="s">
        <v>151</v>
      </c>
      <c r="H59" s="200">
        <v>1</v>
      </c>
      <c r="I59" s="199">
        <f t="shared" si="80"/>
        <v>0</v>
      </c>
      <c r="J59" s="199">
        <f t="shared" si="81"/>
        <v>10000000</v>
      </c>
      <c r="K59" s="199">
        <f t="shared" si="82"/>
        <v>10000000</v>
      </c>
      <c r="L59" s="199">
        <v>0</v>
      </c>
      <c r="M59" s="199">
        <v>10000000</v>
      </c>
      <c r="N59" s="199">
        <f t="shared" si="83"/>
        <v>10000000</v>
      </c>
      <c r="O59" s="199"/>
      <c r="P59" s="201">
        <v>0</v>
      </c>
      <c r="Q59" s="202">
        <v>20</v>
      </c>
      <c r="R59" s="203">
        <v>45566</v>
      </c>
      <c r="S59" s="204"/>
      <c r="T59" s="204">
        <v>10000000</v>
      </c>
      <c r="U59" s="204">
        <f t="shared" si="84"/>
        <v>10000000</v>
      </c>
      <c r="V59" s="205">
        <v>228</v>
      </c>
      <c r="W59" s="200">
        <v>45586</v>
      </c>
      <c r="X59" s="201"/>
      <c r="Y59" s="201">
        <v>-416700</v>
      </c>
      <c r="Z59" s="201">
        <f t="shared" si="85"/>
        <v>-416700</v>
      </c>
      <c r="AA59" s="198">
        <v>1079</v>
      </c>
      <c r="AB59" s="206">
        <v>45663</v>
      </c>
      <c r="AC59" s="207"/>
      <c r="AD59" s="201">
        <v>-412391.92</v>
      </c>
      <c r="AE59" s="204">
        <f t="shared" si="86"/>
        <v>-412391.92</v>
      </c>
      <c r="AF59" s="203">
        <f t="shared" si="87"/>
        <v>45566</v>
      </c>
      <c r="AG59" s="201">
        <f t="shared" si="88"/>
        <v>0</v>
      </c>
      <c r="AH59" s="204">
        <f t="shared" si="89"/>
        <v>9587608.0800000001</v>
      </c>
      <c r="AI59" s="204">
        <f t="shared" si="90"/>
        <v>9587608.0800000001</v>
      </c>
      <c r="AJ59" s="201">
        <f t="shared" si="116"/>
        <v>0</v>
      </c>
      <c r="AK59" s="201">
        <f t="shared" si="116"/>
        <v>9170908.0800000001</v>
      </c>
      <c r="AL59" s="201">
        <f t="shared" si="92"/>
        <v>9170908.0800000001</v>
      </c>
      <c r="AM59" s="205">
        <v>229</v>
      </c>
      <c r="AN59" s="200">
        <v>45586</v>
      </c>
      <c r="AO59" s="208">
        <v>416700</v>
      </c>
      <c r="AP59" s="201">
        <f t="shared" si="93"/>
        <v>0</v>
      </c>
      <c r="AQ59" s="201">
        <f t="shared" si="94"/>
        <v>8408849.5899999999</v>
      </c>
      <c r="AR59" s="201">
        <f t="shared" si="95"/>
        <v>8408849.5899999999</v>
      </c>
      <c r="AS59" s="201">
        <f t="shared" si="96"/>
        <v>87.705395546372813</v>
      </c>
      <c r="AT59" s="201"/>
      <c r="AU59" s="209">
        <v>8041600.1699999999</v>
      </c>
      <c r="AV59" s="201">
        <f t="shared" si="97"/>
        <v>8041600.1699999999</v>
      </c>
      <c r="AW59" s="201">
        <f t="shared" si="110"/>
        <v>10.255254897288209</v>
      </c>
      <c r="AX59" s="201">
        <f t="shared" si="98"/>
        <v>87.685975040325559</v>
      </c>
      <c r="AY59" s="208">
        <v>367249.42</v>
      </c>
      <c r="AZ59" s="201">
        <f t="shared" si="99"/>
        <v>0</v>
      </c>
      <c r="BA59" s="201">
        <f t="shared" si="100"/>
        <v>528804.14</v>
      </c>
      <c r="BB59" s="201">
        <f t="shared" si="101"/>
        <v>528804.14</v>
      </c>
      <c r="BC59" s="201"/>
      <c r="BD59" s="209">
        <v>528804.14</v>
      </c>
      <c r="BE59" s="201">
        <f t="shared" si="102"/>
        <v>528804.14</v>
      </c>
      <c r="BF59" s="208"/>
      <c r="BG59" s="201">
        <f t="shared" si="117"/>
        <v>0</v>
      </c>
      <c r="BH59" s="201">
        <f t="shared" si="117"/>
        <v>8937653.7300000004</v>
      </c>
      <c r="BI59" s="201">
        <f t="shared" si="104"/>
        <v>8937653.7300000004</v>
      </c>
      <c r="BJ59" s="201">
        <f t="shared" si="3"/>
        <v>93.220891544828348</v>
      </c>
      <c r="BK59" s="210">
        <v>5</v>
      </c>
      <c r="BL59" s="210">
        <v>55</v>
      </c>
      <c r="BM59" s="211"/>
      <c r="BN59" s="214" t="s">
        <v>152</v>
      </c>
      <c r="BO59" s="212">
        <f t="shared" si="105"/>
        <v>0</v>
      </c>
      <c r="BP59" s="201">
        <f t="shared" si="106"/>
        <v>1178758.4900000002</v>
      </c>
      <c r="BQ59" s="201">
        <f t="shared" si="111"/>
        <v>1178758.4900000002</v>
      </c>
      <c r="BR59" s="201">
        <f t="shared" si="112"/>
        <v>0</v>
      </c>
      <c r="BS59" s="201">
        <f t="shared" si="112"/>
        <v>1129307.9100000001</v>
      </c>
      <c r="BT59" s="201">
        <f t="shared" si="113"/>
        <v>1129307.9100000001</v>
      </c>
      <c r="BU59" s="213">
        <f t="shared" si="114"/>
        <v>49450.580000000016</v>
      </c>
      <c r="BV59" s="201">
        <f>416700+412391.92</f>
        <v>829091.91999999993</v>
      </c>
      <c r="BW59" s="201"/>
      <c r="BX59" s="201">
        <f t="shared" si="115"/>
        <v>829091.91999999993</v>
      </c>
      <c r="BY59" s="199">
        <v>282200</v>
      </c>
      <c r="BZ59" s="199">
        <v>470300</v>
      </c>
      <c r="CA59" s="199">
        <v>658300</v>
      </c>
      <c r="CB59" s="199">
        <v>846400</v>
      </c>
      <c r="CC59" s="199">
        <v>940500</v>
      </c>
      <c r="CD59" s="199">
        <v>1410800</v>
      </c>
      <c r="CE59" s="199">
        <v>1410800</v>
      </c>
      <c r="CF59" s="199">
        <v>940500</v>
      </c>
      <c r="CG59" s="199">
        <v>1042300</v>
      </c>
      <c r="CH59" s="199">
        <v>894900</v>
      </c>
      <c r="CI59" s="199">
        <v>821000</v>
      </c>
      <c r="CJ59" s="199">
        <v>282000</v>
      </c>
      <c r="CK59" s="214" t="s">
        <v>253</v>
      </c>
      <c r="CL59" s="214" t="s">
        <v>171</v>
      </c>
      <c r="CM59" s="211">
        <v>182</v>
      </c>
      <c r="CN59" s="215"/>
      <c r="CO59" s="215">
        <v>1550</v>
      </c>
      <c r="CP59" s="216">
        <v>847</v>
      </c>
      <c r="CQ59" s="217"/>
      <c r="CR59" s="211"/>
      <c r="CS59" s="218"/>
      <c r="CT59" s="218"/>
      <c r="CU59" s="218"/>
      <c r="CV59" s="211"/>
      <c r="CW59" s="211"/>
      <c r="CX59" s="211"/>
      <c r="CY59" s="211"/>
      <c r="CZ59" s="211"/>
      <c r="DA59" s="211"/>
      <c r="DB59" s="211"/>
      <c r="DC59" s="219"/>
      <c r="DD59" s="219"/>
      <c r="DE59" s="219"/>
      <c r="DF59" s="211"/>
      <c r="DG59" s="211"/>
      <c r="DH59" s="211"/>
      <c r="DI59" s="211"/>
      <c r="DJ59" s="211"/>
      <c r="DK59" s="220" t="s">
        <v>32</v>
      </c>
      <c r="DT59" s="222"/>
    </row>
    <row r="60" spans="1:124" s="278" customFormat="1" ht="26.25" customHeight="1" x14ac:dyDescent="0.2">
      <c r="A60" s="249" t="s">
        <v>227</v>
      </c>
      <c r="B60" s="250" t="s">
        <v>254</v>
      </c>
      <c r="C60" s="251">
        <v>1</v>
      </c>
      <c r="D60" s="252">
        <v>25000000</v>
      </c>
      <c r="E60" s="251" t="s">
        <v>255</v>
      </c>
      <c r="F60" s="251" t="s">
        <v>256</v>
      </c>
      <c r="G60" s="251" t="s">
        <v>151</v>
      </c>
      <c r="H60" s="253">
        <v>1</v>
      </c>
      <c r="I60" s="252">
        <f t="shared" si="80"/>
        <v>19648750</v>
      </c>
      <c r="J60" s="252">
        <f t="shared" si="81"/>
        <v>5351250</v>
      </c>
      <c r="K60" s="252">
        <f t="shared" si="82"/>
        <v>25000000</v>
      </c>
      <c r="L60" s="252">
        <f>19648750</f>
        <v>19648750</v>
      </c>
      <c r="M60" s="252">
        <f>18750+5332500</f>
        <v>5351250</v>
      </c>
      <c r="N60" s="252">
        <f t="shared" si="83"/>
        <v>25000000</v>
      </c>
      <c r="O60" s="252"/>
      <c r="P60" s="209">
        <v>0</v>
      </c>
      <c r="Q60" s="254">
        <v>19</v>
      </c>
      <c r="R60" s="255">
        <v>45566</v>
      </c>
      <c r="S60" s="256"/>
      <c r="T60" s="256">
        <v>5332500</v>
      </c>
      <c r="U60" s="256">
        <f t="shared" si="84"/>
        <v>5332500</v>
      </c>
      <c r="V60" s="257">
        <v>372</v>
      </c>
      <c r="W60" s="258">
        <v>45600</v>
      </c>
      <c r="X60" s="259">
        <v>18710984</v>
      </c>
      <c r="Y60" s="259">
        <v>14875</v>
      </c>
      <c r="Z60" s="259">
        <f t="shared" si="85"/>
        <v>18725859</v>
      </c>
      <c r="AA60" s="260"/>
      <c r="AB60" s="261"/>
      <c r="AC60" s="262"/>
      <c r="AD60" s="259"/>
      <c r="AE60" s="256">
        <f t="shared" si="86"/>
        <v>0</v>
      </c>
      <c r="AF60" s="263">
        <f t="shared" si="87"/>
        <v>45566</v>
      </c>
      <c r="AG60" s="209">
        <f t="shared" si="88"/>
        <v>18710984</v>
      </c>
      <c r="AH60" s="264">
        <f t="shared" si="89"/>
        <v>5347375</v>
      </c>
      <c r="AI60" s="264">
        <f t="shared" si="90"/>
        <v>24058359</v>
      </c>
      <c r="AJ60" s="259">
        <f t="shared" si="116"/>
        <v>18710984</v>
      </c>
      <c r="AK60" s="259">
        <f t="shared" si="116"/>
        <v>5347375</v>
      </c>
      <c r="AL60" s="259">
        <f t="shared" si="92"/>
        <v>24058359</v>
      </c>
      <c r="AM60" s="265"/>
      <c r="AN60" s="263"/>
      <c r="AO60" s="259"/>
      <c r="AP60" s="209">
        <f t="shared" si="93"/>
        <v>17860983.57</v>
      </c>
      <c r="AQ60" s="209">
        <f t="shared" si="94"/>
        <v>5238205.9600000009</v>
      </c>
      <c r="AR60" s="209">
        <f t="shared" si="95"/>
        <v>23099189.530000001</v>
      </c>
      <c r="AS60" s="209">
        <f t="shared" si="96"/>
        <v>96.013155053509678</v>
      </c>
      <c r="AT60" s="259">
        <v>17860983.57</v>
      </c>
      <c r="AU60" s="259">
        <v>5238205.9600000009</v>
      </c>
      <c r="AV60" s="259">
        <f t="shared" si="97"/>
        <v>23099189.530000001</v>
      </c>
      <c r="AW60" s="209">
        <f t="shared" si="110"/>
        <v>8.3131189454775374</v>
      </c>
      <c r="AX60" s="259">
        <f t="shared" si="98"/>
        <v>96.013155053509678</v>
      </c>
      <c r="AY60" s="209"/>
      <c r="AZ60" s="209">
        <f>+BC60</f>
        <v>0</v>
      </c>
      <c r="BA60" s="209">
        <f>+BD60+BF60</f>
        <v>850000</v>
      </c>
      <c r="BB60" s="209">
        <f t="shared" si="101"/>
        <v>850000</v>
      </c>
      <c r="BC60" s="259"/>
      <c r="BD60" s="259">
        <v>850000</v>
      </c>
      <c r="BE60" s="259">
        <f t="shared" si="102"/>
        <v>850000</v>
      </c>
      <c r="BF60" s="209"/>
      <c r="BG60" s="259">
        <f t="shared" si="117"/>
        <v>17860983.57</v>
      </c>
      <c r="BH60" s="259">
        <f t="shared" si="117"/>
        <v>6088205.9600000009</v>
      </c>
      <c r="BI60" s="259">
        <f t="shared" si="104"/>
        <v>23949189.530000001</v>
      </c>
      <c r="BJ60" s="259">
        <f t="shared" si="3"/>
        <v>99.546230605337627</v>
      </c>
      <c r="BK60" s="266">
        <v>45</v>
      </c>
      <c r="BL60" s="266">
        <v>30</v>
      </c>
      <c r="BM60" s="267"/>
      <c r="BN60" s="268" t="s">
        <v>152</v>
      </c>
      <c r="BO60" s="269">
        <f t="shared" si="105"/>
        <v>850000.4299999997</v>
      </c>
      <c r="BP60" s="259">
        <f t="shared" si="106"/>
        <v>109169.03999999911</v>
      </c>
      <c r="BQ60" s="259">
        <f t="shared" si="111"/>
        <v>959169.46999999881</v>
      </c>
      <c r="BR60" s="259">
        <f t="shared" si="112"/>
        <v>850000.4299999997</v>
      </c>
      <c r="BS60" s="259">
        <f t="shared" si="112"/>
        <v>109169.03999999911</v>
      </c>
      <c r="BT60" s="259">
        <f t="shared" si="113"/>
        <v>959169.46999999881</v>
      </c>
      <c r="BU60" s="270">
        <f t="shared" si="114"/>
        <v>0</v>
      </c>
      <c r="BV60" s="259"/>
      <c r="BW60" s="259"/>
      <c r="BX60" s="259">
        <f t="shared" si="115"/>
        <v>0</v>
      </c>
      <c r="BY60" s="271">
        <v>250000</v>
      </c>
      <c r="BZ60" s="271">
        <v>250000</v>
      </c>
      <c r="CA60" s="271">
        <v>8250000</v>
      </c>
      <c r="CB60" s="271">
        <v>1750000.0000000002</v>
      </c>
      <c r="CC60" s="271">
        <v>1750000.0000000002</v>
      </c>
      <c r="CD60" s="271">
        <v>2000000</v>
      </c>
      <c r="CE60" s="271">
        <v>2250000</v>
      </c>
      <c r="CF60" s="271">
        <v>2000000</v>
      </c>
      <c r="CG60" s="271">
        <v>2000000</v>
      </c>
      <c r="CH60" s="271">
        <v>1500000</v>
      </c>
      <c r="CI60" s="271">
        <v>1500000</v>
      </c>
      <c r="CJ60" s="271">
        <v>1500000</v>
      </c>
      <c r="CK60" s="268" t="s">
        <v>257</v>
      </c>
      <c r="CL60" s="268" t="s">
        <v>171</v>
      </c>
      <c r="CM60" s="267">
        <v>182</v>
      </c>
      <c r="CN60" s="272"/>
      <c r="CO60" s="272">
        <v>26226</v>
      </c>
      <c r="CP60" s="273">
        <v>200</v>
      </c>
      <c r="CQ60" s="274"/>
      <c r="CR60" s="267"/>
      <c r="CS60" s="275"/>
      <c r="CT60" s="275"/>
      <c r="CU60" s="275"/>
      <c r="CV60" s="267"/>
      <c r="CW60" s="267"/>
      <c r="CX60" s="267"/>
      <c r="CY60" s="267"/>
      <c r="CZ60" s="267"/>
      <c r="DA60" s="267"/>
      <c r="DB60" s="267"/>
      <c r="DC60" s="276"/>
      <c r="DD60" s="276"/>
      <c r="DE60" s="276"/>
      <c r="DF60" s="267"/>
      <c r="DG60" s="267"/>
      <c r="DH60" s="267"/>
      <c r="DI60" s="267"/>
      <c r="DJ60" s="267"/>
      <c r="DK60" s="277" t="s">
        <v>53</v>
      </c>
      <c r="DT60" s="279"/>
    </row>
    <row r="61" spans="1:124" s="176" customFormat="1" ht="42" x14ac:dyDescent="0.2">
      <c r="A61" s="195" t="s">
        <v>197</v>
      </c>
      <c r="B61" s="197" t="s">
        <v>258</v>
      </c>
      <c r="C61" s="198">
        <v>1</v>
      </c>
      <c r="D61" s="199">
        <v>12500000</v>
      </c>
      <c r="E61" s="198" t="s">
        <v>259</v>
      </c>
      <c r="F61" s="198" t="s">
        <v>150</v>
      </c>
      <c r="G61" s="198" t="s">
        <v>151</v>
      </c>
      <c r="H61" s="200">
        <v>1</v>
      </c>
      <c r="I61" s="199">
        <f t="shared" si="80"/>
        <v>0</v>
      </c>
      <c r="J61" s="199">
        <f t="shared" si="81"/>
        <v>12500000</v>
      </c>
      <c r="K61" s="199">
        <f t="shared" si="82"/>
        <v>12500000</v>
      </c>
      <c r="L61" s="199">
        <v>0</v>
      </c>
      <c r="M61" s="199">
        <v>12500000</v>
      </c>
      <c r="N61" s="199">
        <f t="shared" si="83"/>
        <v>12500000</v>
      </c>
      <c r="O61" s="199"/>
      <c r="P61" s="201">
        <v>0</v>
      </c>
      <c r="Q61" s="202">
        <v>20</v>
      </c>
      <c r="R61" s="203">
        <v>45566</v>
      </c>
      <c r="S61" s="204"/>
      <c r="T61" s="204">
        <v>12500000</v>
      </c>
      <c r="U61" s="204">
        <f t="shared" si="84"/>
        <v>12500000</v>
      </c>
      <c r="V61" s="205">
        <v>228</v>
      </c>
      <c r="W61" s="200">
        <v>45586</v>
      </c>
      <c r="X61" s="201"/>
      <c r="Y61" s="201">
        <v>-488700</v>
      </c>
      <c r="Z61" s="201">
        <f t="shared" si="85"/>
        <v>-488700</v>
      </c>
      <c r="AA61" s="198">
        <v>1079</v>
      </c>
      <c r="AB61" s="206">
        <v>45663</v>
      </c>
      <c r="AC61" s="207"/>
      <c r="AD61" s="201">
        <v>-877471.33</v>
      </c>
      <c r="AE61" s="204">
        <f t="shared" si="86"/>
        <v>-877471.33</v>
      </c>
      <c r="AF61" s="203">
        <f t="shared" si="87"/>
        <v>45566</v>
      </c>
      <c r="AG61" s="201">
        <f t="shared" si="88"/>
        <v>0</v>
      </c>
      <c r="AH61" s="204">
        <f t="shared" si="89"/>
        <v>11622528.67</v>
      </c>
      <c r="AI61" s="204">
        <f t="shared" si="90"/>
        <v>11622528.67</v>
      </c>
      <c r="AJ61" s="201">
        <f t="shared" si="116"/>
        <v>0</v>
      </c>
      <c r="AK61" s="201">
        <f t="shared" si="116"/>
        <v>11133828.67</v>
      </c>
      <c r="AL61" s="201">
        <f t="shared" si="92"/>
        <v>11133828.67</v>
      </c>
      <c r="AM61" s="205">
        <v>229</v>
      </c>
      <c r="AN61" s="200">
        <v>45586</v>
      </c>
      <c r="AO61" s="208">
        <v>488700</v>
      </c>
      <c r="AP61" s="201">
        <f t="shared" si="93"/>
        <v>0</v>
      </c>
      <c r="AQ61" s="201">
        <f t="shared" si="94"/>
        <v>8888584.5300000012</v>
      </c>
      <c r="AR61" s="201">
        <f t="shared" si="95"/>
        <v>8888584.5300000012</v>
      </c>
      <c r="AS61" s="201">
        <f t="shared" si="96"/>
        <v>76.477200292421401</v>
      </c>
      <c r="AT61" s="201"/>
      <c r="AU61" s="209">
        <v>8658092.8800000008</v>
      </c>
      <c r="AV61" s="201">
        <f t="shared" si="97"/>
        <v>8658092.8800000008</v>
      </c>
      <c r="AW61" s="201">
        <f t="shared" si="110"/>
        <v>11.898871801123198</v>
      </c>
      <c r="AX61" s="201">
        <f t="shared" si="98"/>
        <v>77.763841501613484</v>
      </c>
      <c r="AY61" s="208">
        <v>230491.65</v>
      </c>
      <c r="AZ61" s="201">
        <f t="shared" si="99"/>
        <v>0</v>
      </c>
      <c r="BA61" s="201">
        <f t="shared" si="100"/>
        <v>1342509.42</v>
      </c>
      <c r="BB61" s="201">
        <f t="shared" si="101"/>
        <v>1342509.42</v>
      </c>
      <c r="BC61" s="201"/>
      <c r="BD61" s="209">
        <v>1242514</v>
      </c>
      <c r="BE61" s="201">
        <f t="shared" si="102"/>
        <v>1242514</v>
      </c>
      <c r="BF61" s="208">
        <v>99995.42</v>
      </c>
      <c r="BG61" s="201">
        <f t="shared" si="117"/>
        <v>0</v>
      </c>
      <c r="BH61" s="201">
        <f t="shared" si="117"/>
        <v>10231093.950000001</v>
      </c>
      <c r="BI61" s="201">
        <f t="shared" si="104"/>
        <v>10231093.950000001</v>
      </c>
      <c r="BJ61" s="201">
        <f t="shared" si="3"/>
        <v>88.028124003758649</v>
      </c>
      <c r="BK61" s="210">
        <v>5</v>
      </c>
      <c r="BL61" s="210">
        <v>60</v>
      </c>
      <c r="BM61" s="211"/>
      <c r="BN61" s="214" t="s">
        <v>152</v>
      </c>
      <c r="BO61" s="212">
        <f t="shared" si="105"/>
        <v>0</v>
      </c>
      <c r="BP61" s="201">
        <f t="shared" si="106"/>
        <v>2733944.1399999992</v>
      </c>
      <c r="BQ61" s="201">
        <f t="shared" si="111"/>
        <v>2733944.1399999992</v>
      </c>
      <c r="BR61" s="201">
        <f t="shared" si="112"/>
        <v>0</v>
      </c>
      <c r="BS61" s="201">
        <f t="shared" si="112"/>
        <v>2475735.7899999991</v>
      </c>
      <c r="BT61" s="201">
        <f t="shared" si="113"/>
        <v>2475735.7899999991</v>
      </c>
      <c r="BU61" s="213">
        <f t="shared" si="114"/>
        <v>258208.35</v>
      </c>
      <c r="BV61" s="201">
        <f>488700+877471.33</f>
        <v>1366171.33</v>
      </c>
      <c r="BW61" s="201"/>
      <c r="BX61" s="201">
        <f t="shared" si="115"/>
        <v>1366171.33</v>
      </c>
      <c r="BY61" s="199">
        <v>606300</v>
      </c>
      <c r="BZ61" s="199">
        <v>848820</v>
      </c>
      <c r="CA61" s="199">
        <v>970080</v>
      </c>
      <c r="CB61" s="199">
        <v>1091300</v>
      </c>
      <c r="CC61" s="199">
        <v>1212600</v>
      </c>
      <c r="CD61" s="199">
        <v>1333900</v>
      </c>
      <c r="CE61" s="199">
        <v>1408600</v>
      </c>
      <c r="CF61" s="199">
        <v>1324800</v>
      </c>
      <c r="CG61" s="199">
        <v>1203600</v>
      </c>
      <c r="CH61" s="199">
        <v>1044900</v>
      </c>
      <c r="CI61" s="199">
        <v>848800</v>
      </c>
      <c r="CJ61" s="199">
        <v>606300</v>
      </c>
      <c r="CK61" s="214" t="s">
        <v>260</v>
      </c>
      <c r="CL61" s="214" t="s">
        <v>171</v>
      </c>
      <c r="CM61" s="211">
        <v>182</v>
      </c>
      <c r="CN61" s="215"/>
      <c r="CO61" s="215">
        <v>2000</v>
      </c>
      <c r="CP61" s="216">
        <v>400</v>
      </c>
      <c r="CQ61" s="217"/>
      <c r="CR61" s="211"/>
      <c r="CS61" s="218"/>
      <c r="CT61" s="218"/>
      <c r="CU61" s="218"/>
      <c r="CV61" s="211"/>
      <c r="CW61" s="211"/>
      <c r="CX61" s="211"/>
      <c r="CY61" s="211"/>
      <c r="CZ61" s="211"/>
      <c r="DA61" s="211"/>
      <c r="DB61" s="211"/>
      <c r="DC61" s="219"/>
      <c r="DD61" s="219"/>
      <c r="DE61" s="219"/>
      <c r="DF61" s="211"/>
      <c r="DG61" s="211"/>
      <c r="DH61" s="211"/>
      <c r="DI61" s="211"/>
      <c r="DJ61" s="211"/>
      <c r="DK61" s="220" t="s">
        <v>32</v>
      </c>
      <c r="DT61" s="222"/>
    </row>
    <row r="62" spans="1:124" s="176" customFormat="1" ht="63" x14ac:dyDescent="0.2">
      <c r="A62" s="195" t="s">
        <v>197</v>
      </c>
      <c r="B62" s="197" t="s">
        <v>261</v>
      </c>
      <c r="C62" s="198">
        <v>1</v>
      </c>
      <c r="D62" s="199">
        <v>18000000</v>
      </c>
      <c r="E62" s="198" t="s">
        <v>206</v>
      </c>
      <c r="F62" s="198" t="s">
        <v>150</v>
      </c>
      <c r="G62" s="198" t="s">
        <v>151</v>
      </c>
      <c r="H62" s="200">
        <v>1</v>
      </c>
      <c r="I62" s="199">
        <f t="shared" si="80"/>
        <v>0</v>
      </c>
      <c r="J62" s="199">
        <f t="shared" si="81"/>
        <v>18000000</v>
      </c>
      <c r="K62" s="199">
        <f t="shared" si="82"/>
        <v>18000000</v>
      </c>
      <c r="L62" s="199">
        <v>0</v>
      </c>
      <c r="M62" s="199">
        <v>18000000</v>
      </c>
      <c r="N62" s="199">
        <f t="shared" si="83"/>
        <v>18000000</v>
      </c>
      <c r="O62" s="199"/>
      <c r="P62" s="201">
        <v>0</v>
      </c>
      <c r="Q62" s="202">
        <v>20</v>
      </c>
      <c r="R62" s="203">
        <v>45566</v>
      </c>
      <c r="S62" s="204"/>
      <c r="T62" s="204">
        <v>18000000</v>
      </c>
      <c r="U62" s="204">
        <f t="shared" si="84"/>
        <v>18000000</v>
      </c>
      <c r="V62" s="205">
        <v>228</v>
      </c>
      <c r="W62" s="200">
        <v>45586</v>
      </c>
      <c r="X62" s="201"/>
      <c r="Y62" s="201">
        <v>-620800</v>
      </c>
      <c r="Z62" s="201">
        <f t="shared" si="85"/>
        <v>-620800</v>
      </c>
      <c r="AA62" s="198">
        <v>690</v>
      </c>
      <c r="AB62" s="206">
        <v>45622</v>
      </c>
      <c r="AC62" s="207"/>
      <c r="AD62" s="201">
        <f>-565478.44+-741690.75</f>
        <v>-1307169.19</v>
      </c>
      <c r="AE62" s="204">
        <f t="shared" si="86"/>
        <v>-1307169.19</v>
      </c>
      <c r="AF62" s="203">
        <f t="shared" si="87"/>
        <v>45566</v>
      </c>
      <c r="AG62" s="201">
        <f t="shared" si="88"/>
        <v>0</v>
      </c>
      <c r="AH62" s="204">
        <f t="shared" si="89"/>
        <v>16692830.810000001</v>
      </c>
      <c r="AI62" s="204">
        <f t="shared" si="90"/>
        <v>16692830.810000001</v>
      </c>
      <c r="AJ62" s="201">
        <f t="shared" si="116"/>
        <v>0</v>
      </c>
      <c r="AK62" s="201">
        <f t="shared" si="116"/>
        <v>16072030.810000001</v>
      </c>
      <c r="AL62" s="201">
        <f t="shared" si="92"/>
        <v>16072030.810000001</v>
      </c>
      <c r="AM62" s="205">
        <v>229</v>
      </c>
      <c r="AN62" s="200">
        <v>45586</v>
      </c>
      <c r="AO62" s="208">
        <v>620800</v>
      </c>
      <c r="AP62" s="201">
        <f t="shared" si="93"/>
        <v>0</v>
      </c>
      <c r="AQ62" s="201">
        <f t="shared" si="94"/>
        <v>11391323.09</v>
      </c>
      <c r="AR62" s="201">
        <f t="shared" si="95"/>
        <v>11391323.09</v>
      </c>
      <c r="AS62" s="201">
        <f t="shared" si="96"/>
        <v>68.240810798704786</v>
      </c>
      <c r="AT62" s="201"/>
      <c r="AU62" s="209">
        <v>11077141.02</v>
      </c>
      <c r="AV62" s="201">
        <f t="shared" si="97"/>
        <v>11077141.02</v>
      </c>
      <c r="AW62" s="201">
        <f t="shared" si="110"/>
        <v>10.70182119691942</v>
      </c>
      <c r="AX62" s="201">
        <f t="shared" si="98"/>
        <v>68.921850330873028</v>
      </c>
      <c r="AY62" s="208">
        <v>314182.07</v>
      </c>
      <c r="AZ62" s="201">
        <f t="shared" si="99"/>
        <v>0</v>
      </c>
      <c r="BA62" s="201">
        <f t="shared" si="100"/>
        <v>1406575.71</v>
      </c>
      <c r="BB62" s="201">
        <f t="shared" si="101"/>
        <v>1406575.71</v>
      </c>
      <c r="BC62" s="201"/>
      <c r="BD62" s="209">
        <v>1306580.29</v>
      </c>
      <c r="BE62" s="201">
        <f t="shared" si="102"/>
        <v>1306580.29</v>
      </c>
      <c r="BF62" s="208">
        <v>99995.42</v>
      </c>
      <c r="BG62" s="201">
        <f t="shared" si="117"/>
        <v>0</v>
      </c>
      <c r="BH62" s="201">
        <f t="shared" si="117"/>
        <v>12797898.800000001</v>
      </c>
      <c r="BI62" s="201">
        <f t="shared" si="104"/>
        <v>12797898.800000001</v>
      </c>
      <c r="BJ62" s="201">
        <f t="shared" si="3"/>
        <v>76.667037159049713</v>
      </c>
      <c r="BK62" s="210">
        <v>5</v>
      </c>
      <c r="BL62" s="210">
        <v>45</v>
      </c>
      <c r="BM62" s="211"/>
      <c r="BN62" s="214" t="s">
        <v>152</v>
      </c>
      <c r="BO62" s="212">
        <f t="shared" si="105"/>
        <v>0</v>
      </c>
      <c r="BP62" s="201">
        <f t="shared" si="106"/>
        <v>5301507.7200000007</v>
      </c>
      <c r="BQ62" s="201">
        <f t="shared" si="111"/>
        <v>5301507.7200000007</v>
      </c>
      <c r="BR62" s="201">
        <f t="shared" si="112"/>
        <v>0</v>
      </c>
      <c r="BS62" s="201">
        <f t="shared" si="112"/>
        <v>4994889.790000001</v>
      </c>
      <c r="BT62" s="201">
        <f t="shared" si="113"/>
        <v>4994889.790000001</v>
      </c>
      <c r="BU62" s="213">
        <f t="shared" si="114"/>
        <v>306617.93</v>
      </c>
      <c r="BV62" s="201">
        <f>620800+565478.44+741690.75</f>
        <v>1927969.19</v>
      </c>
      <c r="BW62" s="201"/>
      <c r="BX62" s="201">
        <f t="shared" si="115"/>
        <v>1927969.19</v>
      </c>
      <c r="BY62" s="199">
        <v>100000</v>
      </c>
      <c r="BZ62" s="199">
        <v>1000000</v>
      </c>
      <c r="CA62" s="199">
        <v>1400000</v>
      </c>
      <c r="CB62" s="199">
        <v>1800000</v>
      </c>
      <c r="CC62" s="199">
        <v>3200000</v>
      </c>
      <c r="CD62" s="199">
        <v>3370000</v>
      </c>
      <c r="CE62" s="199">
        <v>3320000</v>
      </c>
      <c r="CF62" s="199">
        <v>1720000</v>
      </c>
      <c r="CG62" s="199">
        <v>1020000</v>
      </c>
      <c r="CH62" s="199">
        <v>670100</v>
      </c>
      <c r="CI62" s="199">
        <v>341300</v>
      </c>
      <c r="CJ62" s="199">
        <v>58600</v>
      </c>
      <c r="CK62" s="214" t="s">
        <v>262</v>
      </c>
      <c r="CL62" s="214" t="s">
        <v>171</v>
      </c>
      <c r="CM62" s="211">
        <v>182</v>
      </c>
      <c r="CN62" s="215"/>
      <c r="CO62" s="215">
        <v>2024</v>
      </c>
      <c r="CP62" s="216">
        <v>847</v>
      </c>
      <c r="CQ62" s="217"/>
      <c r="CR62" s="211"/>
      <c r="CS62" s="218"/>
      <c r="CT62" s="218"/>
      <c r="CU62" s="218"/>
      <c r="CV62" s="211"/>
      <c r="CW62" s="211"/>
      <c r="CX62" s="211"/>
      <c r="CY62" s="211"/>
      <c r="CZ62" s="211"/>
      <c r="DA62" s="211"/>
      <c r="DB62" s="211"/>
      <c r="DC62" s="219"/>
      <c r="DD62" s="219"/>
      <c r="DE62" s="219"/>
      <c r="DF62" s="211"/>
      <c r="DG62" s="211"/>
      <c r="DH62" s="211"/>
      <c r="DI62" s="211"/>
      <c r="DJ62" s="211"/>
      <c r="DK62" s="220" t="s">
        <v>32</v>
      </c>
      <c r="DT62" s="222"/>
    </row>
    <row r="63" spans="1:124" s="176" customFormat="1" ht="63" x14ac:dyDescent="0.2">
      <c r="A63" s="195" t="s">
        <v>197</v>
      </c>
      <c r="B63" s="197" t="s">
        <v>263</v>
      </c>
      <c r="C63" s="198">
        <v>1</v>
      </c>
      <c r="D63" s="199">
        <v>15000000</v>
      </c>
      <c r="E63" s="198" t="s">
        <v>264</v>
      </c>
      <c r="F63" s="198" t="s">
        <v>150</v>
      </c>
      <c r="G63" s="198" t="s">
        <v>151</v>
      </c>
      <c r="H63" s="200">
        <v>1</v>
      </c>
      <c r="I63" s="199">
        <f t="shared" si="80"/>
        <v>0</v>
      </c>
      <c r="J63" s="199">
        <f t="shared" si="81"/>
        <v>15000000</v>
      </c>
      <c r="K63" s="199">
        <f t="shared" si="82"/>
        <v>15000000</v>
      </c>
      <c r="L63" s="199">
        <v>0</v>
      </c>
      <c r="M63" s="199">
        <v>15000000</v>
      </c>
      <c r="N63" s="199">
        <f t="shared" si="83"/>
        <v>15000000</v>
      </c>
      <c r="O63" s="199"/>
      <c r="P63" s="201">
        <v>0</v>
      </c>
      <c r="Q63" s="202">
        <v>20</v>
      </c>
      <c r="R63" s="203">
        <v>45566</v>
      </c>
      <c r="S63" s="204"/>
      <c r="T63" s="204">
        <v>15000000</v>
      </c>
      <c r="U63" s="204">
        <f t="shared" si="84"/>
        <v>15000000</v>
      </c>
      <c r="V63" s="205">
        <v>228</v>
      </c>
      <c r="W63" s="200">
        <v>45586</v>
      </c>
      <c r="X63" s="201"/>
      <c r="Y63" s="201">
        <v>-648900</v>
      </c>
      <c r="Z63" s="201">
        <f t="shared" si="85"/>
        <v>-648900</v>
      </c>
      <c r="AA63" s="198">
        <v>690</v>
      </c>
      <c r="AB63" s="206">
        <v>45622</v>
      </c>
      <c r="AC63" s="207"/>
      <c r="AD63" s="201">
        <f>+-348241+-613513.41</f>
        <v>-961754.41</v>
      </c>
      <c r="AE63" s="204">
        <f t="shared" si="86"/>
        <v>-961754.41</v>
      </c>
      <c r="AF63" s="203">
        <f t="shared" si="87"/>
        <v>45566</v>
      </c>
      <c r="AG63" s="201">
        <f t="shared" si="88"/>
        <v>0</v>
      </c>
      <c r="AH63" s="204">
        <f t="shared" si="89"/>
        <v>14038245.59</v>
      </c>
      <c r="AI63" s="204">
        <f t="shared" si="90"/>
        <v>14038245.59</v>
      </c>
      <c r="AJ63" s="201">
        <f t="shared" si="116"/>
        <v>0</v>
      </c>
      <c r="AK63" s="201">
        <f t="shared" si="116"/>
        <v>13389345.59</v>
      </c>
      <c r="AL63" s="201">
        <f t="shared" si="92"/>
        <v>13389345.59</v>
      </c>
      <c r="AM63" s="205">
        <v>229</v>
      </c>
      <c r="AN63" s="200">
        <v>45586</v>
      </c>
      <c r="AO63" s="208">
        <v>648900</v>
      </c>
      <c r="AP63" s="201">
        <f t="shared" si="93"/>
        <v>0</v>
      </c>
      <c r="AQ63" s="201">
        <f t="shared" si="94"/>
        <v>9371463.540000001</v>
      </c>
      <c r="AR63" s="201">
        <f t="shared" si="95"/>
        <v>9371463.540000001</v>
      </c>
      <c r="AS63" s="201">
        <f t="shared" si="96"/>
        <v>66.756657588863291</v>
      </c>
      <c r="AT63" s="201"/>
      <c r="AU63" s="209">
        <v>9147420.1400000006</v>
      </c>
      <c r="AV63" s="201">
        <f t="shared" si="97"/>
        <v>9147420.1400000006</v>
      </c>
      <c r="AW63" s="201">
        <f t="shared" si="110"/>
        <v>11.202937364767802</v>
      </c>
      <c r="AX63" s="201">
        <f t="shared" si="98"/>
        <v>68.318649918423688</v>
      </c>
      <c r="AY63" s="208">
        <v>224043.40000000002</v>
      </c>
      <c r="AZ63" s="201">
        <f t="shared" si="99"/>
        <v>0</v>
      </c>
      <c r="BA63" s="201">
        <f t="shared" si="100"/>
        <v>2039019.16</v>
      </c>
      <c r="BB63" s="201">
        <f t="shared" si="101"/>
        <v>2039019.16</v>
      </c>
      <c r="BC63" s="201"/>
      <c r="BD63" s="209">
        <v>1946150</v>
      </c>
      <c r="BE63" s="201">
        <f t="shared" si="102"/>
        <v>1946150</v>
      </c>
      <c r="BF63" s="208">
        <v>92869.16</v>
      </c>
      <c r="BG63" s="201">
        <f t="shared" si="117"/>
        <v>0</v>
      </c>
      <c r="BH63" s="201">
        <f t="shared" si="117"/>
        <v>11410482.700000001</v>
      </c>
      <c r="BI63" s="201">
        <f t="shared" si="104"/>
        <v>11410482.700000001</v>
      </c>
      <c r="BJ63" s="201">
        <f t="shared" si="3"/>
        <v>81.281401061455568</v>
      </c>
      <c r="BK63" s="210">
        <v>5</v>
      </c>
      <c r="BL63" s="210">
        <v>50</v>
      </c>
      <c r="BM63" s="211"/>
      <c r="BN63" s="214" t="s">
        <v>152</v>
      </c>
      <c r="BO63" s="212">
        <f t="shared" si="105"/>
        <v>0</v>
      </c>
      <c r="BP63" s="201">
        <f t="shared" si="106"/>
        <v>4666782.0499999989</v>
      </c>
      <c r="BQ63" s="201">
        <f t="shared" si="111"/>
        <v>4666782.0499999989</v>
      </c>
      <c r="BR63" s="201">
        <f t="shared" si="112"/>
        <v>0</v>
      </c>
      <c r="BS63" s="201">
        <f t="shared" si="112"/>
        <v>4241925.4499999993</v>
      </c>
      <c r="BT63" s="201">
        <f t="shared" si="113"/>
        <v>4241925.4499999993</v>
      </c>
      <c r="BU63" s="213">
        <f t="shared" si="114"/>
        <v>424856.6</v>
      </c>
      <c r="BV63" s="201">
        <f>648900+348241+613513.41</f>
        <v>1610654.4100000001</v>
      </c>
      <c r="BW63" s="201"/>
      <c r="BX63" s="201">
        <f t="shared" si="115"/>
        <v>1610654.4100000001</v>
      </c>
      <c r="BY63" s="199">
        <v>450000</v>
      </c>
      <c r="BZ63" s="199">
        <v>750000</v>
      </c>
      <c r="CA63" s="199">
        <v>1050000</v>
      </c>
      <c r="CB63" s="199">
        <v>1350000</v>
      </c>
      <c r="CC63" s="199">
        <v>1500000</v>
      </c>
      <c r="CD63" s="199">
        <v>2250000</v>
      </c>
      <c r="CE63" s="199">
        <v>2250000</v>
      </c>
      <c r="CF63" s="199">
        <v>1500000</v>
      </c>
      <c r="CG63" s="199">
        <v>1500000</v>
      </c>
      <c r="CH63" s="199">
        <v>1200000</v>
      </c>
      <c r="CI63" s="199">
        <v>750000</v>
      </c>
      <c r="CJ63" s="199">
        <v>450000</v>
      </c>
      <c r="CK63" s="214" t="s">
        <v>265</v>
      </c>
      <c r="CL63" s="214" t="s">
        <v>171</v>
      </c>
      <c r="CM63" s="211">
        <v>182</v>
      </c>
      <c r="CN63" s="215"/>
      <c r="CO63" s="215">
        <v>2200</v>
      </c>
      <c r="CP63" s="216">
        <v>2732</v>
      </c>
      <c r="CQ63" s="217"/>
      <c r="CR63" s="211"/>
      <c r="CS63" s="218"/>
      <c r="CT63" s="218"/>
      <c r="CU63" s="218"/>
      <c r="CV63" s="211"/>
      <c r="CW63" s="211"/>
      <c r="CX63" s="211"/>
      <c r="CY63" s="211"/>
      <c r="CZ63" s="211"/>
      <c r="DA63" s="211"/>
      <c r="DB63" s="211"/>
      <c r="DC63" s="219"/>
      <c r="DD63" s="219"/>
      <c r="DE63" s="219"/>
      <c r="DF63" s="211"/>
      <c r="DG63" s="211"/>
      <c r="DH63" s="211"/>
      <c r="DI63" s="211"/>
      <c r="DJ63" s="211"/>
      <c r="DK63" s="220" t="s">
        <v>32</v>
      </c>
      <c r="DT63" s="222"/>
    </row>
    <row r="64" spans="1:124" s="176" customFormat="1" ht="42" x14ac:dyDescent="0.2">
      <c r="A64" s="195" t="s">
        <v>197</v>
      </c>
      <c r="B64" s="197" t="s">
        <v>266</v>
      </c>
      <c r="C64" s="198">
        <v>1</v>
      </c>
      <c r="D64" s="199">
        <v>10500000</v>
      </c>
      <c r="E64" s="198" t="s">
        <v>267</v>
      </c>
      <c r="F64" s="198" t="s">
        <v>150</v>
      </c>
      <c r="G64" s="198" t="s">
        <v>151</v>
      </c>
      <c r="H64" s="200">
        <v>1</v>
      </c>
      <c r="I64" s="199">
        <f t="shared" si="80"/>
        <v>0</v>
      </c>
      <c r="J64" s="199">
        <f t="shared" si="81"/>
        <v>10500000</v>
      </c>
      <c r="K64" s="199">
        <f t="shared" si="82"/>
        <v>10500000</v>
      </c>
      <c r="L64" s="199">
        <v>0</v>
      </c>
      <c r="M64" s="199">
        <v>10500000</v>
      </c>
      <c r="N64" s="199">
        <f t="shared" si="83"/>
        <v>10500000</v>
      </c>
      <c r="O64" s="199"/>
      <c r="P64" s="201">
        <v>0</v>
      </c>
      <c r="Q64" s="202">
        <v>20</v>
      </c>
      <c r="R64" s="203">
        <v>45566</v>
      </c>
      <c r="S64" s="204"/>
      <c r="T64" s="204">
        <v>10500000</v>
      </c>
      <c r="U64" s="204">
        <f t="shared" si="84"/>
        <v>10500000</v>
      </c>
      <c r="V64" s="205">
        <v>228</v>
      </c>
      <c r="W64" s="200">
        <v>45586</v>
      </c>
      <c r="X64" s="201"/>
      <c r="Y64" s="201">
        <v>-432600</v>
      </c>
      <c r="Z64" s="201">
        <f t="shared" si="85"/>
        <v>-432600</v>
      </c>
      <c r="AA64" s="198">
        <v>1079</v>
      </c>
      <c r="AB64" s="206">
        <v>45663</v>
      </c>
      <c r="AC64" s="207"/>
      <c r="AD64" s="201">
        <v>-917775.6</v>
      </c>
      <c r="AE64" s="204">
        <f t="shared" si="86"/>
        <v>-917775.6</v>
      </c>
      <c r="AF64" s="203">
        <f t="shared" si="87"/>
        <v>45566</v>
      </c>
      <c r="AG64" s="201">
        <f t="shared" si="88"/>
        <v>0</v>
      </c>
      <c r="AH64" s="204">
        <f t="shared" si="89"/>
        <v>9582224.4000000004</v>
      </c>
      <c r="AI64" s="204">
        <f t="shared" si="90"/>
        <v>9582224.4000000004</v>
      </c>
      <c r="AJ64" s="201">
        <f t="shared" si="116"/>
        <v>0</v>
      </c>
      <c r="AK64" s="201">
        <f t="shared" si="116"/>
        <v>9149624.4000000004</v>
      </c>
      <c r="AL64" s="201">
        <f t="shared" si="92"/>
        <v>9149624.4000000004</v>
      </c>
      <c r="AM64" s="205">
        <v>229</v>
      </c>
      <c r="AN64" s="200">
        <v>45586</v>
      </c>
      <c r="AO64" s="208">
        <v>432600</v>
      </c>
      <c r="AP64" s="201">
        <f t="shared" si="93"/>
        <v>0</v>
      </c>
      <c r="AQ64" s="201">
        <f t="shared" si="94"/>
        <v>8221151.7199999997</v>
      </c>
      <c r="AR64" s="201">
        <f t="shared" si="95"/>
        <v>8221151.7199999997</v>
      </c>
      <c r="AS64" s="201">
        <f t="shared" si="96"/>
        <v>85.795858840458791</v>
      </c>
      <c r="AT64" s="201"/>
      <c r="AU64" s="209">
        <v>7968159.2699999996</v>
      </c>
      <c r="AV64" s="201">
        <f t="shared" si="97"/>
        <v>7968159.2699999996</v>
      </c>
      <c r="AW64" s="201">
        <f t="shared" si="110"/>
        <v>11.475880911570533</v>
      </c>
      <c r="AX64" s="201">
        <f t="shared" si="98"/>
        <v>87.087282730425514</v>
      </c>
      <c r="AY64" s="208">
        <v>252992.45</v>
      </c>
      <c r="AZ64" s="201">
        <f t="shared" si="99"/>
        <v>0</v>
      </c>
      <c r="BA64" s="201">
        <f t="shared" si="100"/>
        <v>786316</v>
      </c>
      <c r="BB64" s="201">
        <f t="shared" si="101"/>
        <v>786316</v>
      </c>
      <c r="BC64" s="201"/>
      <c r="BD64" s="209">
        <v>786316</v>
      </c>
      <c r="BE64" s="201">
        <f t="shared" si="102"/>
        <v>786316</v>
      </c>
      <c r="BF64" s="208"/>
      <c r="BG64" s="201">
        <f t="shared" si="117"/>
        <v>0</v>
      </c>
      <c r="BH64" s="201">
        <f t="shared" si="117"/>
        <v>9007467.7199999988</v>
      </c>
      <c r="BI64" s="201">
        <f t="shared" si="104"/>
        <v>9007467.7199999988</v>
      </c>
      <c r="BJ64" s="201">
        <f t="shared" si="3"/>
        <v>94.00184491609275</v>
      </c>
      <c r="BK64" s="210">
        <v>5</v>
      </c>
      <c r="BL64" s="210">
        <v>50</v>
      </c>
      <c r="BM64" s="211"/>
      <c r="BN64" s="214" t="s">
        <v>152</v>
      </c>
      <c r="BO64" s="212">
        <f t="shared" si="105"/>
        <v>0</v>
      </c>
      <c r="BP64" s="201">
        <f t="shared" si="106"/>
        <v>1361072.6800000009</v>
      </c>
      <c r="BQ64" s="201">
        <f t="shared" si="111"/>
        <v>1361072.6800000009</v>
      </c>
      <c r="BR64" s="201">
        <f t="shared" si="112"/>
        <v>0</v>
      </c>
      <c r="BS64" s="201">
        <f t="shared" si="112"/>
        <v>1181465.1300000008</v>
      </c>
      <c r="BT64" s="201">
        <f t="shared" si="113"/>
        <v>1181465.1300000008</v>
      </c>
      <c r="BU64" s="213">
        <f t="shared" si="114"/>
        <v>179607.55</v>
      </c>
      <c r="BV64" s="201">
        <f>432600+917775.6</f>
        <v>1350375.6</v>
      </c>
      <c r="BW64" s="201"/>
      <c r="BX64" s="201">
        <f t="shared" si="115"/>
        <v>1350375.6</v>
      </c>
      <c r="BY64" s="199">
        <v>315000</v>
      </c>
      <c r="BZ64" s="199">
        <v>525000</v>
      </c>
      <c r="CA64" s="199">
        <v>735000</v>
      </c>
      <c r="CB64" s="199">
        <v>945000</v>
      </c>
      <c r="CC64" s="199">
        <v>1050000</v>
      </c>
      <c r="CD64" s="199">
        <v>1575000</v>
      </c>
      <c r="CE64" s="199">
        <v>1575000</v>
      </c>
      <c r="CF64" s="199">
        <v>1050000</v>
      </c>
      <c r="CG64" s="199">
        <v>1050000</v>
      </c>
      <c r="CH64" s="199">
        <v>840000</v>
      </c>
      <c r="CI64" s="199">
        <v>525000</v>
      </c>
      <c r="CJ64" s="199">
        <v>315000</v>
      </c>
      <c r="CK64" s="214" t="s">
        <v>268</v>
      </c>
      <c r="CL64" s="214" t="s">
        <v>171</v>
      </c>
      <c r="CM64" s="211">
        <v>182</v>
      </c>
      <c r="CN64" s="215"/>
      <c r="CO64" s="215">
        <v>1500</v>
      </c>
      <c r="CP64" s="216">
        <v>300</v>
      </c>
      <c r="CQ64" s="217"/>
      <c r="CR64" s="211"/>
      <c r="CS64" s="218"/>
      <c r="CT64" s="218"/>
      <c r="CU64" s="218"/>
      <c r="CV64" s="211"/>
      <c r="CW64" s="211"/>
      <c r="CX64" s="211"/>
      <c r="CY64" s="211"/>
      <c r="CZ64" s="211"/>
      <c r="DA64" s="211"/>
      <c r="DB64" s="211"/>
      <c r="DC64" s="219"/>
      <c r="DD64" s="219"/>
      <c r="DE64" s="219"/>
      <c r="DF64" s="211"/>
      <c r="DG64" s="211"/>
      <c r="DH64" s="211"/>
      <c r="DI64" s="211"/>
      <c r="DJ64" s="211"/>
      <c r="DK64" s="220" t="s">
        <v>32</v>
      </c>
      <c r="DT64" s="222"/>
    </row>
    <row r="65" spans="1:124" s="176" customFormat="1" ht="42" x14ac:dyDescent="0.2">
      <c r="A65" s="195" t="s">
        <v>197</v>
      </c>
      <c r="B65" s="197" t="s">
        <v>269</v>
      </c>
      <c r="C65" s="198">
        <v>1</v>
      </c>
      <c r="D65" s="199">
        <v>15000000</v>
      </c>
      <c r="E65" s="198" t="s">
        <v>270</v>
      </c>
      <c r="F65" s="198" t="s">
        <v>271</v>
      </c>
      <c r="G65" s="198" t="s">
        <v>151</v>
      </c>
      <c r="H65" s="200">
        <v>1</v>
      </c>
      <c r="I65" s="199">
        <f t="shared" si="80"/>
        <v>990000</v>
      </c>
      <c r="J65" s="199">
        <f t="shared" si="81"/>
        <v>14010000</v>
      </c>
      <c r="K65" s="199">
        <f t="shared" si="82"/>
        <v>15000000</v>
      </c>
      <c r="L65" s="199">
        <f>990000</f>
        <v>990000</v>
      </c>
      <c r="M65" s="199">
        <f>17000+13993000</f>
        <v>14010000</v>
      </c>
      <c r="N65" s="199">
        <f t="shared" si="83"/>
        <v>15000000</v>
      </c>
      <c r="O65" s="199"/>
      <c r="P65" s="201">
        <v>0</v>
      </c>
      <c r="Q65" s="202">
        <v>19</v>
      </c>
      <c r="R65" s="203">
        <v>45566</v>
      </c>
      <c r="S65" s="204"/>
      <c r="T65" s="204">
        <v>13993000</v>
      </c>
      <c r="U65" s="204">
        <f t="shared" si="84"/>
        <v>13993000</v>
      </c>
      <c r="V65" s="205">
        <v>706</v>
      </c>
      <c r="W65" s="200">
        <v>45623</v>
      </c>
      <c r="X65" s="201">
        <v>792000</v>
      </c>
      <c r="Y65" s="201">
        <v>13860</v>
      </c>
      <c r="Z65" s="201">
        <f t="shared" si="85"/>
        <v>805860</v>
      </c>
      <c r="AA65" s="198">
        <v>784</v>
      </c>
      <c r="AB65" s="206">
        <v>45630</v>
      </c>
      <c r="AC65" s="207"/>
      <c r="AD65" s="201">
        <f>+-54705+-915774.72+-96944.36</f>
        <v>-1067424.08</v>
      </c>
      <c r="AE65" s="204">
        <f t="shared" si="86"/>
        <v>-1067424.08</v>
      </c>
      <c r="AF65" s="203">
        <f t="shared" si="87"/>
        <v>45566</v>
      </c>
      <c r="AG65" s="201">
        <f t="shared" si="88"/>
        <v>792000</v>
      </c>
      <c r="AH65" s="204">
        <f t="shared" si="89"/>
        <v>12939435.92</v>
      </c>
      <c r="AI65" s="204">
        <f t="shared" si="90"/>
        <v>13731435.92</v>
      </c>
      <c r="AJ65" s="201">
        <f t="shared" si="116"/>
        <v>792000</v>
      </c>
      <c r="AK65" s="201">
        <f t="shared" si="116"/>
        <v>12939435.92</v>
      </c>
      <c r="AL65" s="201">
        <f t="shared" si="92"/>
        <v>13731435.92</v>
      </c>
      <c r="AM65" s="202"/>
      <c r="AN65" s="203"/>
      <c r="AO65" s="208"/>
      <c r="AP65" s="201">
        <f t="shared" si="93"/>
        <v>0</v>
      </c>
      <c r="AQ65" s="201">
        <f t="shared" si="94"/>
        <v>11996587.91</v>
      </c>
      <c r="AR65" s="201">
        <f t="shared" si="95"/>
        <v>11996587.91</v>
      </c>
      <c r="AS65" s="201">
        <f t="shared" si="96"/>
        <v>87.36586603100136</v>
      </c>
      <c r="AT65" s="201"/>
      <c r="AU65" s="209">
        <v>11996587.91</v>
      </c>
      <c r="AV65" s="201">
        <f t="shared" si="97"/>
        <v>11996587.91</v>
      </c>
      <c r="AW65" s="201">
        <f t="shared" si="110"/>
        <v>14.870986631673405</v>
      </c>
      <c r="AX65" s="201">
        <f t="shared" si="98"/>
        <v>87.36586603100136</v>
      </c>
      <c r="AY65" s="208"/>
      <c r="AZ65" s="201">
        <f t="shared" si="99"/>
        <v>0</v>
      </c>
      <c r="BA65" s="201">
        <f t="shared" si="100"/>
        <v>792000</v>
      </c>
      <c r="BB65" s="201">
        <f t="shared" si="101"/>
        <v>792000</v>
      </c>
      <c r="BC65" s="201"/>
      <c r="BD65" s="209">
        <v>792000</v>
      </c>
      <c r="BE65" s="201">
        <f t="shared" si="102"/>
        <v>792000</v>
      </c>
      <c r="BF65" s="208"/>
      <c r="BG65" s="201">
        <f t="shared" si="117"/>
        <v>0</v>
      </c>
      <c r="BH65" s="201">
        <f t="shared" si="117"/>
        <v>12788587.91</v>
      </c>
      <c r="BI65" s="201">
        <f t="shared" si="104"/>
        <v>12788587.91</v>
      </c>
      <c r="BJ65" s="201">
        <f t="shared" si="3"/>
        <v>93.133653206459414</v>
      </c>
      <c r="BK65" s="210">
        <v>5</v>
      </c>
      <c r="BL65" s="210">
        <v>70</v>
      </c>
      <c r="BM65" s="211"/>
      <c r="BN65" s="211"/>
      <c r="BO65" s="212">
        <f t="shared" si="105"/>
        <v>792000</v>
      </c>
      <c r="BP65" s="201">
        <f t="shared" si="106"/>
        <v>942848.00999999978</v>
      </c>
      <c r="BQ65" s="201">
        <f t="shared" si="111"/>
        <v>1734848.0099999998</v>
      </c>
      <c r="BR65" s="201">
        <f t="shared" si="112"/>
        <v>792000</v>
      </c>
      <c r="BS65" s="201">
        <f t="shared" si="112"/>
        <v>942848.00999999978</v>
      </c>
      <c r="BT65" s="201">
        <f t="shared" si="113"/>
        <v>1734848.0099999998</v>
      </c>
      <c r="BU65" s="213">
        <f t="shared" si="114"/>
        <v>0</v>
      </c>
      <c r="BV65" s="201">
        <f>970479.72+96944.36</f>
        <v>1067424.08</v>
      </c>
      <c r="BW65" s="201"/>
      <c r="BX65" s="201">
        <f t="shared" si="115"/>
        <v>1067424.08</v>
      </c>
      <c r="BY65" s="199">
        <v>398700</v>
      </c>
      <c r="BZ65" s="199">
        <v>996200</v>
      </c>
      <c r="CA65" s="199">
        <v>1427900</v>
      </c>
      <c r="CB65" s="199">
        <v>1726500</v>
      </c>
      <c r="CC65" s="199">
        <v>1876800</v>
      </c>
      <c r="CD65" s="199">
        <v>2109900</v>
      </c>
      <c r="CE65" s="199">
        <v>2059500</v>
      </c>
      <c r="CF65" s="199">
        <v>2042000</v>
      </c>
      <c r="CG65" s="199">
        <v>1488500</v>
      </c>
      <c r="CH65" s="199">
        <v>281500</v>
      </c>
      <c r="CI65" s="199">
        <v>165700</v>
      </c>
      <c r="CJ65" s="199">
        <v>426800</v>
      </c>
      <c r="CK65" s="214" t="s">
        <v>272</v>
      </c>
      <c r="CL65" s="214" t="s">
        <v>171</v>
      </c>
      <c r="CM65" s="211">
        <v>182</v>
      </c>
      <c r="CN65" s="215"/>
      <c r="CO65" s="215">
        <v>270</v>
      </c>
      <c r="CP65" s="216">
        <v>54</v>
      </c>
      <c r="CQ65" s="217"/>
      <c r="CR65" s="211"/>
      <c r="CS65" s="218"/>
      <c r="CT65" s="218"/>
      <c r="CU65" s="218"/>
      <c r="CV65" s="211"/>
      <c r="CW65" s="211"/>
      <c r="CX65" s="211"/>
      <c r="CY65" s="211"/>
      <c r="CZ65" s="211"/>
      <c r="DA65" s="211"/>
      <c r="DB65" s="211"/>
      <c r="DC65" s="219"/>
      <c r="DD65" s="219"/>
      <c r="DE65" s="219"/>
      <c r="DF65" s="211"/>
      <c r="DG65" s="211"/>
      <c r="DH65" s="211"/>
      <c r="DI65" s="211"/>
      <c r="DJ65" s="211"/>
      <c r="DK65" s="220" t="s">
        <v>53</v>
      </c>
      <c r="DT65" s="222"/>
    </row>
    <row r="66" spans="1:124" s="176" customFormat="1" x14ac:dyDescent="0.2">
      <c r="A66" s="158" t="s">
        <v>90</v>
      </c>
      <c r="B66" s="159" t="s">
        <v>273</v>
      </c>
      <c r="C66" s="160">
        <f>C67</f>
        <v>125</v>
      </c>
      <c r="D66" s="161">
        <f>D67</f>
        <v>427973800</v>
      </c>
      <c r="E66" s="160"/>
      <c r="F66" s="160"/>
      <c r="G66" s="160"/>
      <c r="H66" s="160">
        <f t="shared" ref="H66:AR66" si="118">H67</f>
        <v>125</v>
      </c>
      <c r="I66" s="161">
        <f t="shared" si="118"/>
        <v>5097000</v>
      </c>
      <c r="J66" s="161">
        <f t="shared" si="118"/>
        <v>397876800</v>
      </c>
      <c r="K66" s="161">
        <f t="shared" si="118"/>
        <v>402973800</v>
      </c>
      <c r="L66" s="161">
        <f t="shared" si="118"/>
        <v>5097000</v>
      </c>
      <c r="M66" s="161">
        <f t="shared" si="118"/>
        <v>397876800</v>
      </c>
      <c r="N66" s="161">
        <f t="shared" si="118"/>
        <v>402973800</v>
      </c>
      <c r="O66" s="161">
        <f t="shared" si="118"/>
        <v>0</v>
      </c>
      <c r="P66" s="162">
        <f t="shared" si="118"/>
        <v>0</v>
      </c>
      <c r="Q66" s="160">
        <f t="shared" si="118"/>
        <v>1925</v>
      </c>
      <c r="R66" s="160">
        <f t="shared" si="118"/>
        <v>5604659</v>
      </c>
      <c r="S66" s="164">
        <f t="shared" si="118"/>
        <v>0</v>
      </c>
      <c r="T66" s="164">
        <f t="shared" si="118"/>
        <v>397240800</v>
      </c>
      <c r="U66" s="164">
        <f t="shared" si="118"/>
        <v>397240800</v>
      </c>
      <c r="V66" s="160">
        <f t="shared" si="118"/>
        <v>59970</v>
      </c>
      <c r="W66" s="163">
        <f t="shared" si="118"/>
        <v>2602494</v>
      </c>
      <c r="X66" s="164">
        <f t="shared" si="118"/>
        <v>1849343</v>
      </c>
      <c r="Y66" s="161">
        <f t="shared" si="118"/>
        <v>-8401893.4699999988</v>
      </c>
      <c r="Z66" s="164">
        <f t="shared" si="118"/>
        <v>-6552550.4699999997</v>
      </c>
      <c r="AA66" s="160">
        <f t="shared" si="118"/>
        <v>38076</v>
      </c>
      <c r="AB66" s="163">
        <f t="shared" si="118"/>
        <v>1142670</v>
      </c>
      <c r="AC66" s="164">
        <f t="shared" si="118"/>
        <v>2376809</v>
      </c>
      <c r="AD66" s="164">
        <f t="shared" si="118"/>
        <v>-7407922.7199999997</v>
      </c>
      <c r="AE66" s="164">
        <f t="shared" si="118"/>
        <v>-5031113.72</v>
      </c>
      <c r="AF66" s="165">
        <f>AF67</f>
        <v>123</v>
      </c>
      <c r="AG66" s="162">
        <f t="shared" si="118"/>
        <v>4226152</v>
      </c>
      <c r="AH66" s="166">
        <f t="shared" si="118"/>
        <v>384269983.81000006</v>
      </c>
      <c r="AI66" s="166">
        <f t="shared" si="118"/>
        <v>388496135.81000006</v>
      </c>
      <c r="AJ66" s="162">
        <f t="shared" si="118"/>
        <v>4226152</v>
      </c>
      <c r="AK66" s="162">
        <f t="shared" si="118"/>
        <v>381430983.81000006</v>
      </c>
      <c r="AL66" s="162">
        <f t="shared" si="118"/>
        <v>385657135.81000006</v>
      </c>
      <c r="AM66" s="167">
        <f t="shared" si="118"/>
        <v>1603</v>
      </c>
      <c r="AN66" s="168">
        <f t="shared" si="118"/>
        <v>319102</v>
      </c>
      <c r="AO66" s="169">
        <f t="shared" si="118"/>
        <v>2839000</v>
      </c>
      <c r="AP66" s="162">
        <f t="shared" si="118"/>
        <v>1653693.5</v>
      </c>
      <c r="AQ66" s="162">
        <f t="shared" si="118"/>
        <v>313562032.66999996</v>
      </c>
      <c r="AR66" s="162">
        <f t="shared" si="118"/>
        <v>315215726.1699999</v>
      </c>
      <c r="AS66" s="162">
        <f>IF(AI66= 0,0,(AR66*100/AI66))</f>
        <v>81.137416080802652</v>
      </c>
      <c r="AT66" s="162">
        <f t="shared" ref="AT66:AV66" si="119">AT67</f>
        <v>1653693.5</v>
      </c>
      <c r="AU66" s="170">
        <f t="shared" si="119"/>
        <v>311938703.77999997</v>
      </c>
      <c r="AV66" s="162">
        <f t="shared" si="119"/>
        <v>313592397.27999997</v>
      </c>
      <c r="AW66" s="162"/>
      <c r="AX66" s="162">
        <f>IF(AL66= 0,0,(AV66*100/AL66))</f>
        <v>81.313780599795791</v>
      </c>
      <c r="AY66" s="169">
        <f>AY67</f>
        <v>1623328.8900000001</v>
      </c>
      <c r="AZ66" s="162">
        <f t="shared" ref="AZ66:BE66" si="120">AZ67</f>
        <v>1489006.9300000002</v>
      </c>
      <c r="BA66" s="162">
        <f t="shared" si="120"/>
        <v>22802610.740000002</v>
      </c>
      <c r="BB66" s="162">
        <f t="shared" si="120"/>
        <v>24291617.670000002</v>
      </c>
      <c r="BC66" s="162">
        <f t="shared" si="120"/>
        <v>1489006.9300000002</v>
      </c>
      <c r="BD66" s="170">
        <f t="shared" si="120"/>
        <v>22802610.740000002</v>
      </c>
      <c r="BE66" s="162">
        <f t="shared" si="120"/>
        <v>24291617.670000002</v>
      </c>
      <c r="BF66" s="169">
        <f>BF67</f>
        <v>0</v>
      </c>
      <c r="BG66" s="162">
        <f t="shared" ref="BG66:BI66" si="121">BG67</f>
        <v>3142700.43</v>
      </c>
      <c r="BH66" s="162">
        <f t="shared" si="121"/>
        <v>336364643.40999997</v>
      </c>
      <c r="BI66" s="162">
        <f t="shared" si="121"/>
        <v>339507343.83999997</v>
      </c>
      <c r="BJ66" s="162">
        <f t="shared" si="3"/>
        <v>87.390146914110147</v>
      </c>
      <c r="BK66" s="171"/>
      <c r="BL66" s="171"/>
      <c r="BM66" s="236"/>
      <c r="BN66" s="236"/>
      <c r="BO66" s="173">
        <f t="shared" ref="BO66:BU66" si="122">BO67</f>
        <v>2572458.5</v>
      </c>
      <c r="BP66" s="162">
        <f t="shared" si="122"/>
        <v>70707951.140000001</v>
      </c>
      <c r="BQ66" s="162">
        <f t="shared" si="122"/>
        <v>73280409.640000001</v>
      </c>
      <c r="BR66" s="162">
        <f t="shared" si="122"/>
        <v>2572458.5</v>
      </c>
      <c r="BS66" s="162">
        <f t="shared" si="122"/>
        <v>69492280.030000016</v>
      </c>
      <c r="BT66" s="162">
        <f t="shared" si="122"/>
        <v>72064738.530000016</v>
      </c>
      <c r="BU66" s="174">
        <f t="shared" si="122"/>
        <v>1215671.1099999999</v>
      </c>
      <c r="BV66" s="162"/>
      <c r="BW66" s="162"/>
      <c r="BX66" s="162">
        <f t="shared" si="17"/>
        <v>0</v>
      </c>
      <c r="BY66" s="161"/>
      <c r="BZ66" s="161"/>
      <c r="CA66" s="161"/>
      <c r="CB66" s="161"/>
      <c r="CC66" s="161"/>
      <c r="CD66" s="161"/>
      <c r="CE66" s="161"/>
      <c r="CF66" s="161"/>
      <c r="CG66" s="161"/>
      <c r="CH66" s="161"/>
      <c r="CI66" s="161"/>
      <c r="CJ66" s="161"/>
      <c r="CK66" s="175"/>
      <c r="CL66" s="175"/>
      <c r="CM66" s="148"/>
      <c r="CN66" s="237"/>
      <c r="CO66" s="237"/>
      <c r="CP66" s="238"/>
      <c r="CQ66" s="239"/>
      <c r="CR66" s="148"/>
      <c r="CS66" s="240"/>
      <c r="CT66" s="240"/>
      <c r="CU66" s="240"/>
      <c r="CV66" s="148"/>
      <c r="CW66" s="148"/>
      <c r="CX66" s="148"/>
      <c r="CY66" s="148"/>
      <c r="CZ66" s="148"/>
      <c r="DA66" s="148"/>
      <c r="DB66" s="148"/>
      <c r="DC66" s="241"/>
      <c r="DD66" s="241"/>
      <c r="DE66" s="241"/>
      <c r="DF66" s="148"/>
      <c r="DG66" s="148"/>
      <c r="DH66" s="148"/>
      <c r="DI66" s="148"/>
      <c r="DJ66" s="148"/>
      <c r="DK66" s="135"/>
      <c r="DT66" s="222"/>
    </row>
    <row r="67" spans="1:124" s="194" customFormat="1" x14ac:dyDescent="0.2">
      <c r="A67" s="293" t="s">
        <v>90</v>
      </c>
      <c r="B67" s="179" t="s">
        <v>168</v>
      </c>
      <c r="C67" s="180">
        <f>SUBTOTAL(103,C68:C192)</f>
        <v>125</v>
      </c>
      <c r="D67" s="181">
        <f>SUBTOTAL(109,D68:D192)</f>
        <v>427973800</v>
      </c>
      <c r="E67" s="182"/>
      <c r="F67" s="182"/>
      <c r="G67" s="182"/>
      <c r="H67" s="180">
        <f>SUBTOTAL(103,H68:H192)</f>
        <v>125</v>
      </c>
      <c r="I67" s="181">
        <f t="shared" ref="I67:AE67" si="123">SUBTOTAL(109,I68:I192)</f>
        <v>5097000</v>
      </c>
      <c r="J67" s="181">
        <f t="shared" si="123"/>
        <v>397876800</v>
      </c>
      <c r="K67" s="181">
        <f t="shared" si="123"/>
        <v>402973800</v>
      </c>
      <c r="L67" s="181">
        <f t="shared" si="123"/>
        <v>5097000</v>
      </c>
      <c r="M67" s="181">
        <f t="shared" si="123"/>
        <v>397876800</v>
      </c>
      <c r="N67" s="181">
        <f t="shared" si="123"/>
        <v>402973800</v>
      </c>
      <c r="O67" s="181">
        <f t="shared" si="123"/>
        <v>0</v>
      </c>
      <c r="P67" s="183">
        <f t="shared" si="123"/>
        <v>0</v>
      </c>
      <c r="Q67" s="182">
        <f t="shared" si="123"/>
        <v>1925</v>
      </c>
      <c r="R67" s="180">
        <f t="shared" si="123"/>
        <v>5604659</v>
      </c>
      <c r="S67" s="184">
        <f t="shared" si="123"/>
        <v>0</v>
      </c>
      <c r="T67" s="184">
        <f t="shared" si="123"/>
        <v>397240800</v>
      </c>
      <c r="U67" s="184">
        <f t="shared" si="123"/>
        <v>397240800</v>
      </c>
      <c r="V67" s="180">
        <f t="shared" si="123"/>
        <v>59970</v>
      </c>
      <c r="W67" s="185">
        <f t="shared" si="123"/>
        <v>2602494</v>
      </c>
      <c r="X67" s="184">
        <f t="shared" si="123"/>
        <v>1849343</v>
      </c>
      <c r="Y67" s="181">
        <f t="shared" si="123"/>
        <v>-8401893.4699999988</v>
      </c>
      <c r="Z67" s="184">
        <f t="shared" si="123"/>
        <v>-6552550.4699999997</v>
      </c>
      <c r="AA67" s="182">
        <f t="shared" si="123"/>
        <v>38076</v>
      </c>
      <c r="AB67" s="185">
        <f t="shared" si="123"/>
        <v>1142670</v>
      </c>
      <c r="AC67" s="184">
        <f t="shared" si="123"/>
        <v>2376809</v>
      </c>
      <c r="AD67" s="184">
        <f t="shared" si="123"/>
        <v>-7407922.7199999997</v>
      </c>
      <c r="AE67" s="184">
        <f t="shared" si="123"/>
        <v>-5031113.72</v>
      </c>
      <c r="AF67" s="180">
        <f>SUBTOTAL(103,Q68:Q192)</f>
        <v>123</v>
      </c>
      <c r="AG67" s="183">
        <f t="shared" ref="AG67:AR67" si="124">SUBTOTAL(109,AG68:AG192)</f>
        <v>4226152</v>
      </c>
      <c r="AH67" s="184">
        <f t="shared" si="124"/>
        <v>384269983.81000006</v>
      </c>
      <c r="AI67" s="184">
        <f t="shared" si="124"/>
        <v>388496135.81000006</v>
      </c>
      <c r="AJ67" s="183">
        <f t="shared" si="124"/>
        <v>4226152</v>
      </c>
      <c r="AK67" s="183">
        <f t="shared" si="124"/>
        <v>381430983.81000006</v>
      </c>
      <c r="AL67" s="183">
        <f t="shared" si="124"/>
        <v>385657135.81000006</v>
      </c>
      <c r="AM67" s="182">
        <f t="shared" si="124"/>
        <v>1603</v>
      </c>
      <c r="AN67" s="185">
        <f t="shared" si="124"/>
        <v>319102</v>
      </c>
      <c r="AO67" s="186">
        <f t="shared" si="124"/>
        <v>2839000</v>
      </c>
      <c r="AP67" s="183">
        <f t="shared" si="124"/>
        <v>1653693.5</v>
      </c>
      <c r="AQ67" s="183">
        <f t="shared" si="124"/>
        <v>313562032.66999996</v>
      </c>
      <c r="AR67" s="183">
        <f t="shared" si="124"/>
        <v>315215726.1699999</v>
      </c>
      <c r="AS67" s="183">
        <f>IF(AI67= 0,0,(AR67*100/AI67))</f>
        <v>81.137416080802652</v>
      </c>
      <c r="AT67" s="183">
        <f>SUBTOTAL(109,AT68:AT192)</f>
        <v>1653693.5</v>
      </c>
      <c r="AU67" s="187">
        <f>SUBTOTAL(109,AU68:AU192)</f>
        <v>311938703.77999997</v>
      </c>
      <c r="AV67" s="183">
        <f>SUBTOTAL(109,AV68:AV192)</f>
        <v>313592397.27999997</v>
      </c>
      <c r="AW67" s="183"/>
      <c r="AX67" s="183">
        <f>IF(AL67= 0,0,(AV67*100/AL67))</f>
        <v>81.313780599795791</v>
      </c>
      <c r="AY67" s="186">
        <f t="shared" ref="AY67:BI67" si="125">SUBTOTAL(109,AY68:AY192)</f>
        <v>1623328.8900000001</v>
      </c>
      <c r="AZ67" s="183">
        <f t="shared" si="125"/>
        <v>1489006.9300000002</v>
      </c>
      <c r="BA67" s="183">
        <f t="shared" si="125"/>
        <v>22802610.740000002</v>
      </c>
      <c r="BB67" s="183">
        <f t="shared" si="125"/>
        <v>24291617.670000002</v>
      </c>
      <c r="BC67" s="183">
        <f t="shared" si="125"/>
        <v>1489006.9300000002</v>
      </c>
      <c r="BD67" s="187">
        <f t="shared" si="125"/>
        <v>22802610.740000002</v>
      </c>
      <c r="BE67" s="183">
        <f t="shared" si="125"/>
        <v>24291617.670000002</v>
      </c>
      <c r="BF67" s="186">
        <f t="shared" si="125"/>
        <v>0</v>
      </c>
      <c r="BG67" s="183">
        <f t="shared" si="125"/>
        <v>3142700.43</v>
      </c>
      <c r="BH67" s="183">
        <f t="shared" si="125"/>
        <v>336364643.40999997</v>
      </c>
      <c r="BI67" s="183">
        <f t="shared" si="125"/>
        <v>339507343.83999997</v>
      </c>
      <c r="BJ67" s="183">
        <f t="shared" si="3"/>
        <v>87.390146914110147</v>
      </c>
      <c r="BK67" s="188"/>
      <c r="BL67" s="188"/>
      <c r="BM67" s="189"/>
      <c r="BN67" s="189"/>
      <c r="BO67" s="190">
        <f t="shared" ref="BO67:BU67" si="126">SUBTOTAL(109,BO68:BO192)</f>
        <v>2572458.5</v>
      </c>
      <c r="BP67" s="183">
        <f t="shared" si="126"/>
        <v>70707951.140000001</v>
      </c>
      <c r="BQ67" s="183">
        <f t="shared" si="126"/>
        <v>73280409.640000001</v>
      </c>
      <c r="BR67" s="183">
        <f t="shared" si="126"/>
        <v>2572458.5</v>
      </c>
      <c r="BS67" s="183">
        <f t="shared" si="126"/>
        <v>69492280.030000016</v>
      </c>
      <c r="BT67" s="183">
        <f t="shared" si="126"/>
        <v>72064738.530000016</v>
      </c>
      <c r="BU67" s="191">
        <f t="shared" si="126"/>
        <v>1215671.1099999999</v>
      </c>
      <c r="BV67" s="183"/>
      <c r="BW67" s="183"/>
      <c r="BX67" s="183">
        <f t="shared" si="17"/>
        <v>0</v>
      </c>
      <c r="BY67" s="181"/>
      <c r="BZ67" s="181"/>
      <c r="CA67" s="181"/>
      <c r="CB67" s="181"/>
      <c r="CC67" s="181"/>
      <c r="CD67" s="181"/>
      <c r="CE67" s="181"/>
      <c r="CF67" s="181"/>
      <c r="CG67" s="181"/>
      <c r="CH67" s="181"/>
      <c r="CI67" s="181"/>
      <c r="CJ67" s="181"/>
      <c r="CK67" s="192"/>
      <c r="CL67" s="192"/>
      <c r="CM67" s="193"/>
      <c r="CN67" s="242"/>
      <c r="CO67" s="242"/>
      <c r="CP67" s="243"/>
      <c r="CQ67" s="244"/>
      <c r="CR67" s="193"/>
      <c r="CS67" s="245"/>
      <c r="CT67" s="245"/>
      <c r="CU67" s="245"/>
      <c r="CV67" s="193"/>
      <c r="CW67" s="193"/>
      <c r="CX67" s="193"/>
      <c r="CY67" s="193"/>
      <c r="CZ67" s="193"/>
      <c r="DA67" s="193"/>
      <c r="DB67" s="193"/>
      <c r="DC67" s="246"/>
      <c r="DD67" s="246"/>
      <c r="DE67" s="246"/>
      <c r="DF67" s="193"/>
      <c r="DG67" s="193"/>
      <c r="DH67" s="193"/>
      <c r="DI67" s="193"/>
      <c r="DJ67" s="193"/>
      <c r="DK67" s="135"/>
      <c r="DT67" s="222"/>
    </row>
    <row r="68" spans="1:124" s="176" customFormat="1" ht="42" x14ac:dyDescent="0.2">
      <c r="A68" s="195" t="s">
        <v>108</v>
      </c>
      <c r="B68" s="197" t="s">
        <v>274</v>
      </c>
      <c r="C68" s="198">
        <v>1</v>
      </c>
      <c r="D68" s="199">
        <v>3840000</v>
      </c>
      <c r="E68" s="198"/>
      <c r="F68" s="198"/>
      <c r="G68" s="198" t="s">
        <v>98</v>
      </c>
      <c r="H68" s="200">
        <v>1</v>
      </c>
      <c r="I68" s="199">
        <f t="shared" ref="I68:I131" si="127">+L68</f>
        <v>0</v>
      </c>
      <c r="J68" s="199">
        <f t="shared" ref="J68:J131" si="128">+O68+M68+P68</f>
        <v>3840000</v>
      </c>
      <c r="K68" s="199">
        <f t="shared" ref="K68:K131" si="129">I68+J68</f>
        <v>3840000</v>
      </c>
      <c r="L68" s="199"/>
      <c r="M68" s="199">
        <v>3840000</v>
      </c>
      <c r="N68" s="199">
        <f t="shared" ref="N68:N131" si="130">L68+M68</f>
        <v>3840000</v>
      </c>
      <c r="O68" s="199"/>
      <c r="P68" s="201">
        <v>0</v>
      </c>
      <c r="Q68" s="202">
        <v>12</v>
      </c>
      <c r="R68" s="203">
        <v>45566</v>
      </c>
      <c r="S68" s="204"/>
      <c r="T68" s="204">
        <v>3840000</v>
      </c>
      <c r="U68" s="204">
        <f t="shared" ref="U68:U131" si="131">S68+T68</f>
        <v>3840000</v>
      </c>
      <c r="V68" s="205"/>
      <c r="W68" s="200"/>
      <c r="X68" s="201"/>
      <c r="Y68" s="201"/>
      <c r="Z68" s="201">
        <f t="shared" ref="Z68:Z131" si="132">X68+Y68</f>
        <v>0</v>
      </c>
      <c r="AA68" s="198"/>
      <c r="AB68" s="206"/>
      <c r="AC68" s="207"/>
      <c r="AD68" s="201"/>
      <c r="AE68" s="204">
        <f t="shared" ref="AE68:AE131" si="133">AC68+AD68</f>
        <v>0</v>
      </c>
      <c r="AF68" s="203">
        <f t="shared" ref="AF68:AF131" si="134">+R68</f>
        <v>45566</v>
      </c>
      <c r="AG68" s="201">
        <f t="shared" ref="AG68:AG131" si="135">+AJ68</f>
        <v>0</v>
      </c>
      <c r="AH68" s="199">
        <f t="shared" ref="AH68:AH131" si="136">+AK68+AO68</f>
        <v>3840000</v>
      </c>
      <c r="AI68" s="199">
        <f t="shared" ref="AI68:AI131" si="137">AG68+AH68</f>
        <v>3840000</v>
      </c>
      <c r="AJ68" s="201">
        <f t="shared" ref="AJ68:AK83" si="138">+S68+X68+AC68</f>
        <v>0</v>
      </c>
      <c r="AK68" s="201">
        <f t="shared" si="138"/>
        <v>3840000</v>
      </c>
      <c r="AL68" s="201">
        <f t="shared" ref="AL68:AL131" si="139">SUM(AJ68:AK68)</f>
        <v>3840000</v>
      </c>
      <c r="AM68" s="198"/>
      <c r="AN68" s="203"/>
      <c r="AO68" s="208"/>
      <c r="AP68" s="201">
        <f t="shared" ref="AP68:AP131" si="140">+AT68</f>
        <v>0</v>
      </c>
      <c r="AQ68" s="201">
        <f t="shared" ref="AQ68:AQ131" si="141">+AU68+AY68</f>
        <v>3791736.8</v>
      </c>
      <c r="AR68" s="201">
        <f t="shared" ref="AR68:AR131" si="142">SUM(AP68:AQ68)</f>
        <v>3791736.8</v>
      </c>
      <c r="AS68" s="201">
        <f t="shared" ref="AS68:AS131" si="143">IF(AI68= 0,0,(AR68*100/AI68))</f>
        <v>98.74314583333333</v>
      </c>
      <c r="AT68" s="201"/>
      <c r="AU68" s="209">
        <v>3791736.8</v>
      </c>
      <c r="AV68" s="201">
        <f t="shared" ref="AV68:AV131" si="144">SUM(AT68:AU68)</f>
        <v>3791736.8</v>
      </c>
      <c r="AW68" s="201">
        <f>+CF68*100/AL68</f>
        <v>15</v>
      </c>
      <c r="AX68" s="201">
        <f t="shared" ref="AX68:AX131" si="145">IF(AL68= 0,0,(AV68*100/AL68))</f>
        <v>98.74314583333333</v>
      </c>
      <c r="AY68" s="208"/>
      <c r="AZ68" s="201">
        <f t="shared" ref="AZ68:AZ131" si="146">+BC68</f>
        <v>0</v>
      </c>
      <c r="BA68" s="201">
        <f t="shared" ref="BA68:BA131" si="147">+BD68+BF68</f>
        <v>0</v>
      </c>
      <c r="BB68" s="201">
        <f t="shared" ref="BB68:BB131" si="148">SUM(AZ68:BA68)</f>
        <v>0</v>
      </c>
      <c r="BC68" s="201"/>
      <c r="BD68" s="223">
        <v>0</v>
      </c>
      <c r="BE68" s="201">
        <f t="shared" ref="BE68:BE131" si="149">SUM(BC68:BD68)</f>
        <v>0</v>
      </c>
      <c r="BF68" s="208"/>
      <c r="BG68" s="201">
        <f t="shared" ref="BG68:BH83" si="150">+AP68+AZ68</f>
        <v>0</v>
      </c>
      <c r="BH68" s="201">
        <f t="shared" si="150"/>
        <v>3791736.8</v>
      </c>
      <c r="BI68" s="201">
        <f t="shared" ref="BI68:BI131" si="151">SUM(BG68:BH68)</f>
        <v>3791736.8</v>
      </c>
      <c r="BJ68" s="201">
        <f t="shared" si="3"/>
        <v>98.74314583333333</v>
      </c>
      <c r="BK68" s="210">
        <v>10</v>
      </c>
      <c r="BL68" s="210">
        <v>50</v>
      </c>
      <c r="BM68" s="211"/>
      <c r="BN68" s="211"/>
      <c r="BO68" s="212">
        <f t="shared" ref="BO68:BO131" si="152">+BR68</f>
        <v>0</v>
      </c>
      <c r="BP68" s="201">
        <f t="shared" ref="BP68:BP131" si="153">+BS68+BU68</f>
        <v>48263.200000000186</v>
      </c>
      <c r="BQ68" s="201">
        <f t="shared" ref="BQ68" si="154">SUM(BO68:BP68)</f>
        <v>48263.200000000186</v>
      </c>
      <c r="BR68" s="201">
        <f>+AJ68-AT68</f>
        <v>0</v>
      </c>
      <c r="BS68" s="201">
        <f>+AK68-AU68</f>
        <v>48263.200000000186</v>
      </c>
      <c r="BT68" s="201">
        <f t="shared" ref="BT68" si="155">SUM(BR68:BS68)</f>
        <v>48263.200000000186</v>
      </c>
      <c r="BU68" s="213">
        <f>+AO68-AY68</f>
        <v>0</v>
      </c>
      <c r="BV68" s="201"/>
      <c r="BW68" s="201"/>
      <c r="BX68" s="201">
        <f t="shared" ref="BX68" si="156">SUM(BV68:BW68)</f>
        <v>0</v>
      </c>
      <c r="BY68" s="199">
        <v>38400</v>
      </c>
      <c r="BZ68" s="199">
        <v>115200</v>
      </c>
      <c r="CA68" s="199">
        <v>230400</v>
      </c>
      <c r="CB68" s="199">
        <v>307200</v>
      </c>
      <c r="CC68" s="199">
        <v>384000</v>
      </c>
      <c r="CD68" s="199">
        <v>614400</v>
      </c>
      <c r="CE68" s="199">
        <v>844800</v>
      </c>
      <c r="CF68" s="199">
        <v>576000</v>
      </c>
      <c r="CG68" s="199">
        <v>307200</v>
      </c>
      <c r="CH68" s="199">
        <v>192000</v>
      </c>
      <c r="CI68" s="199">
        <v>153600</v>
      </c>
      <c r="CJ68" s="199">
        <v>76800</v>
      </c>
      <c r="CK68" s="214" t="s">
        <v>275</v>
      </c>
      <c r="CL68" s="214" t="s">
        <v>276</v>
      </c>
      <c r="CM68" s="211">
        <v>185</v>
      </c>
      <c r="CN68" s="215"/>
      <c r="CO68" s="215"/>
      <c r="CP68" s="216"/>
      <c r="CQ68" s="217"/>
      <c r="CR68" s="211"/>
      <c r="CS68" s="218"/>
      <c r="CT68" s="218"/>
      <c r="CU68" s="218"/>
      <c r="CV68" s="211"/>
      <c r="CW68" s="211"/>
      <c r="CX68" s="211"/>
      <c r="CY68" s="211"/>
      <c r="CZ68" s="211"/>
      <c r="DA68" s="211"/>
      <c r="DB68" s="211"/>
      <c r="DC68" s="219"/>
      <c r="DD68" s="219"/>
      <c r="DE68" s="219"/>
      <c r="DF68" s="211"/>
      <c r="DG68" s="211"/>
      <c r="DH68" s="211"/>
      <c r="DI68" s="211"/>
      <c r="DJ68" s="211"/>
      <c r="DK68" s="220" t="s">
        <v>32</v>
      </c>
      <c r="DT68" s="222"/>
    </row>
    <row r="69" spans="1:124" s="176" customFormat="1" ht="63" x14ac:dyDescent="0.2">
      <c r="A69" s="195" t="s">
        <v>108</v>
      </c>
      <c r="B69" s="197" t="s">
        <v>277</v>
      </c>
      <c r="C69" s="198">
        <v>1</v>
      </c>
      <c r="D69" s="199">
        <v>700000</v>
      </c>
      <c r="E69" s="198" t="s">
        <v>278</v>
      </c>
      <c r="F69" s="198" t="s">
        <v>279</v>
      </c>
      <c r="G69" s="198" t="s">
        <v>98</v>
      </c>
      <c r="H69" s="200">
        <v>1</v>
      </c>
      <c r="I69" s="199">
        <f t="shared" si="127"/>
        <v>0</v>
      </c>
      <c r="J69" s="199">
        <f t="shared" si="128"/>
        <v>700000</v>
      </c>
      <c r="K69" s="199">
        <f t="shared" si="129"/>
        <v>700000</v>
      </c>
      <c r="L69" s="199"/>
      <c r="M69" s="199">
        <v>700000</v>
      </c>
      <c r="N69" s="199">
        <f t="shared" si="130"/>
        <v>700000</v>
      </c>
      <c r="O69" s="199"/>
      <c r="P69" s="201">
        <v>0</v>
      </c>
      <c r="Q69" s="202">
        <v>12</v>
      </c>
      <c r="R69" s="203">
        <v>45566</v>
      </c>
      <c r="S69" s="204"/>
      <c r="T69" s="204">
        <v>700000</v>
      </c>
      <c r="U69" s="204">
        <f t="shared" si="131"/>
        <v>700000</v>
      </c>
      <c r="V69" s="205"/>
      <c r="W69" s="200"/>
      <c r="X69" s="201"/>
      <c r="Y69" s="201"/>
      <c r="Z69" s="201">
        <f t="shared" si="132"/>
        <v>0</v>
      </c>
      <c r="AA69" s="198"/>
      <c r="AB69" s="206"/>
      <c r="AC69" s="207"/>
      <c r="AD69" s="201"/>
      <c r="AE69" s="204">
        <f t="shared" si="133"/>
        <v>0</v>
      </c>
      <c r="AF69" s="203">
        <f t="shared" si="134"/>
        <v>45566</v>
      </c>
      <c r="AG69" s="201">
        <f t="shared" si="135"/>
        <v>0</v>
      </c>
      <c r="AH69" s="199">
        <f t="shared" si="136"/>
        <v>700000</v>
      </c>
      <c r="AI69" s="199">
        <f t="shared" si="137"/>
        <v>700000</v>
      </c>
      <c r="AJ69" s="201">
        <f t="shared" si="138"/>
        <v>0</v>
      </c>
      <c r="AK69" s="201">
        <f t="shared" si="138"/>
        <v>700000</v>
      </c>
      <c r="AL69" s="201">
        <f t="shared" si="139"/>
        <v>700000</v>
      </c>
      <c r="AM69" s="198"/>
      <c r="AN69" s="203"/>
      <c r="AO69" s="208"/>
      <c r="AP69" s="201">
        <f t="shared" si="140"/>
        <v>0</v>
      </c>
      <c r="AQ69" s="201">
        <f t="shared" si="141"/>
        <v>699063.64</v>
      </c>
      <c r="AR69" s="201">
        <f t="shared" si="142"/>
        <v>699063.64</v>
      </c>
      <c r="AS69" s="201">
        <f t="shared" si="143"/>
        <v>99.866234285714285</v>
      </c>
      <c r="AT69" s="201"/>
      <c r="AU69" s="223">
        <v>699063.64</v>
      </c>
      <c r="AV69" s="201">
        <f t="shared" si="144"/>
        <v>699063.64</v>
      </c>
      <c r="AW69" s="201">
        <f t="shared" ref="AW69:AW132" si="157">+CF69*100/AL69</f>
        <v>0</v>
      </c>
      <c r="AX69" s="201">
        <f t="shared" si="145"/>
        <v>99.866234285714285</v>
      </c>
      <c r="AY69" s="208"/>
      <c r="AZ69" s="201">
        <f t="shared" si="146"/>
        <v>0</v>
      </c>
      <c r="BA69" s="201">
        <f t="shared" si="147"/>
        <v>0</v>
      </c>
      <c r="BB69" s="201">
        <f t="shared" si="148"/>
        <v>0</v>
      </c>
      <c r="BC69" s="201"/>
      <c r="BD69" s="223">
        <v>0</v>
      </c>
      <c r="BE69" s="201">
        <f t="shared" si="149"/>
        <v>0</v>
      </c>
      <c r="BF69" s="208"/>
      <c r="BG69" s="201">
        <f t="shared" si="150"/>
        <v>0</v>
      </c>
      <c r="BH69" s="201">
        <f t="shared" si="150"/>
        <v>699063.64</v>
      </c>
      <c r="BI69" s="201">
        <f t="shared" si="151"/>
        <v>699063.64</v>
      </c>
      <c r="BJ69" s="201">
        <f t="shared" si="3"/>
        <v>99.866234285714285</v>
      </c>
      <c r="BK69" s="210">
        <v>89</v>
      </c>
      <c r="BL69" s="210">
        <v>60</v>
      </c>
      <c r="BM69" s="211"/>
      <c r="BN69" s="211"/>
      <c r="BO69" s="212">
        <f t="shared" si="152"/>
        <v>0</v>
      </c>
      <c r="BP69" s="201">
        <f t="shared" si="153"/>
        <v>936.35999999998603</v>
      </c>
      <c r="BQ69" s="201">
        <f t="shared" ref="BQ69:BQ132" si="158">SUM(BO69:BP69)</f>
        <v>936.35999999998603</v>
      </c>
      <c r="BR69" s="201">
        <f t="shared" ref="BR69:BS84" si="159">+AJ69-AT69</f>
        <v>0</v>
      </c>
      <c r="BS69" s="201">
        <f t="shared" si="159"/>
        <v>936.35999999998603</v>
      </c>
      <c r="BT69" s="201">
        <f t="shared" ref="BT69:BT132" si="160">SUM(BR69:BS69)</f>
        <v>936.35999999998603</v>
      </c>
      <c r="BU69" s="213">
        <f t="shared" ref="BU69:BU132" si="161">+AO69-AY69</f>
        <v>0</v>
      </c>
      <c r="BV69" s="201"/>
      <c r="BW69" s="201"/>
      <c r="BX69" s="201">
        <f t="shared" ref="BX69:BX132" si="162">SUM(BV69:BW69)</f>
        <v>0</v>
      </c>
      <c r="BY69" s="199">
        <v>49000</v>
      </c>
      <c r="BZ69" s="199">
        <v>210000</v>
      </c>
      <c r="CA69" s="199">
        <v>364000</v>
      </c>
      <c r="CB69" s="199">
        <v>77000</v>
      </c>
      <c r="CC69" s="199">
        <v>0</v>
      </c>
      <c r="CD69" s="199">
        <v>0</v>
      </c>
      <c r="CE69" s="199">
        <v>0</v>
      </c>
      <c r="CF69" s="199">
        <v>0</v>
      </c>
      <c r="CG69" s="199">
        <v>0</v>
      </c>
      <c r="CH69" s="199">
        <v>0</v>
      </c>
      <c r="CI69" s="199">
        <v>0</v>
      </c>
      <c r="CJ69" s="199">
        <v>0</v>
      </c>
      <c r="CK69" s="214" t="s">
        <v>280</v>
      </c>
      <c r="CL69" s="214" t="s">
        <v>276</v>
      </c>
      <c r="CM69" s="211">
        <v>185</v>
      </c>
      <c r="CN69" s="215"/>
      <c r="CO69" s="215"/>
      <c r="CP69" s="216"/>
      <c r="CQ69" s="217"/>
      <c r="CR69" s="211"/>
      <c r="CS69" s="218"/>
      <c r="CT69" s="218"/>
      <c r="CU69" s="218"/>
      <c r="CV69" s="211"/>
      <c r="CW69" s="211"/>
      <c r="CX69" s="211"/>
      <c r="CY69" s="211"/>
      <c r="CZ69" s="211"/>
      <c r="DA69" s="211"/>
      <c r="DB69" s="211"/>
      <c r="DC69" s="219"/>
      <c r="DD69" s="219"/>
      <c r="DE69" s="219"/>
      <c r="DF69" s="211"/>
      <c r="DG69" s="211"/>
      <c r="DH69" s="211"/>
      <c r="DI69" s="211"/>
      <c r="DJ69" s="211"/>
      <c r="DK69" s="220" t="s">
        <v>32</v>
      </c>
      <c r="DT69" s="222"/>
    </row>
    <row r="70" spans="1:124" s="176" customFormat="1" ht="63" x14ac:dyDescent="0.2">
      <c r="A70" s="195" t="s">
        <v>108</v>
      </c>
      <c r="B70" s="197" t="s">
        <v>281</v>
      </c>
      <c r="C70" s="198">
        <v>1</v>
      </c>
      <c r="D70" s="199">
        <v>650000</v>
      </c>
      <c r="E70" s="198" t="s">
        <v>278</v>
      </c>
      <c r="F70" s="198" t="s">
        <v>279</v>
      </c>
      <c r="G70" s="198" t="s">
        <v>98</v>
      </c>
      <c r="H70" s="200">
        <v>1</v>
      </c>
      <c r="I70" s="199">
        <f t="shared" si="127"/>
        <v>0</v>
      </c>
      <c r="J70" s="199">
        <f t="shared" si="128"/>
        <v>650000</v>
      </c>
      <c r="K70" s="199">
        <f t="shared" si="129"/>
        <v>650000</v>
      </c>
      <c r="L70" s="199"/>
      <c r="M70" s="199">
        <v>650000</v>
      </c>
      <c r="N70" s="199">
        <f t="shared" si="130"/>
        <v>650000</v>
      </c>
      <c r="O70" s="199"/>
      <c r="P70" s="201">
        <v>0</v>
      </c>
      <c r="Q70" s="202">
        <v>12</v>
      </c>
      <c r="R70" s="203">
        <v>45566</v>
      </c>
      <c r="S70" s="204"/>
      <c r="T70" s="204">
        <v>650000</v>
      </c>
      <c r="U70" s="204">
        <f t="shared" si="131"/>
        <v>650000</v>
      </c>
      <c r="V70" s="205"/>
      <c r="W70" s="200"/>
      <c r="X70" s="201"/>
      <c r="Y70" s="201"/>
      <c r="Z70" s="201">
        <f t="shared" si="132"/>
        <v>0</v>
      </c>
      <c r="AA70" s="198"/>
      <c r="AB70" s="206"/>
      <c r="AC70" s="207"/>
      <c r="AD70" s="201"/>
      <c r="AE70" s="204">
        <f t="shared" si="133"/>
        <v>0</v>
      </c>
      <c r="AF70" s="203">
        <f t="shared" si="134"/>
        <v>45566</v>
      </c>
      <c r="AG70" s="201">
        <f t="shared" si="135"/>
        <v>0</v>
      </c>
      <c r="AH70" s="199">
        <f t="shared" si="136"/>
        <v>650000</v>
      </c>
      <c r="AI70" s="199">
        <f t="shared" si="137"/>
        <v>650000</v>
      </c>
      <c r="AJ70" s="201">
        <f t="shared" si="138"/>
        <v>0</v>
      </c>
      <c r="AK70" s="201">
        <f t="shared" si="138"/>
        <v>650000</v>
      </c>
      <c r="AL70" s="201">
        <f t="shared" si="139"/>
        <v>650000</v>
      </c>
      <c r="AM70" s="198"/>
      <c r="AN70" s="203"/>
      <c r="AO70" s="208"/>
      <c r="AP70" s="201">
        <f t="shared" si="140"/>
        <v>0</v>
      </c>
      <c r="AQ70" s="201">
        <f t="shared" si="141"/>
        <v>649625.5</v>
      </c>
      <c r="AR70" s="201">
        <f t="shared" si="142"/>
        <v>649625.5</v>
      </c>
      <c r="AS70" s="201">
        <f t="shared" si="143"/>
        <v>99.942384615384611</v>
      </c>
      <c r="AT70" s="201"/>
      <c r="AU70" s="223">
        <v>649625.5</v>
      </c>
      <c r="AV70" s="201">
        <f t="shared" si="144"/>
        <v>649625.5</v>
      </c>
      <c r="AW70" s="201">
        <f t="shared" si="157"/>
        <v>0</v>
      </c>
      <c r="AX70" s="201">
        <f t="shared" si="145"/>
        <v>99.942384615384611</v>
      </c>
      <c r="AY70" s="208"/>
      <c r="AZ70" s="201">
        <f t="shared" si="146"/>
        <v>0</v>
      </c>
      <c r="BA70" s="201">
        <f t="shared" si="147"/>
        <v>0</v>
      </c>
      <c r="BB70" s="201">
        <f t="shared" si="148"/>
        <v>0</v>
      </c>
      <c r="BC70" s="201"/>
      <c r="BD70" s="223">
        <v>0</v>
      </c>
      <c r="BE70" s="201">
        <f t="shared" si="149"/>
        <v>0</v>
      </c>
      <c r="BF70" s="208"/>
      <c r="BG70" s="201">
        <f t="shared" si="150"/>
        <v>0</v>
      </c>
      <c r="BH70" s="201">
        <f t="shared" si="150"/>
        <v>649625.5</v>
      </c>
      <c r="BI70" s="201">
        <f t="shared" si="151"/>
        <v>649625.5</v>
      </c>
      <c r="BJ70" s="201">
        <f t="shared" si="3"/>
        <v>99.942384615384611</v>
      </c>
      <c r="BK70" s="210">
        <v>89</v>
      </c>
      <c r="BL70" s="210">
        <v>40</v>
      </c>
      <c r="BM70" s="211"/>
      <c r="BN70" s="211"/>
      <c r="BO70" s="212">
        <f t="shared" si="152"/>
        <v>0</v>
      </c>
      <c r="BP70" s="201">
        <f t="shared" si="153"/>
        <v>374.5</v>
      </c>
      <c r="BQ70" s="201">
        <f t="shared" si="158"/>
        <v>374.5</v>
      </c>
      <c r="BR70" s="201">
        <f t="shared" si="159"/>
        <v>0</v>
      </c>
      <c r="BS70" s="201">
        <f t="shared" si="159"/>
        <v>374.5</v>
      </c>
      <c r="BT70" s="201">
        <f t="shared" si="160"/>
        <v>374.5</v>
      </c>
      <c r="BU70" s="213">
        <f t="shared" si="161"/>
        <v>0</v>
      </c>
      <c r="BV70" s="201"/>
      <c r="BW70" s="201"/>
      <c r="BX70" s="201">
        <f t="shared" si="162"/>
        <v>0</v>
      </c>
      <c r="BY70" s="199">
        <v>45500</v>
      </c>
      <c r="BZ70" s="199">
        <v>195000</v>
      </c>
      <c r="CA70" s="199">
        <v>338000</v>
      </c>
      <c r="CB70" s="199">
        <v>71500</v>
      </c>
      <c r="CC70" s="199">
        <v>0</v>
      </c>
      <c r="CD70" s="199">
        <v>0</v>
      </c>
      <c r="CE70" s="199">
        <v>0</v>
      </c>
      <c r="CF70" s="199">
        <v>0</v>
      </c>
      <c r="CG70" s="199">
        <v>0</v>
      </c>
      <c r="CH70" s="199">
        <v>0</v>
      </c>
      <c r="CI70" s="199">
        <v>0</v>
      </c>
      <c r="CJ70" s="199">
        <v>0</v>
      </c>
      <c r="CK70" s="214" t="s">
        <v>282</v>
      </c>
      <c r="CL70" s="214" t="s">
        <v>276</v>
      </c>
      <c r="CM70" s="211">
        <v>185</v>
      </c>
      <c r="CN70" s="215"/>
      <c r="CO70" s="215"/>
      <c r="CP70" s="216"/>
      <c r="CQ70" s="217"/>
      <c r="CR70" s="211"/>
      <c r="CS70" s="218"/>
      <c r="CT70" s="218"/>
      <c r="CU70" s="218"/>
      <c r="CV70" s="211"/>
      <c r="CW70" s="211"/>
      <c r="CX70" s="211"/>
      <c r="CY70" s="211"/>
      <c r="CZ70" s="211"/>
      <c r="DA70" s="211"/>
      <c r="DB70" s="211"/>
      <c r="DC70" s="219"/>
      <c r="DD70" s="219"/>
      <c r="DE70" s="219"/>
      <c r="DF70" s="211"/>
      <c r="DG70" s="211"/>
      <c r="DH70" s="211"/>
      <c r="DI70" s="211"/>
      <c r="DJ70" s="211"/>
      <c r="DK70" s="220" t="s">
        <v>32</v>
      </c>
      <c r="DT70" s="222"/>
    </row>
    <row r="71" spans="1:124" s="176" customFormat="1" ht="63" x14ac:dyDescent="0.2">
      <c r="A71" s="195" t="s">
        <v>108</v>
      </c>
      <c r="B71" s="197" t="s">
        <v>283</v>
      </c>
      <c r="C71" s="198">
        <v>1</v>
      </c>
      <c r="D71" s="199">
        <v>590000</v>
      </c>
      <c r="E71" s="198" t="s">
        <v>284</v>
      </c>
      <c r="F71" s="198" t="s">
        <v>285</v>
      </c>
      <c r="G71" s="198" t="s">
        <v>98</v>
      </c>
      <c r="H71" s="200">
        <v>1</v>
      </c>
      <c r="I71" s="199">
        <f t="shared" si="127"/>
        <v>0</v>
      </c>
      <c r="J71" s="199">
        <f t="shared" si="128"/>
        <v>590000</v>
      </c>
      <c r="K71" s="199">
        <f t="shared" si="129"/>
        <v>590000</v>
      </c>
      <c r="L71" s="199"/>
      <c r="M71" s="199">
        <v>590000</v>
      </c>
      <c r="N71" s="199">
        <f t="shared" si="130"/>
        <v>590000</v>
      </c>
      <c r="O71" s="199"/>
      <c r="P71" s="201">
        <v>0</v>
      </c>
      <c r="Q71" s="202">
        <v>12</v>
      </c>
      <c r="R71" s="203">
        <v>45566</v>
      </c>
      <c r="S71" s="204"/>
      <c r="T71" s="204">
        <v>590000</v>
      </c>
      <c r="U71" s="204">
        <f t="shared" si="131"/>
        <v>590000</v>
      </c>
      <c r="V71" s="205"/>
      <c r="W71" s="200"/>
      <c r="X71" s="201"/>
      <c r="Y71" s="201"/>
      <c r="Z71" s="201">
        <f t="shared" si="132"/>
        <v>0</v>
      </c>
      <c r="AA71" s="198"/>
      <c r="AB71" s="206"/>
      <c r="AC71" s="207"/>
      <c r="AD71" s="201"/>
      <c r="AE71" s="204">
        <f t="shared" si="133"/>
        <v>0</v>
      </c>
      <c r="AF71" s="203">
        <f t="shared" si="134"/>
        <v>45566</v>
      </c>
      <c r="AG71" s="201">
        <f t="shared" si="135"/>
        <v>0</v>
      </c>
      <c r="AH71" s="199">
        <f t="shared" si="136"/>
        <v>590000</v>
      </c>
      <c r="AI71" s="199">
        <f t="shared" si="137"/>
        <v>590000</v>
      </c>
      <c r="AJ71" s="201">
        <f t="shared" si="138"/>
        <v>0</v>
      </c>
      <c r="AK71" s="201">
        <f t="shared" si="138"/>
        <v>590000</v>
      </c>
      <c r="AL71" s="201">
        <f t="shared" si="139"/>
        <v>590000</v>
      </c>
      <c r="AM71" s="198"/>
      <c r="AN71" s="203"/>
      <c r="AO71" s="208"/>
      <c r="AP71" s="201">
        <f t="shared" si="140"/>
        <v>0</v>
      </c>
      <c r="AQ71" s="201">
        <f t="shared" si="141"/>
        <v>575547.1</v>
      </c>
      <c r="AR71" s="201">
        <f t="shared" si="142"/>
        <v>575547.1</v>
      </c>
      <c r="AS71" s="201">
        <f t="shared" si="143"/>
        <v>97.550355932203388</v>
      </c>
      <c r="AT71" s="201"/>
      <c r="AU71" s="223">
        <v>575547.1</v>
      </c>
      <c r="AV71" s="201">
        <f t="shared" si="144"/>
        <v>575547.1</v>
      </c>
      <c r="AW71" s="201">
        <f t="shared" si="157"/>
        <v>0</v>
      </c>
      <c r="AX71" s="201">
        <f t="shared" si="145"/>
        <v>97.550355932203388</v>
      </c>
      <c r="AY71" s="208"/>
      <c r="AZ71" s="201">
        <f t="shared" si="146"/>
        <v>0</v>
      </c>
      <c r="BA71" s="201">
        <f t="shared" si="147"/>
        <v>0</v>
      </c>
      <c r="BB71" s="201">
        <f t="shared" si="148"/>
        <v>0</v>
      </c>
      <c r="BC71" s="201"/>
      <c r="BD71" s="223">
        <v>0</v>
      </c>
      <c r="BE71" s="201">
        <f t="shared" si="149"/>
        <v>0</v>
      </c>
      <c r="BF71" s="208"/>
      <c r="BG71" s="201">
        <f t="shared" si="150"/>
        <v>0</v>
      </c>
      <c r="BH71" s="201">
        <f t="shared" si="150"/>
        <v>575547.1</v>
      </c>
      <c r="BI71" s="201">
        <f t="shared" si="151"/>
        <v>575547.1</v>
      </c>
      <c r="BJ71" s="201">
        <f t="shared" si="3"/>
        <v>97.550355932203388</v>
      </c>
      <c r="BK71" s="210">
        <v>89</v>
      </c>
      <c r="BL71" s="210">
        <v>85</v>
      </c>
      <c r="BM71" s="211"/>
      <c r="BN71" s="211"/>
      <c r="BO71" s="212">
        <f t="shared" si="152"/>
        <v>0</v>
      </c>
      <c r="BP71" s="201">
        <f t="shared" si="153"/>
        <v>14452.900000000023</v>
      </c>
      <c r="BQ71" s="201">
        <f t="shared" si="158"/>
        <v>14452.900000000023</v>
      </c>
      <c r="BR71" s="201">
        <f t="shared" si="159"/>
        <v>0</v>
      </c>
      <c r="BS71" s="201">
        <f t="shared" si="159"/>
        <v>14452.900000000023</v>
      </c>
      <c r="BT71" s="201">
        <f t="shared" si="160"/>
        <v>14452.900000000023</v>
      </c>
      <c r="BU71" s="213">
        <f t="shared" si="161"/>
        <v>0</v>
      </c>
      <c r="BV71" s="201"/>
      <c r="BW71" s="201"/>
      <c r="BX71" s="201">
        <f t="shared" si="162"/>
        <v>0</v>
      </c>
      <c r="BY71" s="199">
        <v>41300</v>
      </c>
      <c r="BZ71" s="199">
        <v>177000</v>
      </c>
      <c r="CA71" s="199">
        <v>306800</v>
      </c>
      <c r="CB71" s="199">
        <v>64900</v>
      </c>
      <c r="CC71" s="199">
        <v>0</v>
      </c>
      <c r="CD71" s="199">
        <v>0</v>
      </c>
      <c r="CE71" s="199">
        <v>0</v>
      </c>
      <c r="CF71" s="199">
        <v>0</v>
      </c>
      <c r="CG71" s="199">
        <v>0</v>
      </c>
      <c r="CH71" s="199">
        <v>0</v>
      </c>
      <c r="CI71" s="199">
        <v>0</v>
      </c>
      <c r="CJ71" s="199">
        <v>0</v>
      </c>
      <c r="CK71" s="214" t="s">
        <v>286</v>
      </c>
      <c r="CL71" s="214" t="s">
        <v>276</v>
      </c>
      <c r="CM71" s="211">
        <v>185</v>
      </c>
      <c r="CN71" s="215"/>
      <c r="CO71" s="215"/>
      <c r="CP71" s="216"/>
      <c r="CQ71" s="217"/>
      <c r="CR71" s="211"/>
      <c r="CS71" s="218"/>
      <c r="CT71" s="218"/>
      <c r="CU71" s="218"/>
      <c r="CV71" s="211"/>
      <c r="CW71" s="211"/>
      <c r="CX71" s="211"/>
      <c r="CY71" s="211"/>
      <c r="CZ71" s="211"/>
      <c r="DA71" s="211"/>
      <c r="DB71" s="211"/>
      <c r="DC71" s="219"/>
      <c r="DD71" s="219"/>
      <c r="DE71" s="219"/>
      <c r="DF71" s="211"/>
      <c r="DG71" s="211"/>
      <c r="DH71" s="211"/>
      <c r="DI71" s="211"/>
      <c r="DJ71" s="211"/>
      <c r="DK71" s="220" t="s">
        <v>32</v>
      </c>
      <c r="DT71" s="222"/>
    </row>
    <row r="72" spans="1:124" s="176" customFormat="1" ht="63" x14ac:dyDescent="0.2">
      <c r="A72" s="195" t="s">
        <v>108</v>
      </c>
      <c r="B72" s="197" t="s">
        <v>287</v>
      </c>
      <c r="C72" s="198">
        <v>1</v>
      </c>
      <c r="D72" s="199">
        <v>940000</v>
      </c>
      <c r="E72" s="198" t="s">
        <v>288</v>
      </c>
      <c r="F72" s="198" t="s">
        <v>285</v>
      </c>
      <c r="G72" s="198" t="s">
        <v>98</v>
      </c>
      <c r="H72" s="200">
        <v>1</v>
      </c>
      <c r="I72" s="199">
        <f t="shared" si="127"/>
        <v>0</v>
      </c>
      <c r="J72" s="199">
        <f t="shared" si="128"/>
        <v>940000</v>
      </c>
      <c r="K72" s="199">
        <f t="shared" si="129"/>
        <v>940000</v>
      </c>
      <c r="L72" s="199"/>
      <c r="M72" s="199">
        <v>940000</v>
      </c>
      <c r="N72" s="199">
        <f t="shared" si="130"/>
        <v>940000</v>
      </c>
      <c r="O72" s="199"/>
      <c r="P72" s="201">
        <v>0</v>
      </c>
      <c r="Q72" s="202">
        <v>12</v>
      </c>
      <c r="R72" s="203">
        <v>45566</v>
      </c>
      <c r="S72" s="204"/>
      <c r="T72" s="204">
        <v>940000</v>
      </c>
      <c r="U72" s="204">
        <f t="shared" si="131"/>
        <v>940000</v>
      </c>
      <c r="V72" s="205"/>
      <c r="W72" s="200"/>
      <c r="X72" s="201"/>
      <c r="Y72" s="201"/>
      <c r="Z72" s="201">
        <f t="shared" si="132"/>
        <v>0</v>
      </c>
      <c r="AA72" s="198"/>
      <c r="AB72" s="206"/>
      <c r="AC72" s="207"/>
      <c r="AD72" s="201"/>
      <c r="AE72" s="204">
        <f t="shared" si="133"/>
        <v>0</v>
      </c>
      <c r="AF72" s="203">
        <f t="shared" si="134"/>
        <v>45566</v>
      </c>
      <c r="AG72" s="201">
        <f t="shared" si="135"/>
        <v>0</v>
      </c>
      <c r="AH72" s="199">
        <f t="shared" si="136"/>
        <v>940000</v>
      </c>
      <c r="AI72" s="199">
        <f t="shared" si="137"/>
        <v>940000</v>
      </c>
      <c r="AJ72" s="201">
        <f t="shared" si="138"/>
        <v>0</v>
      </c>
      <c r="AK72" s="201">
        <f t="shared" si="138"/>
        <v>940000</v>
      </c>
      <c r="AL72" s="201">
        <f t="shared" si="139"/>
        <v>940000</v>
      </c>
      <c r="AM72" s="198"/>
      <c r="AN72" s="203"/>
      <c r="AO72" s="208"/>
      <c r="AP72" s="201">
        <f t="shared" si="140"/>
        <v>0</v>
      </c>
      <c r="AQ72" s="201">
        <f t="shared" si="141"/>
        <v>937141.85</v>
      </c>
      <c r="AR72" s="201">
        <f t="shared" si="142"/>
        <v>937141.85</v>
      </c>
      <c r="AS72" s="201">
        <f t="shared" si="143"/>
        <v>99.695941489361701</v>
      </c>
      <c r="AT72" s="201"/>
      <c r="AU72" s="223">
        <v>937141.85</v>
      </c>
      <c r="AV72" s="201">
        <f t="shared" si="144"/>
        <v>937141.85</v>
      </c>
      <c r="AW72" s="201">
        <f t="shared" si="157"/>
        <v>0</v>
      </c>
      <c r="AX72" s="201">
        <f t="shared" si="145"/>
        <v>99.695941489361701</v>
      </c>
      <c r="AY72" s="208"/>
      <c r="AZ72" s="201">
        <f t="shared" si="146"/>
        <v>0</v>
      </c>
      <c r="BA72" s="201">
        <f t="shared" si="147"/>
        <v>0</v>
      </c>
      <c r="BB72" s="201">
        <f t="shared" si="148"/>
        <v>0</v>
      </c>
      <c r="BC72" s="201"/>
      <c r="BD72" s="223">
        <v>0</v>
      </c>
      <c r="BE72" s="201">
        <f t="shared" si="149"/>
        <v>0</v>
      </c>
      <c r="BF72" s="208"/>
      <c r="BG72" s="201">
        <f t="shared" si="150"/>
        <v>0</v>
      </c>
      <c r="BH72" s="201">
        <f t="shared" si="150"/>
        <v>937141.85</v>
      </c>
      <c r="BI72" s="201">
        <f t="shared" si="151"/>
        <v>937141.85</v>
      </c>
      <c r="BJ72" s="201">
        <f t="shared" ref="BJ72:BJ135" si="163">+BI72*100/AI72</f>
        <v>99.695941489361701</v>
      </c>
      <c r="BK72" s="210">
        <v>89</v>
      </c>
      <c r="BL72" s="210">
        <v>100</v>
      </c>
      <c r="BM72" s="211"/>
      <c r="BN72" s="211"/>
      <c r="BO72" s="212">
        <f t="shared" si="152"/>
        <v>0</v>
      </c>
      <c r="BP72" s="201">
        <f t="shared" si="153"/>
        <v>2858.1500000000233</v>
      </c>
      <c r="BQ72" s="201">
        <f t="shared" si="158"/>
        <v>2858.1500000000233</v>
      </c>
      <c r="BR72" s="201">
        <f t="shared" si="159"/>
        <v>0</v>
      </c>
      <c r="BS72" s="201">
        <f t="shared" si="159"/>
        <v>2858.1500000000233</v>
      </c>
      <c r="BT72" s="201">
        <f t="shared" si="160"/>
        <v>2858.1500000000233</v>
      </c>
      <c r="BU72" s="213">
        <f t="shared" si="161"/>
        <v>0</v>
      </c>
      <c r="BV72" s="201"/>
      <c r="BW72" s="201"/>
      <c r="BX72" s="201">
        <f t="shared" si="162"/>
        <v>0</v>
      </c>
      <c r="BY72" s="199">
        <v>65800</v>
      </c>
      <c r="BZ72" s="199">
        <v>282000</v>
      </c>
      <c r="CA72" s="199">
        <v>488800</v>
      </c>
      <c r="CB72" s="199">
        <v>103400</v>
      </c>
      <c r="CC72" s="199">
        <v>0</v>
      </c>
      <c r="CD72" s="199">
        <v>0</v>
      </c>
      <c r="CE72" s="199">
        <v>0</v>
      </c>
      <c r="CF72" s="199">
        <v>0</v>
      </c>
      <c r="CG72" s="199">
        <v>0</v>
      </c>
      <c r="CH72" s="199">
        <v>0</v>
      </c>
      <c r="CI72" s="199">
        <v>0</v>
      </c>
      <c r="CJ72" s="199">
        <v>0</v>
      </c>
      <c r="CK72" s="214" t="s">
        <v>289</v>
      </c>
      <c r="CL72" s="214" t="s">
        <v>276</v>
      </c>
      <c r="CM72" s="211">
        <v>185</v>
      </c>
      <c r="CN72" s="215"/>
      <c r="CO72" s="215"/>
      <c r="CP72" s="216"/>
      <c r="CQ72" s="217"/>
      <c r="CR72" s="211"/>
      <c r="CS72" s="218"/>
      <c r="CT72" s="218"/>
      <c r="CU72" s="218"/>
      <c r="CV72" s="211"/>
      <c r="CW72" s="211"/>
      <c r="CX72" s="211"/>
      <c r="CY72" s="211"/>
      <c r="CZ72" s="211"/>
      <c r="DA72" s="211"/>
      <c r="DB72" s="211"/>
      <c r="DC72" s="219"/>
      <c r="DD72" s="219"/>
      <c r="DE72" s="219"/>
      <c r="DF72" s="211"/>
      <c r="DG72" s="211"/>
      <c r="DH72" s="211"/>
      <c r="DI72" s="211"/>
      <c r="DJ72" s="211"/>
      <c r="DK72" s="220" t="s">
        <v>32</v>
      </c>
      <c r="DT72" s="222"/>
    </row>
    <row r="73" spans="1:124" s="176" customFormat="1" ht="63" x14ac:dyDescent="0.2">
      <c r="A73" s="195" t="s">
        <v>108</v>
      </c>
      <c r="B73" s="197" t="s">
        <v>290</v>
      </c>
      <c r="C73" s="198">
        <v>1</v>
      </c>
      <c r="D73" s="199">
        <v>770000</v>
      </c>
      <c r="E73" s="198" t="s">
        <v>288</v>
      </c>
      <c r="F73" s="198" t="s">
        <v>285</v>
      </c>
      <c r="G73" s="198" t="s">
        <v>98</v>
      </c>
      <c r="H73" s="200">
        <v>1</v>
      </c>
      <c r="I73" s="199">
        <f t="shared" si="127"/>
        <v>0</v>
      </c>
      <c r="J73" s="199">
        <f t="shared" si="128"/>
        <v>770000</v>
      </c>
      <c r="K73" s="199">
        <f t="shared" si="129"/>
        <v>770000</v>
      </c>
      <c r="L73" s="199">
        <v>0</v>
      </c>
      <c r="M73" s="199">
        <v>770000</v>
      </c>
      <c r="N73" s="199">
        <f t="shared" si="130"/>
        <v>770000</v>
      </c>
      <c r="O73" s="199"/>
      <c r="P73" s="201">
        <v>0</v>
      </c>
      <c r="Q73" s="202">
        <v>12</v>
      </c>
      <c r="R73" s="203">
        <v>45566</v>
      </c>
      <c r="S73" s="204"/>
      <c r="T73" s="204">
        <v>770000</v>
      </c>
      <c r="U73" s="204">
        <f t="shared" si="131"/>
        <v>770000</v>
      </c>
      <c r="V73" s="205"/>
      <c r="W73" s="200"/>
      <c r="X73" s="201"/>
      <c r="Y73" s="201"/>
      <c r="Z73" s="201">
        <f t="shared" si="132"/>
        <v>0</v>
      </c>
      <c r="AA73" s="198"/>
      <c r="AB73" s="206"/>
      <c r="AC73" s="207"/>
      <c r="AD73" s="201"/>
      <c r="AE73" s="204">
        <f t="shared" si="133"/>
        <v>0</v>
      </c>
      <c r="AF73" s="203">
        <f t="shared" si="134"/>
        <v>45566</v>
      </c>
      <c r="AG73" s="201">
        <f t="shared" si="135"/>
        <v>0</v>
      </c>
      <c r="AH73" s="199">
        <f t="shared" si="136"/>
        <v>770000</v>
      </c>
      <c r="AI73" s="199">
        <f t="shared" si="137"/>
        <v>770000</v>
      </c>
      <c r="AJ73" s="201">
        <f t="shared" si="138"/>
        <v>0</v>
      </c>
      <c r="AK73" s="201">
        <f t="shared" si="138"/>
        <v>770000</v>
      </c>
      <c r="AL73" s="201">
        <f t="shared" si="139"/>
        <v>770000</v>
      </c>
      <c r="AM73" s="198"/>
      <c r="AN73" s="203"/>
      <c r="AO73" s="208"/>
      <c r="AP73" s="201">
        <f t="shared" si="140"/>
        <v>0</v>
      </c>
      <c r="AQ73" s="201">
        <f t="shared" si="141"/>
        <v>557889.99</v>
      </c>
      <c r="AR73" s="201">
        <f t="shared" si="142"/>
        <v>557889.99</v>
      </c>
      <c r="AS73" s="201">
        <f t="shared" si="143"/>
        <v>72.453245454545453</v>
      </c>
      <c r="AT73" s="201"/>
      <c r="AU73" s="223">
        <v>557889.99</v>
      </c>
      <c r="AV73" s="201">
        <f t="shared" si="144"/>
        <v>557889.99</v>
      </c>
      <c r="AW73" s="201">
        <f t="shared" si="157"/>
        <v>0</v>
      </c>
      <c r="AX73" s="201">
        <f t="shared" si="145"/>
        <v>72.453245454545453</v>
      </c>
      <c r="AY73" s="208"/>
      <c r="AZ73" s="201">
        <f t="shared" si="146"/>
        <v>0</v>
      </c>
      <c r="BA73" s="201">
        <f t="shared" si="147"/>
        <v>0</v>
      </c>
      <c r="BB73" s="201">
        <f t="shared" si="148"/>
        <v>0</v>
      </c>
      <c r="BC73" s="201"/>
      <c r="BD73" s="223">
        <v>0</v>
      </c>
      <c r="BE73" s="201">
        <f t="shared" si="149"/>
        <v>0</v>
      </c>
      <c r="BF73" s="208"/>
      <c r="BG73" s="201">
        <f t="shared" si="150"/>
        <v>0</v>
      </c>
      <c r="BH73" s="201">
        <f t="shared" si="150"/>
        <v>557889.99</v>
      </c>
      <c r="BI73" s="201">
        <f t="shared" si="151"/>
        <v>557889.99</v>
      </c>
      <c r="BJ73" s="201">
        <f t="shared" si="163"/>
        <v>72.453245454545453</v>
      </c>
      <c r="BK73" s="210">
        <v>89</v>
      </c>
      <c r="BL73" s="210">
        <v>65</v>
      </c>
      <c r="BM73" s="211"/>
      <c r="BN73" s="211"/>
      <c r="BO73" s="212">
        <f t="shared" si="152"/>
        <v>0</v>
      </c>
      <c r="BP73" s="201">
        <f t="shared" si="153"/>
        <v>212110.01</v>
      </c>
      <c r="BQ73" s="201">
        <f t="shared" si="158"/>
        <v>212110.01</v>
      </c>
      <c r="BR73" s="201">
        <f t="shared" si="159"/>
        <v>0</v>
      </c>
      <c r="BS73" s="201">
        <f t="shared" si="159"/>
        <v>212110.01</v>
      </c>
      <c r="BT73" s="201">
        <f t="shared" si="160"/>
        <v>212110.01</v>
      </c>
      <c r="BU73" s="213">
        <f t="shared" si="161"/>
        <v>0</v>
      </c>
      <c r="BV73" s="201"/>
      <c r="BW73" s="201"/>
      <c r="BX73" s="201">
        <f t="shared" si="162"/>
        <v>0</v>
      </c>
      <c r="BY73" s="199">
        <v>53900</v>
      </c>
      <c r="BZ73" s="199">
        <v>231000</v>
      </c>
      <c r="CA73" s="199">
        <v>400400</v>
      </c>
      <c r="CB73" s="199">
        <v>84700</v>
      </c>
      <c r="CC73" s="199">
        <v>0</v>
      </c>
      <c r="CD73" s="199">
        <v>0</v>
      </c>
      <c r="CE73" s="199">
        <v>0</v>
      </c>
      <c r="CF73" s="199">
        <v>0</v>
      </c>
      <c r="CG73" s="199">
        <v>0</v>
      </c>
      <c r="CH73" s="199">
        <v>0</v>
      </c>
      <c r="CI73" s="199">
        <v>0</v>
      </c>
      <c r="CJ73" s="199">
        <v>0</v>
      </c>
      <c r="CK73" s="214" t="s">
        <v>291</v>
      </c>
      <c r="CL73" s="214" t="s">
        <v>276</v>
      </c>
      <c r="CM73" s="211">
        <v>185</v>
      </c>
      <c r="CN73" s="215"/>
      <c r="CO73" s="215"/>
      <c r="CP73" s="216"/>
      <c r="CQ73" s="217"/>
      <c r="CR73" s="211"/>
      <c r="CS73" s="218"/>
      <c r="CT73" s="218"/>
      <c r="CU73" s="218"/>
      <c r="CV73" s="211"/>
      <c r="CW73" s="211"/>
      <c r="CX73" s="211"/>
      <c r="CY73" s="211"/>
      <c r="CZ73" s="211"/>
      <c r="DA73" s="211"/>
      <c r="DB73" s="211"/>
      <c r="DC73" s="219"/>
      <c r="DD73" s="219"/>
      <c r="DE73" s="219"/>
      <c r="DF73" s="211"/>
      <c r="DG73" s="211"/>
      <c r="DH73" s="211"/>
      <c r="DI73" s="211"/>
      <c r="DJ73" s="211"/>
      <c r="DK73" s="220" t="s">
        <v>32</v>
      </c>
      <c r="DT73" s="222"/>
    </row>
    <row r="74" spans="1:124" s="176" customFormat="1" ht="63" x14ac:dyDescent="0.2">
      <c r="A74" s="195" t="s">
        <v>108</v>
      </c>
      <c r="B74" s="197" t="s">
        <v>292</v>
      </c>
      <c r="C74" s="198">
        <v>1</v>
      </c>
      <c r="D74" s="199">
        <v>880000</v>
      </c>
      <c r="E74" s="198" t="s">
        <v>288</v>
      </c>
      <c r="F74" s="198" t="s">
        <v>285</v>
      </c>
      <c r="G74" s="198" t="s">
        <v>98</v>
      </c>
      <c r="H74" s="200">
        <v>1</v>
      </c>
      <c r="I74" s="199">
        <f t="shared" si="127"/>
        <v>0</v>
      </c>
      <c r="J74" s="199">
        <f t="shared" si="128"/>
        <v>880000</v>
      </c>
      <c r="K74" s="199">
        <f t="shared" si="129"/>
        <v>880000</v>
      </c>
      <c r="L74" s="199">
        <v>0</v>
      </c>
      <c r="M74" s="199">
        <v>880000</v>
      </c>
      <c r="N74" s="199">
        <f t="shared" si="130"/>
        <v>880000</v>
      </c>
      <c r="O74" s="199"/>
      <c r="P74" s="201">
        <v>0</v>
      </c>
      <c r="Q74" s="202">
        <v>12</v>
      </c>
      <c r="R74" s="203">
        <v>45566</v>
      </c>
      <c r="S74" s="204"/>
      <c r="T74" s="204">
        <v>880000</v>
      </c>
      <c r="U74" s="204">
        <f t="shared" si="131"/>
        <v>880000</v>
      </c>
      <c r="V74" s="205"/>
      <c r="W74" s="200"/>
      <c r="X74" s="201"/>
      <c r="Y74" s="201"/>
      <c r="Z74" s="201">
        <f t="shared" si="132"/>
        <v>0</v>
      </c>
      <c r="AA74" s="198"/>
      <c r="AB74" s="206"/>
      <c r="AC74" s="207"/>
      <c r="AD74" s="201"/>
      <c r="AE74" s="204">
        <f t="shared" si="133"/>
        <v>0</v>
      </c>
      <c r="AF74" s="203">
        <f t="shared" si="134"/>
        <v>45566</v>
      </c>
      <c r="AG74" s="201">
        <f t="shared" si="135"/>
        <v>0</v>
      </c>
      <c r="AH74" s="199">
        <f t="shared" si="136"/>
        <v>880000</v>
      </c>
      <c r="AI74" s="199">
        <f t="shared" si="137"/>
        <v>880000</v>
      </c>
      <c r="AJ74" s="201">
        <f t="shared" si="138"/>
        <v>0</v>
      </c>
      <c r="AK74" s="201">
        <f t="shared" si="138"/>
        <v>880000</v>
      </c>
      <c r="AL74" s="201">
        <f t="shared" si="139"/>
        <v>880000</v>
      </c>
      <c r="AM74" s="198"/>
      <c r="AN74" s="203"/>
      <c r="AO74" s="208"/>
      <c r="AP74" s="201">
        <f t="shared" si="140"/>
        <v>0</v>
      </c>
      <c r="AQ74" s="201">
        <f t="shared" si="141"/>
        <v>879757.3</v>
      </c>
      <c r="AR74" s="201">
        <f t="shared" si="142"/>
        <v>879757.3</v>
      </c>
      <c r="AS74" s="201">
        <f t="shared" si="143"/>
        <v>99.972420454545457</v>
      </c>
      <c r="AT74" s="201"/>
      <c r="AU74" s="223">
        <v>879757.3</v>
      </c>
      <c r="AV74" s="201">
        <f t="shared" si="144"/>
        <v>879757.3</v>
      </c>
      <c r="AW74" s="201">
        <f t="shared" si="157"/>
        <v>0</v>
      </c>
      <c r="AX74" s="201">
        <f t="shared" si="145"/>
        <v>99.972420454545457</v>
      </c>
      <c r="AY74" s="208"/>
      <c r="AZ74" s="201">
        <f t="shared" si="146"/>
        <v>0</v>
      </c>
      <c r="BA74" s="201">
        <f t="shared" si="147"/>
        <v>0</v>
      </c>
      <c r="BB74" s="201">
        <f t="shared" si="148"/>
        <v>0</v>
      </c>
      <c r="BC74" s="201"/>
      <c r="BD74" s="223">
        <v>0</v>
      </c>
      <c r="BE74" s="201">
        <f t="shared" si="149"/>
        <v>0</v>
      </c>
      <c r="BF74" s="208"/>
      <c r="BG74" s="201">
        <f t="shared" si="150"/>
        <v>0</v>
      </c>
      <c r="BH74" s="201">
        <f t="shared" si="150"/>
        <v>879757.3</v>
      </c>
      <c r="BI74" s="201">
        <f t="shared" si="151"/>
        <v>879757.3</v>
      </c>
      <c r="BJ74" s="201">
        <f t="shared" si="163"/>
        <v>99.972420454545457</v>
      </c>
      <c r="BK74" s="210">
        <v>89</v>
      </c>
      <c r="BL74" s="210">
        <v>100</v>
      </c>
      <c r="BM74" s="211"/>
      <c r="BN74" s="211"/>
      <c r="BO74" s="212">
        <f t="shared" si="152"/>
        <v>0</v>
      </c>
      <c r="BP74" s="201">
        <f t="shared" si="153"/>
        <v>242.69999999995343</v>
      </c>
      <c r="BQ74" s="201">
        <f t="shared" si="158"/>
        <v>242.69999999995343</v>
      </c>
      <c r="BR74" s="201">
        <f t="shared" si="159"/>
        <v>0</v>
      </c>
      <c r="BS74" s="201">
        <f t="shared" si="159"/>
        <v>242.69999999995343</v>
      </c>
      <c r="BT74" s="201">
        <f t="shared" si="160"/>
        <v>242.69999999995343</v>
      </c>
      <c r="BU74" s="213">
        <f t="shared" si="161"/>
        <v>0</v>
      </c>
      <c r="BV74" s="201"/>
      <c r="BW74" s="201"/>
      <c r="BX74" s="201">
        <f t="shared" si="162"/>
        <v>0</v>
      </c>
      <c r="BY74" s="199">
        <v>61600</v>
      </c>
      <c r="BZ74" s="199">
        <v>264000</v>
      </c>
      <c r="CA74" s="199">
        <v>457600</v>
      </c>
      <c r="CB74" s="199">
        <v>96800</v>
      </c>
      <c r="CC74" s="199">
        <v>0</v>
      </c>
      <c r="CD74" s="199">
        <v>0</v>
      </c>
      <c r="CE74" s="199">
        <v>0</v>
      </c>
      <c r="CF74" s="199">
        <v>0</v>
      </c>
      <c r="CG74" s="199">
        <v>0</v>
      </c>
      <c r="CH74" s="199">
        <v>0</v>
      </c>
      <c r="CI74" s="199">
        <v>0</v>
      </c>
      <c r="CJ74" s="199">
        <v>0</v>
      </c>
      <c r="CK74" s="214" t="s">
        <v>293</v>
      </c>
      <c r="CL74" s="214" t="s">
        <v>276</v>
      </c>
      <c r="CM74" s="211">
        <v>185</v>
      </c>
      <c r="CN74" s="215"/>
      <c r="CO74" s="215"/>
      <c r="CP74" s="216"/>
      <c r="CQ74" s="217"/>
      <c r="CR74" s="211"/>
      <c r="CS74" s="218"/>
      <c r="CT74" s="218"/>
      <c r="CU74" s="218"/>
      <c r="CV74" s="211"/>
      <c r="CW74" s="211"/>
      <c r="CX74" s="211"/>
      <c r="CY74" s="211"/>
      <c r="CZ74" s="211"/>
      <c r="DA74" s="211"/>
      <c r="DB74" s="211"/>
      <c r="DC74" s="219"/>
      <c r="DD74" s="219"/>
      <c r="DE74" s="219"/>
      <c r="DF74" s="211"/>
      <c r="DG74" s="211"/>
      <c r="DH74" s="211"/>
      <c r="DI74" s="211"/>
      <c r="DJ74" s="211"/>
      <c r="DK74" s="220" t="s">
        <v>32</v>
      </c>
      <c r="DT74" s="222"/>
    </row>
    <row r="75" spans="1:124" s="176" customFormat="1" ht="63" x14ac:dyDescent="0.2">
      <c r="A75" s="195" t="s">
        <v>108</v>
      </c>
      <c r="B75" s="197" t="s">
        <v>294</v>
      </c>
      <c r="C75" s="198">
        <v>1</v>
      </c>
      <c r="D75" s="199">
        <v>930000</v>
      </c>
      <c r="E75" s="198" t="s">
        <v>288</v>
      </c>
      <c r="F75" s="198" t="s">
        <v>285</v>
      </c>
      <c r="G75" s="198" t="s">
        <v>98</v>
      </c>
      <c r="H75" s="200">
        <v>1</v>
      </c>
      <c r="I75" s="199">
        <f t="shared" si="127"/>
        <v>0</v>
      </c>
      <c r="J75" s="199">
        <f t="shared" si="128"/>
        <v>930000</v>
      </c>
      <c r="K75" s="199">
        <f t="shared" si="129"/>
        <v>930000</v>
      </c>
      <c r="L75" s="199">
        <v>0</v>
      </c>
      <c r="M75" s="199">
        <v>930000</v>
      </c>
      <c r="N75" s="199">
        <f t="shared" si="130"/>
        <v>930000</v>
      </c>
      <c r="O75" s="199"/>
      <c r="P75" s="201">
        <v>0</v>
      </c>
      <c r="Q75" s="202">
        <v>12</v>
      </c>
      <c r="R75" s="203">
        <v>45566</v>
      </c>
      <c r="S75" s="204"/>
      <c r="T75" s="204">
        <v>930000</v>
      </c>
      <c r="U75" s="204">
        <f t="shared" si="131"/>
        <v>930000</v>
      </c>
      <c r="V75" s="205"/>
      <c r="W75" s="200"/>
      <c r="X75" s="201"/>
      <c r="Y75" s="201"/>
      <c r="Z75" s="201">
        <f t="shared" si="132"/>
        <v>0</v>
      </c>
      <c r="AA75" s="198"/>
      <c r="AB75" s="206"/>
      <c r="AC75" s="207"/>
      <c r="AD75" s="201"/>
      <c r="AE75" s="204">
        <f t="shared" si="133"/>
        <v>0</v>
      </c>
      <c r="AF75" s="203">
        <f t="shared" si="134"/>
        <v>45566</v>
      </c>
      <c r="AG75" s="201">
        <f t="shared" si="135"/>
        <v>0</v>
      </c>
      <c r="AH75" s="199">
        <f t="shared" si="136"/>
        <v>930000</v>
      </c>
      <c r="AI75" s="199">
        <f t="shared" si="137"/>
        <v>930000</v>
      </c>
      <c r="AJ75" s="201">
        <f t="shared" si="138"/>
        <v>0</v>
      </c>
      <c r="AK75" s="201">
        <f t="shared" si="138"/>
        <v>930000</v>
      </c>
      <c r="AL75" s="201">
        <f t="shared" si="139"/>
        <v>930000</v>
      </c>
      <c r="AM75" s="198"/>
      <c r="AN75" s="203"/>
      <c r="AO75" s="208"/>
      <c r="AP75" s="201">
        <f t="shared" si="140"/>
        <v>0</v>
      </c>
      <c r="AQ75" s="201">
        <f t="shared" si="141"/>
        <v>703561.7</v>
      </c>
      <c r="AR75" s="201">
        <f t="shared" si="142"/>
        <v>703561.7</v>
      </c>
      <c r="AS75" s="201">
        <f t="shared" si="143"/>
        <v>75.65179569892473</v>
      </c>
      <c r="AT75" s="201"/>
      <c r="AU75" s="223">
        <v>703561.7</v>
      </c>
      <c r="AV75" s="201">
        <f t="shared" si="144"/>
        <v>703561.7</v>
      </c>
      <c r="AW75" s="201">
        <f t="shared" si="157"/>
        <v>0</v>
      </c>
      <c r="AX75" s="201">
        <f t="shared" si="145"/>
        <v>75.65179569892473</v>
      </c>
      <c r="AY75" s="208"/>
      <c r="AZ75" s="201">
        <f t="shared" si="146"/>
        <v>0</v>
      </c>
      <c r="BA75" s="201">
        <f t="shared" si="147"/>
        <v>0</v>
      </c>
      <c r="BB75" s="201">
        <f t="shared" si="148"/>
        <v>0</v>
      </c>
      <c r="BC75" s="201"/>
      <c r="BD75" s="223">
        <v>0</v>
      </c>
      <c r="BE75" s="201">
        <f t="shared" si="149"/>
        <v>0</v>
      </c>
      <c r="BF75" s="208"/>
      <c r="BG75" s="201">
        <f t="shared" si="150"/>
        <v>0</v>
      </c>
      <c r="BH75" s="201">
        <f t="shared" si="150"/>
        <v>703561.7</v>
      </c>
      <c r="BI75" s="201">
        <f t="shared" si="151"/>
        <v>703561.7</v>
      </c>
      <c r="BJ75" s="201">
        <f t="shared" si="163"/>
        <v>75.65179569892473</v>
      </c>
      <c r="BK75" s="210">
        <v>89</v>
      </c>
      <c r="BL75" s="210">
        <v>65</v>
      </c>
      <c r="BM75" s="211"/>
      <c r="BN75" s="211"/>
      <c r="BO75" s="212">
        <f t="shared" si="152"/>
        <v>0</v>
      </c>
      <c r="BP75" s="201">
        <f t="shared" si="153"/>
        <v>226438.30000000005</v>
      </c>
      <c r="BQ75" s="201">
        <f t="shared" si="158"/>
        <v>226438.30000000005</v>
      </c>
      <c r="BR75" s="201">
        <f t="shared" si="159"/>
        <v>0</v>
      </c>
      <c r="BS75" s="201">
        <f t="shared" si="159"/>
        <v>226438.30000000005</v>
      </c>
      <c r="BT75" s="201">
        <f t="shared" si="160"/>
        <v>226438.30000000005</v>
      </c>
      <c r="BU75" s="213">
        <f t="shared" si="161"/>
        <v>0</v>
      </c>
      <c r="BV75" s="201"/>
      <c r="BW75" s="201"/>
      <c r="BX75" s="201">
        <f t="shared" si="162"/>
        <v>0</v>
      </c>
      <c r="BY75" s="199">
        <v>65100</v>
      </c>
      <c r="BZ75" s="199">
        <v>279000</v>
      </c>
      <c r="CA75" s="199">
        <v>483600</v>
      </c>
      <c r="CB75" s="199">
        <v>102300</v>
      </c>
      <c r="CC75" s="199">
        <v>0</v>
      </c>
      <c r="CD75" s="199">
        <v>0</v>
      </c>
      <c r="CE75" s="199">
        <v>0</v>
      </c>
      <c r="CF75" s="199">
        <v>0</v>
      </c>
      <c r="CG75" s="199">
        <v>0</v>
      </c>
      <c r="CH75" s="199">
        <v>0</v>
      </c>
      <c r="CI75" s="199">
        <v>0</v>
      </c>
      <c r="CJ75" s="199">
        <v>0</v>
      </c>
      <c r="CK75" s="214" t="s">
        <v>295</v>
      </c>
      <c r="CL75" s="214" t="s">
        <v>276</v>
      </c>
      <c r="CM75" s="211">
        <v>185</v>
      </c>
      <c r="CN75" s="215"/>
      <c r="CO75" s="215"/>
      <c r="CP75" s="216"/>
      <c r="CQ75" s="217"/>
      <c r="CR75" s="211"/>
      <c r="CS75" s="218"/>
      <c r="CT75" s="218"/>
      <c r="CU75" s="218"/>
      <c r="CV75" s="211"/>
      <c r="CW75" s="211"/>
      <c r="CX75" s="211"/>
      <c r="CY75" s="211"/>
      <c r="CZ75" s="211"/>
      <c r="DA75" s="211"/>
      <c r="DB75" s="211"/>
      <c r="DC75" s="219"/>
      <c r="DD75" s="219"/>
      <c r="DE75" s="219"/>
      <c r="DF75" s="211"/>
      <c r="DG75" s="211"/>
      <c r="DH75" s="211"/>
      <c r="DI75" s="211"/>
      <c r="DJ75" s="211"/>
      <c r="DK75" s="220" t="s">
        <v>32</v>
      </c>
      <c r="DT75" s="222"/>
    </row>
    <row r="76" spans="1:124" s="176" customFormat="1" ht="63" x14ac:dyDescent="0.2">
      <c r="A76" s="195" t="s">
        <v>108</v>
      </c>
      <c r="B76" s="197" t="s">
        <v>296</v>
      </c>
      <c r="C76" s="198">
        <v>1</v>
      </c>
      <c r="D76" s="199">
        <v>500000</v>
      </c>
      <c r="E76" s="198" t="s">
        <v>297</v>
      </c>
      <c r="F76" s="198" t="s">
        <v>285</v>
      </c>
      <c r="G76" s="198" t="s">
        <v>98</v>
      </c>
      <c r="H76" s="200">
        <v>1</v>
      </c>
      <c r="I76" s="199">
        <f t="shared" si="127"/>
        <v>110000</v>
      </c>
      <c r="J76" s="199">
        <f t="shared" si="128"/>
        <v>390000</v>
      </c>
      <c r="K76" s="199">
        <f t="shared" si="129"/>
        <v>500000</v>
      </c>
      <c r="L76" s="199">
        <v>110000</v>
      </c>
      <c r="M76" s="199">
        <v>390000</v>
      </c>
      <c r="N76" s="199">
        <f t="shared" si="130"/>
        <v>500000</v>
      </c>
      <c r="O76" s="199"/>
      <c r="P76" s="201">
        <v>0</v>
      </c>
      <c r="Q76" s="202">
        <v>11</v>
      </c>
      <c r="R76" s="203">
        <v>45566</v>
      </c>
      <c r="S76" s="204"/>
      <c r="T76" s="204">
        <v>390000</v>
      </c>
      <c r="U76" s="204">
        <f t="shared" si="131"/>
        <v>390000</v>
      </c>
      <c r="V76" s="205">
        <v>1385</v>
      </c>
      <c r="W76" s="200">
        <v>45686</v>
      </c>
      <c r="X76" s="201">
        <v>109347</v>
      </c>
      <c r="Y76" s="201"/>
      <c r="Z76" s="201">
        <f t="shared" si="132"/>
        <v>109347</v>
      </c>
      <c r="AA76" s="198"/>
      <c r="AB76" s="206"/>
      <c r="AC76" s="207"/>
      <c r="AD76" s="201"/>
      <c r="AE76" s="204">
        <f t="shared" si="133"/>
        <v>0</v>
      </c>
      <c r="AF76" s="203">
        <f t="shared" si="134"/>
        <v>45566</v>
      </c>
      <c r="AG76" s="201">
        <f t="shared" si="135"/>
        <v>109347</v>
      </c>
      <c r="AH76" s="199">
        <f t="shared" si="136"/>
        <v>390000</v>
      </c>
      <c r="AI76" s="199">
        <f t="shared" si="137"/>
        <v>499347</v>
      </c>
      <c r="AJ76" s="201">
        <f t="shared" si="138"/>
        <v>109347</v>
      </c>
      <c r="AK76" s="201">
        <f t="shared" si="138"/>
        <v>390000</v>
      </c>
      <c r="AL76" s="201">
        <f t="shared" si="139"/>
        <v>499347</v>
      </c>
      <c r="AM76" s="198"/>
      <c r="AN76" s="203"/>
      <c r="AO76" s="208"/>
      <c r="AP76" s="201">
        <f t="shared" si="140"/>
        <v>0</v>
      </c>
      <c r="AQ76" s="201">
        <f t="shared" si="141"/>
        <v>369934.75</v>
      </c>
      <c r="AR76" s="201">
        <f t="shared" si="142"/>
        <v>369934.75</v>
      </c>
      <c r="AS76" s="201">
        <f t="shared" si="143"/>
        <v>74.083703316531384</v>
      </c>
      <c r="AT76" s="201"/>
      <c r="AU76" s="209">
        <v>369934.75</v>
      </c>
      <c r="AV76" s="201">
        <f t="shared" si="144"/>
        <v>369934.75</v>
      </c>
      <c r="AW76" s="201">
        <f t="shared" si="157"/>
        <v>0</v>
      </c>
      <c r="AX76" s="201">
        <f t="shared" si="145"/>
        <v>74.083703316531384</v>
      </c>
      <c r="AY76" s="208"/>
      <c r="AZ76" s="201">
        <f t="shared" si="146"/>
        <v>109347</v>
      </c>
      <c r="BA76" s="201">
        <f t="shared" si="147"/>
        <v>9968</v>
      </c>
      <c r="BB76" s="201">
        <f t="shared" si="148"/>
        <v>119315</v>
      </c>
      <c r="BC76" s="201">
        <v>109347</v>
      </c>
      <c r="BD76" s="209">
        <f>119315-BC76</f>
        <v>9968</v>
      </c>
      <c r="BE76" s="201">
        <f t="shared" si="149"/>
        <v>119315</v>
      </c>
      <c r="BF76" s="208"/>
      <c r="BG76" s="201">
        <f t="shared" si="150"/>
        <v>109347</v>
      </c>
      <c r="BH76" s="201">
        <f t="shared" si="150"/>
        <v>379902.75</v>
      </c>
      <c r="BI76" s="201">
        <f t="shared" si="151"/>
        <v>489249.75</v>
      </c>
      <c r="BJ76" s="201">
        <f t="shared" si="163"/>
        <v>97.977909149349045</v>
      </c>
      <c r="BK76" s="210">
        <v>89</v>
      </c>
      <c r="BL76" s="210">
        <v>5</v>
      </c>
      <c r="BM76" s="211"/>
      <c r="BN76" s="211"/>
      <c r="BO76" s="212">
        <f t="shared" si="152"/>
        <v>109347</v>
      </c>
      <c r="BP76" s="201">
        <f t="shared" si="153"/>
        <v>20065.25</v>
      </c>
      <c r="BQ76" s="201">
        <f t="shared" si="158"/>
        <v>129412.25</v>
      </c>
      <c r="BR76" s="201">
        <f t="shared" si="159"/>
        <v>109347</v>
      </c>
      <c r="BS76" s="201">
        <f t="shared" si="159"/>
        <v>20065.25</v>
      </c>
      <c r="BT76" s="201">
        <f t="shared" si="160"/>
        <v>129412.25</v>
      </c>
      <c r="BU76" s="213">
        <f t="shared" si="161"/>
        <v>0</v>
      </c>
      <c r="BV76" s="201"/>
      <c r="BW76" s="201"/>
      <c r="BX76" s="201">
        <f t="shared" si="162"/>
        <v>0</v>
      </c>
      <c r="BY76" s="199">
        <v>35000</v>
      </c>
      <c r="BZ76" s="199">
        <v>150000</v>
      </c>
      <c r="CA76" s="199">
        <v>260000</v>
      </c>
      <c r="CB76" s="199">
        <v>55000</v>
      </c>
      <c r="CC76" s="199">
        <v>0</v>
      </c>
      <c r="CD76" s="199">
        <v>0</v>
      </c>
      <c r="CE76" s="199">
        <v>0</v>
      </c>
      <c r="CF76" s="199">
        <v>0</v>
      </c>
      <c r="CG76" s="199">
        <v>0</v>
      </c>
      <c r="CH76" s="199">
        <v>0</v>
      </c>
      <c r="CI76" s="199">
        <v>0</v>
      </c>
      <c r="CJ76" s="199">
        <v>0</v>
      </c>
      <c r="CK76" s="214" t="s">
        <v>298</v>
      </c>
      <c r="CL76" s="214" t="s">
        <v>276</v>
      </c>
      <c r="CM76" s="211">
        <v>185</v>
      </c>
      <c r="CN76" s="215"/>
      <c r="CO76" s="215"/>
      <c r="CP76" s="216"/>
      <c r="CQ76" s="217"/>
      <c r="CR76" s="211"/>
      <c r="CS76" s="218"/>
      <c r="CT76" s="218"/>
      <c r="CU76" s="218"/>
      <c r="CV76" s="211"/>
      <c r="CW76" s="211"/>
      <c r="CX76" s="211"/>
      <c r="CY76" s="211"/>
      <c r="CZ76" s="211"/>
      <c r="DA76" s="211"/>
      <c r="DB76" s="211"/>
      <c r="DC76" s="219"/>
      <c r="DD76" s="219"/>
      <c r="DE76" s="219"/>
      <c r="DF76" s="211"/>
      <c r="DG76" s="211"/>
      <c r="DH76" s="211"/>
      <c r="DI76" s="211"/>
      <c r="DJ76" s="211"/>
      <c r="DK76" s="220" t="s">
        <v>53</v>
      </c>
      <c r="DT76" s="222"/>
    </row>
    <row r="77" spans="1:124" s="176" customFormat="1" ht="63" x14ac:dyDescent="0.2">
      <c r="A77" s="195" t="s">
        <v>108</v>
      </c>
      <c r="B77" s="197" t="s">
        <v>299</v>
      </c>
      <c r="C77" s="198">
        <v>1</v>
      </c>
      <c r="D77" s="199">
        <v>700000</v>
      </c>
      <c r="E77" s="198" t="s">
        <v>297</v>
      </c>
      <c r="F77" s="198" t="s">
        <v>285</v>
      </c>
      <c r="G77" s="198" t="s">
        <v>98</v>
      </c>
      <c r="H77" s="200">
        <v>1</v>
      </c>
      <c r="I77" s="199">
        <f t="shared" si="127"/>
        <v>0</v>
      </c>
      <c r="J77" s="199">
        <f t="shared" si="128"/>
        <v>700000</v>
      </c>
      <c r="K77" s="199">
        <f t="shared" si="129"/>
        <v>700000</v>
      </c>
      <c r="L77" s="199">
        <v>0</v>
      </c>
      <c r="M77" s="199">
        <v>700000</v>
      </c>
      <c r="N77" s="199">
        <f t="shared" si="130"/>
        <v>700000</v>
      </c>
      <c r="O77" s="199"/>
      <c r="P77" s="201">
        <v>0</v>
      </c>
      <c r="Q77" s="202">
        <v>12</v>
      </c>
      <c r="R77" s="203">
        <v>45566</v>
      </c>
      <c r="S77" s="204"/>
      <c r="T77" s="204">
        <v>700000</v>
      </c>
      <c r="U77" s="204">
        <f t="shared" si="131"/>
        <v>700000</v>
      </c>
      <c r="V77" s="205"/>
      <c r="W77" s="200"/>
      <c r="X77" s="201"/>
      <c r="Y77" s="201"/>
      <c r="Z77" s="201">
        <f t="shared" si="132"/>
        <v>0</v>
      </c>
      <c r="AA77" s="198"/>
      <c r="AB77" s="206"/>
      <c r="AC77" s="207"/>
      <c r="AD77" s="201"/>
      <c r="AE77" s="204">
        <f t="shared" si="133"/>
        <v>0</v>
      </c>
      <c r="AF77" s="203">
        <f t="shared" si="134"/>
        <v>45566</v>
      </c>
      <c r="AG77" s="201">
        <f t="shared" si="135"/>
        <v>0</v>
      </c>
      <c r="AH77" s="199">
        <f t="shared" si="136"/>
        <v>700000</v>
      </c>
      <c r="AI77" s="199">
        <f t="shared" si="137"/>
        <v>700000</v>
      </c>
      <c r="AJ77" s="201">
        <f t="shared" si="138"/>
        <v>0</v>
      </c>
      <c r="AK77" s="201">
        <f t="shared" si="138"/>
        <v>700000</v>
      </c>
      <c r="AL77" s="201">
        <f t="shared" si="139"/>
        <v>700000</v>
      </c>
      <c r="AM77" s="198"/>
      <c r="AN77" s="203"/>
      <c r="AO77" s="208"/>
      <c r="AP77" s="201">
        <f t="shared" si="140"/>
        <v>0</v>
      </c>
      <c r="AQ77" s="201">
        <f t="shared" si="141"/>
        <v>519786.04</v>
      </c>
      <c r="AR77" s="201">
        <f t="shared" si="142"/>
        <v>519786.04</v>
      </c>
      <c r="AS77" s="201">
        <f t="shared" si="143"/>
        <v>74.255148571428577</v>
      </c>
      <c r="AT77" s="201"/>
      <c r="AU77" s="223">
        <v>519786.04</v>
      </c>
      <c r="AV77" s="201">
        <f t="shared" si="144"/>
        <v>519786.04</v>
      </c>
      <c r="AW77" s="201">
        <f t="shared" si="157"/>
        <v>0</v>
      </c>
      <c r="AX77" s="201">
        <f t="shared" si="145"/>
        <v>74.255148571428577</v>
      </c>
      <c r="AY77" s="208"/>
      <c r="AZ77" s="201">
        <f t="shared" si="146"/>
        <v>0</v>
      </c>
      <c r="BA77" s="201">
        <f t="shared" si="147"/>
        <v>0</v>
      </c>
      <c r="BB77" s="201">
        <f t="shared" si="148"/>
        <v>0</v>
      </c>
      <c r="BC77" s="201"/>
      <c r="BD77" s="223">
        <v>0</v>
      </c>
      <c r="BE77" s="201">
        <f t="shared" si="149"/>
        <v>0</v>
      </c>
      <c r="BF77" s="208"/>
      <c r="BG77" s="201">
        <f t="shared" si="150"/>
        <v>0</v>
      </c>
      <c r="BH77" s="201">
        <f t="shared" si="150"/>
        <v>519786.04</v>
      </c>
      <c r="BI77" s="201">
        <f t="shared" si="151"/>
        <v>519786.04</v>
      </c>
      <c r="BJ77" s="201">
        <f t="shared" si="163"/>
        <v>74.255148571428577</v>
      </c>
      <c r="BK77" s="210">
        <v>89</v>
      </c>
      <c r="BL77" s="210">
        <v>70</v>
      </c>
      <c r="BM77" s="211"/>
      <c r="BN77" s="211"/>
      <c r="BO77" s="212">
        <f t="shared" si="152"/>
        <v>0</v>
      </c>
      <c r="BP77" s="201">
        <f t="shared" si="153"/>
        <v>180213.96000000002</v>
      </c>
      <c r="BQ77" s="201">
        <f t="shared" si="158"/>
        <v>180213.96000000002</v>
      </c>
      <c r="BR77" s="201">
        <f t="shared" si="159"/>
        <v>0</v>
      </c>
      <c r="BS77" s="201">
        <f t="shared" si="159"/>
        <v>180213.96000000002</v>
      </c>
      <c r="BT77" s="201">
        <f t="shared" si="160"/>
        <v>180213.96000000002</v>
      </c>
      <c r="BU77" s="213">
        <f t="shared" si="161"/>
        <v>0</v>
      </c>
      <c r="BV77" s="201"/>
      <c r="BW77" s="201"/>
      <c r="BX77" s="201">
        <f t="shared" si="162"/>
        <v>0</v>
      </c>
      <c r="BY77" s="199">
        <v>49000</v>
      </c>
      <c r="BZ77" s="199">
        <v>210000</v>
      </c>
      <c r="CA77" s="199">
        <v>364000</v>
      </c>
      <c r="CB77" s="199">
        <v>77000</v>
      </c>
      <c r="CC77" s="199">
        <v>0</v>
      </c>
      <c r="CD77" s="199">
        <v>0</v>
      </c>
      <c r="CE77" s="199">
        <v>0</v>
      </c>
      <c r="CF77" s="199">
        <v>0</v>
      </c>
      <c r="CG77" s="199">
        <v>0</v>
      </c>
      <c r="CH77" s="199">
        <v>0</v>
      </c>
      <c r="CI77" s="199">
        <v>0</v>
      </c>
      <c r="CJ77" s="199">
        <v>0</v>
      </c>
      <c r="CK77" s="214" t="s">
        <v>300</v>
      </c>
      <c r="CL77" s="214" t="s">
        <v>276</v>
      </c>
      <c r="CM77" s="211">
        <v>185</v>
      </c>
      <c r="CN77" s="215"/>
      <c r="CO77" s="215"/>
      <c r="CP77" s="216"/>
      <c r="CQ77" s="217"/>
      <c r="CR77" s="211"/>
      <c r="CS77" s="218"/>
      <c r="CT77" s="218"/>
      <c r="CU77" s="218"/>
      <c r="CV77" s="211"/>
      <c r="CW77" s="211"/>
      <c r="CX77" s="211"/>
      <c r="CY77" s="211"/>
      <c r="CZ77" s="211"/>
      <c r="DA77" s="211"/>
      <c r="DB77" s="211"/>
      <c r="DC77" s="219"/>
      <c r="DD77" s="219"/>
      <c r="DE77" s="219"/>
      <c r="DF77" s="211"/>
      <c r="DG77" s="211"/>
      <c r="DH77" s="211"/>
      <c r="DI77" s="211"/>
      <c r="DJ77" s="211"/>
      <c r="DK77" s="220" t="s">
        <v>32</v>
      </c>
      <c r="DT77" s="222"/>
    </row>
    <row r="78" spans="1:124" s="176" customFormat="1" ht="63" x14ac:dyDescent="0.2">
      <c r="A78" s="195" t="s">
        <v>108</v>
      </c>
      <c r="B78" s="197" t="s">
        <v>301</v>
      </c>
      <c r="C78" s="198">
        <v>1</v>
      </c>
      <c r="D78" s="199">
        <v>890000</v>
      </c>
      <c r="E78" s="198" t="s">
        <v>297</v>
      </c>
      <c r="F78" s="198" t="s">
        <v>285</v>
      </c>
      <c r="G78" s="198" t="s">
        <v>98</v>
      </c>
      <c r="H78" s="200">
        <v>1</v>
      </c>
      <c r="I78" s="199">
        <f t="shared" si="127"/>
        <v>0</v>
      </c>
      <c r="J78" s="199">
        <f t="shared" si="128"/>
        <v>890000</v>
      </c>
      <c r="K78" s="199">
        <f t="shared" si="129"/>
        <v>890000</v>
      </c>
      <c r="L78" s="199"/>
      <c r="M78" s="199">
        <v>890000</v>
      </c>
      <c r="N78" s="199">
        <f t="shared" si="130"/>
        <v>890000</v>
      </c>
      <c r="O78" s="199"/>
      <c r="P78" s="201">
        <v>0</v>
      </c>
      <c r="Q78" s="202">
        <v>12</v>
      </c>
      <c r="R78" s="203">
        <v>45566</v>
      </c>
      <c r="S78" s="204"/>
      <c r="T78" s="204">
        <v>890000</v>
      </c>
      <c r="U78" s="204">
        <f t="shared" si="131"/>
        <v>890000</v>
      </c>
      <c r="V78" s="205"/>
      <c r="W78" s="200"/>
      <c r="X78" s="201"/>
      <c r="Y78" s="201"/>
      <c r="Z78" s="201">
        <f t="shared" si="132"/>
        <v>0</v>
      </c>
      <c r="AA78" s="198"/>
      <c r="AB78" s="206"/>
      <c r="AC78" s="207"/>
      <c r="AD78" s="201"/>
      <c r="AE78" s="204">
        <f t="shared" si="133"/>
        <v>0</v>
      </c>
      <c r="AF78" s="203">
        <f t="shared" si="134"/>
        <v>45566</v>
      </c>
      <c r="AG78" s="201">
        <f t="shared" si="135"/>
        <v>0</v>
      </c>
      <c r="AH78" s="199">
        <f t="shared" si="136"/>
        <v>890000</v>
      </c>
      <c r="AI78" s="199">
        <f t="shared" si="137"/>
        <v>890000</v>
      </c>
      <c r="AJ78" s="201">
        <f t="shared" si="138"/>
        <v>0</v>
      </c>
      <c r="AK78" s="201">
        <f t="shared" si="138"/>
        <v>890000</v>
      </c>
      <c r="AL78" s="201">
        <f t="shared" si="139"/>
        <v>890000</v>
      </c>
      <c r="AM78" s="198"/>
      <c r="AN78" s="203"/>
      <c r="AO78" s="208"/>
      <c r="AP78" s="201">
        <f t="shared" si="140"/>
        <v>0</v>
      </c>
      <c r="AQ78" s="201">
        <f t="shared" si="141"/>
        <v>889142.03</v>
      </c>
      <c r="AR78" s="201">
        <f t="shared" si="142"/>
        <v>889142.03</v>
      </c>
      <c r="AS78" s="201">
        <f t="shared" si="143"/>
        <v>99.903598876404487</v>
      </c>
      <c r="AT78" s="201"/>
      <c r="AU78" s="223">
        <v>889142.03</v>
      </c>
      <c r="AV78" s="201">
        <f t="shared" si="144"/>
        <v>889142.03</v>
      </c>
      <c r="AW78" s="201">
        <f t="shared" si="157"/>
        <v>0</v>
      </c>
      <c r="AX78" s="201">
        <f t="shared" si="145"/>
        <v>99.903598876404487</v>
      </c>
      <c r="AY78" s="208"/>
      <c r="AZ78" s="201">
        <f t="shared" si="146"/>
        <v>0</v>
      </c>
      <c r="BA78" s="201">
        <f t="shared" si="147"/>
        <v>0</v>
      </c>
      <c r="BB78" s="201">
        <f t="shared" si="148"/>
        <v>0</v>
      </c>
      <c r="BC78" s="201"/>
      <c r="BD78" s="223">
        <v>0</v>
      </c>
      <c r="BE78" s="201">
        <f t="shared" si="149"/>
        <v>0</v>
      </c>
      <c r="BF78" s="208"/>
      <c r="BG78" s="201">
        <f t="shared" si="150"/>
        <v>0</v>
      </c>
      <c r="BH78" s="201">
        <f t="shared" si="150"/>
        <v>889142.03</v>
      </c>
      <c r="BI78" s="201">
        <f t="shared" si="151"/>
        <v>889142.03</v>
      </c>
      <c r="BJ78" s="201">
        <f t="shared" si="163"/>
        <v>99.903598876404487</v>
      </c>
      <c r="BK78" s="210">
        <v>89</v>
      </c>
      <c r="BL78" s="210">
        <v>100</v>
      </c>
      <c r="BM78" s="211"/>
      <c r="BN78" s="211"/>
      <c r="BO78" s="212">
        <f t="shared" si="152"/>
        <v>0</v>
      </c>
      <c r="BP78" s="201">
        <f t="shared" si="153"/>
        <v>857.96999999997206</v>
      </c>
      <c r="BQ78" s="201">
        <f t="shared" si="158"/>
        <v>857.96999999997206</v>
      </c>
      <c r="BR78" s="201">
        <f t="shared" si="159"/>
        <v>0</v>
      </c>
      <c r="BS78" s="201">
        <f t="shared" si="159"/>
        <v>857.96999999997206</v>
      </c>
      <c r="BT78" s="201">
        <f t="shared" si="160"/>
        <v>857.96999999997206</v>
      </c>
      <c r="BU78" s="213">
        <f t="shared" si="161"/>
        <v>0</v>
      </c>
      <c r="BV78" s="201"/>
      <c r="BW78" s="201"/>
      <c r="BX78" s="201">
        <f t="shared" si="162"/>
        <v>0</v>
      </c>
      <c r="BY78" s="199">
        <v>62300</v>
      </c>
      <c r="BZ78" s="199">
        <v>267000</v>
      </c>
      <c r="CA78" s="199">
        <v>462800</v>
      </c>
      <c r="CB78" s="199">
        <v>97900</v>
      </c>
      <c r="CC78" s="199"/>
      <c r="CD78" s="199"/>
      <c r="CE78" s="199"/>
      <c r="CF78" s="199"/>
      <c r="CG78" s="199"/>
      <c r="CH78" s="199"/>
      <c r="CI78" s="199"/>
      <c r="CJ78" s="199"/>
      <c r="CK78" s="214" t="s">
        <v>302</v>
      </c>
      <c r="CL78" s="214" t="s">
        <v>276</v>
      </c>
      <c r="CM78" s="211">
        <v>185</v>
      </c>
      <c r="CN78" s="215"/>
      <c r="CO78" s="215"/>
      <c r="CP78" s="216"/>
      <c r="CQ78" s="217"/>
      <c r="CR78" s="211"/>
      <c r="CS78" s="218"/>
      <c r="CT78" s="218"/>
      <c r="CU78" s="218"/>
      <c r="CV78" s="211"/>
      <c r="CW78" s="211"/>
      <c r="CX78" s="211"/>
      <c r="CY78" s="211"/>
      <c r="CZ78" s="211"/>
      <c r="DA78" s="211"/>
      <c r="DB78" s="211"/>
      <c r="DC78" s="219"/>
      <c r="DD78" s="219"/>
      <c r="DE78" s="219"/>
      <c r="DF78" s="211"/>
      <c r="DG78" s="211"/>
      <c r="DH78" s="211"/>
      <c r="DI78" s="211"/>
      <c r="DJ78" s="211"/>
      <c r="DK78" s="220" t="s">
        <v>32</v>
      </c>
      <c r="DT78" s="222"/>
    </row>
    <row r="79" spans="1:124" s="176" customFormat="1" ht="63" x14ac:dyDescent="0.2">
      <c r="A79" s="195" t="s">
        <v>108</v>
      </c>
      <c r="B79" s="197" t="s">
        <v>303</v>
      </c>
      <c r="C79" s="198">
        <v>1</v>
      </c>
      <c r="D79" s="199">
        <v>400000</v>
      </c>
      <c r="E79" s="198" t="s">
        <v>304</v>
      </c>
      <c r="F79" s="198" t="s">
        <v>111</v>
      </c>
      <c r="G79" s="198" t="s">
        <v>98</v>
      </c>
      <c r="H79" s="200">
        <v>1</v>
      </c>
      <c r="I79" s="199">
        <f t="shared" si="127"/>
        <v>0</v>
      </c>
      <c r="J79" s="199">
        <f t="shared" si="128"/>
        <v>400000</v>
      </c>
      <c r="K79" s="199">
        <f t="shared" si="129"/>
        <v>400000</v>
      </c>
      <c r="L79" s="199"/>
      <c r="M79" s="199">
        <v>400000</v>
      </c>
      <c r="N79" s="199">
        <f t="shared" si="130"/>
        <v>400000</v>
      </c>
      <c r="O79" s="199"/>
      <c r="P79" s="201">
        <v>0</v>
      </c>
      <c r="Q79" s="202">
        <v>12</v>
      </c>
      <c r="R79" s="203">
        <v>45566</v>
      </c>
      <c r="S79" s="204"/>
      <c r="T79" s="204">
        <v>400000</v>
      </c>
      <c r="U79" s="204">
        <f t="shared" si="131"/>
        <v>400000</v>
      </c>
      <c r="V79" s="205"/>
      <c r="W79" s="200"/>
      <c r="X79" s="201"/>
      <c r="Y79" s="201"/>
      <c r="Z79" s="201">
        <f t="shared" si="132"/>
        <v>0</v>
      </c>
      <c r="AA79" s="198"/>
      <c r="AB79" s="206"/>
      <c r="AC79" s="207"/>
      <c r="AD79" s="201"/>
      <c r="AE79" s="204">
        <f t="shared" si="133"/>
        <v>0</v>
      </c>
      <c r="AF79" s="203">
        <f t="shared" si="134"/>
        <v>45566</v>
      </c>
      <c r="AG79" s="201">
        <f t="shared" si="135"/>
        <v>0</v>
      </c>
      <c r="AH79" s="199">
        <f t="shared" si="136"/>
        <v>400000</v>
      </c>
      <c r="AI79" s="199">
        <f t="shared" si="137"/>
        <v>400000</v>
      </c>
      <c r="AJ79" s="201">
        <f t="shared" si="138"/>
        <v>0</v>
      </c>
      <c r="AK79" s="201">
        <f t="shared" si="138"/>
        <v>400000</v>
      </c>
      <c r="AL79" s="201">
        <f t="shared" si="139"/>
        <v>400000</v>
      </c>
      <c r="AM79" s="198"/>
      <c r="AN79" s="203"/>
      <c r="AO79" s="208"/>
      <c r="AP79" s="201">
        <f t="shared" si="140"/>
        <v>0</v>
      </c>
      <c r="AQ79" s="201">
        <f t="shared" si="141"/>
        <v>398654.18</v>
      </c>
      <c r="AR79" s="201">
        <f t="shared" si="142"/>
        <v>398654.18</v>
      </c>
      <c r="AS79" s="201">
        <f t="shared" si="143"/>
        <v>99.663544999999999</v>
      </c>
      <c r="AT79" s="201"/>
      <c r="AU79" s="223">
        <v>398654.18</v>
      </c>
      <c r="AV79" s="201">
        <f t="shared" si="144"/>
        <v>398654.18</v>
      </c>
      <c r="AW79" s="201">
        <f t="shared" si="157"/>
        <v>0</v>
      </c>
      <c r="AX79" s="201">
        <f t="shared" si="145"/>
        <v>99.663544999999999</v>
      </c>
      <c r="AY79" s="208"/>
      <c r="AZ79" s="201">
        <f t="shared" si="146"/>
        <v>0</v>
      </c>
      <c r="BA79" s="201">
        <f t="shared" si="147"/>
        <v>0</v>
      </c>
      <c r="BB79" s="201">
        <f t="shared" si="148"/>
        <v>0</v>
      </c>
      <c r="BC79" s="201"/>
      <c r="BD79" s="223">
        <v>0</v>
      </c>
      <c r="BE79" s="201">
        <f t="shared" si="149"/>
        <v>0</v>
      </c>
      <c r="BF79" s="208"/>
      <c r="BG79" s="201">
        <f t="shared" si="150"/>
        <v>0</v>
      </c>
      <c r="BH79" s="201">
        <f t="shared" si="150"/>
        <v>398654.18</v>
      </c>
      <c r="BI79" s="201">
        <f t="shared" si="151"/>
        <v>398654.18</v>
      </c>
      <c r="BJ79" s="201">
        <f t="shared" si="163"/>
        <v>99.663544999999999</v>
      </c>
      <c r="BK79" s="210">
        <v>89</v>
      </c>
      <c r="BL79" s="210">
        <v>100</v>
      </c>
      <c r="BM79" s="211"/>
      <c r="BN79" s="211"/>
      <c r="BO79" s="212">
        <f t="shared" si="152"/>
        <v>0</v>
      </c>
      <c r="BP79" s="201">
        <f t="shared" si="153"/>
        <v>1345.820000000007</v>
      </c>
      <c r="BQ79" s="201">
        <f t="shared" si="158"/>
        <v>1345.820000000007</v>
      </c>
      <c r="BR79" s="201">
        <f t="shared" si="159"/>
        <v>0</v>
      </c>
      <c r="BS79" s="201">
        <f t="shared" si="159"/>
        <v>1345.820000000007</v>
      </c>
      <c r="BT79" s="201">
        <f t="shared" si="160"/>
        <v>1345.820000000007</v>
      </c>
      <c r="BU79" s="213">
        <f t="shared" si="161"/>
        <v>0</v>
      </c>
      <c r="BV79" s="201"/>
      <c r="BW79" s="201"/>
      <c r="BX79" s="201">
        <f t="shared" si="162"/>
        <v>0</v>
      </c>
      <c r="BY79" s="199">
        <v>28000</v>
      </c>
      <c r="BZ79" s="199">
        <v>120000</v>
      </c>
      <c r="CA79" s="199">
        <v>208000</v>
      </c>
      <c r="CB79" s="199">
        <v>44000</v>
      </c>
      <c r="CC79" s="199"/>
      <c r="CD79" s="199"/>
      <c r="CE79" s="199"/>
      <c r="CF79" s="199"/>
      <c r="CG79" s="199"/>
      <c r="CH79" s="199"/>
      <c r="CI79" s="199"/>
      <c r="CJ79" s="199"/>
      <c r="CK79" s="214" t="s">
        <v>305</v>
      </c>
      <c r="CL79" s="214" t="s">
        <v>276</v>
      </c>
      <c r="CM79" s="211">
        <v>185</v>
      </c>
      <c r="CN79" s="215"/>
      <c r="CO79" s="215"/>
      <c r="CP79" s="216"/>
      <c r="CQ79" s="217"/>
      <c r="CR79" s="211"/>
      <c r="CS79" s="218"/>
      <c r="CT79" s="218"/>
      <c r="CU79" s="218"/>
      <c r="CV79" s="211"/>
      <c r="CW79" s="211"/>
      <c r="CX79" s="211"/>
      <c r="CY79" s="211"/>
      <c r="CZ79" s="211"/>
      <c r="DA79" s="211"/>
      <c r="DB79" s="211"/>
      <c r="DC79" s="219"/>
      <c r="DD79" s="219"/>
      <c r="DE79" s="219"/>
      <c r="DF79" s="211"/>
      <c r="DG79" s="211"/>
      <c r="DH79" s="211"/>
      <c r="DI79" s="211"/>
      <c r="DJ79" s="211"/>
      <c r="DK79" s="220" t="s">
        <v>32</v>
      </c>
      <c r="DT79" s="222"/>
    </row>
    <row r="80" spans="1:124" s="176" customFormat="1" ht="63" x14ac:dyDescent="0.2">
      <c r="A80" s="195" t="s">
        <v>108</v>
      </c>
      <c r="B80" s="197" t="s">
        <v>306</v>
      </c>
      <c r="C80" s="198">
        <v>1</v>
      </c>
      <c r="D80" s="199">
        <v>600000</v>
      </c>
      <c r="E80" s="198" t="s">
        <v>307</v>
      </c>
      <c r="F80" s="198" t="s">
        <v>115</v>
      </c>
      <c r="G80" s="198" t="s">
        <v>98</v>
      </c>
      <c r="H80" s="200">
        <v>1</v>
      </c>
      <c r="I80" s="199">
        <f t="shared" si="127"/>
        <v>0</v>
      </c>
      <c r="J80" s="199">
        <f t="shared" si="128"/>
        <v>600000</v>
      </c>
      <c r="K80" s="199">
        <f t="shared" si="129"/>
        <v>600000</v>
      </c>
      <c r="L80" s="199"/>
      <c r="M80" s="199">
        <v>600000</v>
      </c>
      <c r="N80" s="199">
        <f t="shared" si="130"/>
        <v>600000</v>
      </c>
      <c r="O80" s="199"/>
      <c r="P80" s="201">
        <v>0</v>
      </c>
      <c r="Q80" s="202">
        <v>12</v>
      </c>
      <c r="R80" s="203">
        <v>45566</v>
      </c>
      <c r="S80" s="204"/>
      <c r="T80" s="204">
        <v>600000</v>
      </c>
      <c r="U80" s="204">
        <f t="shared" si="131"/>
        <v>600000</v>
      </c>
      <c r="V80" s="205"/>
      <c r="W80" s="200"/>
      <c r="X80" s="201"/>
      <c r="Y80" s="201"/>
      <c r="Z80" s="201">
        <f t="shared" si="132"/>
        <v>0</v>
      </c>
      <c r="AA80" s="198"/>
      <c r="AB80" s="206"/>
      <c r="AC80" s="207"/>
      <c r="AD80" s="201"/>
      <c r="AE80" s="204">
        <f t="shared" si="133"/>
        <v>0</v>
      </c>
      <c r="AF80" s="203">
        <f t="shared" si="134"/>
        <v>45566</v>
      </c>
      <c r="AG80" s="201">
        <f t="shared" si="135"/>
        <v>0</v>
      </c>
      <c r="AH80" s="199">
        <f t="shared" si="136"/>
        <v>600000</v>
      </c>
      <c r="AI80" s="199">
        <f t="shared" si="137"/>
        <v>600000</v>
      </c>
      <c r="AJ80" s="201">
        <f t="shared" si="138"/>
        <v>0</v>
      </c>
      <c r="AK80" s="201">
        <f t="shared" si="138"/>
        <v>600000</v>
      </c>
      <c r="AL80" s="201">
        <f t="shared" si="139"/>
        <v>600000</v>
      </c>
      <c r="AM80" s="198"/>
      <c r="AN80" s="203"/>
      <c r="AO80" s="208"/>
      <c r="AP80" s="201">
        <f t="shared" si="140"/>
        <v>0</v>
      </c>
      <c r="AQ80" s="201">
        <f t="shared" si="141"/>
        <v>599646.4</v>
      </c>
      <c r="AR80" s="201">
        <f t="shared" si="142"/>
        <v>599646.4</v>
      </c>
      <c r="AS80" s="201">
        <f t="shared" si="143"/>
        <v>99.941066666666671</v>
      </c>
      <c r="AT80" s="201"/>
      <c r="AU80" s="223">
        <v>599646.4</v>
      </c>
      <c r="AV80" s="201">
        <f t="shared" si="144"/>
        <v>599646.4</v>
      </c>
      <c r="AW80" s="201">
        <f t="shared" si="157"/>
        <v>0</v>
      </c>
      <c r="AX80" s="201">
        <f t="shared" si="145"/>
        <v>99.941066666666671</v>
      </c>
      <c r="AY80" s="208"/>
      <c r="AZ80" s="201">
        <f t="shared" si="146"/>
        <v>0</v>
      </c>
      <c r="BA80" s="201">
        <f t="shared" si="147"/>
        <v>0</v>
      </c>
      <c r="BB80" s="201">
        <f t="shared" si="148"/>
        <v>0</v>
      </c>
      <c r="BC80" s="201"/>
      <c r="BD80" s="223">
        <v>0</v>
      </c>
      <c r="BE80" s="201">
        <f t="shared" si="149"/>
        <v>0</v>
      </c>
      <c r="BF80" s="208"/>
      <c r="BG80" s="201">
        <f t="shared" si="150"/>
        <v>0</v>
      </c>
      <c r="BH80" s="201">
        <f t="shared" si="150"/>
        <v>599646.4</v>
      </c>
      <c r="BI80" s="201">
        <f t="shared" si="151"/>
        <v>599646.4</v>
      </c>
      <c r="BJ80" s="201">
        <f t="shared" si="163"/>
        <v>99.941066666666671</v>
      </c>
      <c r="BK80" s="210">
        <v>89</v>
      </c>
      <c r="BL80" s="210">
        <v>100</v>
      </c>
      <c r="BM80" s="211"/>
      <c r="BN80" s="211"/>
      <c r="BO80" s="212">
        <f t="shared" si="152"/>
        <v>0</v>
      </c>
      <c r="BP80" s="201">
        <f t="shared" si="153"/>
        <v>353.59999999997672</v>
      </c>
      <c r="BQ80" s="201">
        <f t="shared" si="158"/>
        <v>353.59999999997672</v>
      </c>
      <c r="BR80" s="201">
        <f t="shared" si="159"/>
        <v>0</v>
      </c>
      <c r="BS80" s="201">
        <f t="shared" si="159"/>
        <v>353.59999999997672</v>
      </c>
      <c r="BT80" s="201">
        <f t="shared" si="160"/>
        <v>353.59999999997672</v>
      </c>
      <c r="BU80" s="213">
        <f t="shared" si="161"/>
        <v>0</v>
      </c>
      <c r="BV80" s="201"/>
      <c r="BW80" s="201"/>
      <c r="BX80" s="201">
        <f t="shared" si="162"/>
        <v>0</v>
      </c>
      <c r="BY80" s="199">
        <v>42000</v>
      </c>
      <c r="BZ80" s="199">
        <v>180000</v>
      </c>
      <c r="CA80" s="199">
        <v>312000</v>
      </c>
      <c r="CB80" s="199">
        <v>66000</v>
      </c>
      <c r="CC80" s="199"/>
      <c r="CD80" s="199"/>
      <c r="CE80" s="199"/>
      <c r="CF80" s="199"/>
      <c r="CG80" s="199"/>
      <c r="CH80" s="199"/>
      <c r="CI80" s="199"/>
      <c r="CJ80" s="199"/>
      <c r="CK80" s="214" t="s">
        <v>308</v>
      </c>
      <c r="CL80" s="214" t="s">
        <v>276</v>
      </c>
      <c r="CM80" s="211">
        <v>185</v>
      </c>
      <c r="CN80" s="215"/>
      <c r="CO80" s="215"/>
      <c r="CP80" s="216"/>
      <c r="CQ80" s="217"/>
      <c r="CR80" s="211"/>
      <c r="CS80" s="218"/>
      <c r="CT80" s="218"/>
      <c r="CU80" s="218"/>
      <c r="CV80" s="211"/>
      <c r="CW80" s="211"/>
      <c r="CX80" s="211"/>
      <c r="CY80" s="211"/>
      <c r="CZ80" s="211"/>
      <c r="DA80" s="211"/>
      <c r="DB80" s="211"/>
      <c r="DC80" s="219"/>
      <c r="DD80" s="219"/>
      <c r="DE80" s="219"/>
      <c r="DF80" s="211"/>
      <c r="DG80" s="211"/>
      <c r="DH80" s="211"/>
      <c r="DI80" s="211"/>
      <c r="DJ80" s="211"/>
      <c r="DK80" s="220" t="s">
        <v>32</v>
      </c>
      <c r="DT80" s="222"/>
    </row>
    <row r="81" spans="1:124" s="176" customFormat="1" ht="42" x14ac:dyDescent="0.2">
      <c r="A81" s="195" t="s">
        <v>108</v>
      </c>
      <c r="B81" s="197" t="s">
        <v>309</v>
      </c>
      <c r="C81" s="198">
        <v>1</v>
      </c>
      <c r="D81" s="199">
        <v>780000</v>
      </c>
      <c r="E81" s="198" t="s">
        <v>310</v>
      </c>
      <c r="F81" s="198" t="s">
        <v>311</v>
      </c>
      <c r="G81" s="198" t="s">
        <v>98</v>
      </c>
      <c r="H81" s="200">
        <v>1</v>
      </c>
      <c r="I81" s="199">
        <f t="shared" si="127"/>
        <v>0</v>
      </c>
      <c r="J81" s="199">
        <f t="shared" si="128"/>
        <v>780000</v>
      </c>
      <c r="K81" s="199">
        <f t="shared" si="129"/>
        <v>780000</v>
      </c>
      <c r="L81" s="199"/>
      <c r="M81" s="199">
        <v>780000</v>
      </c>
      <c r="N81" s="199">
        <f t="shared" si="130"/>
        <v>780000</v>
      </c>
      <c r="O81" s="199"/>
      <c r="P81" s="201">
        <v>0</v>
      </c>
      <c r="Q81" s="202">
        <v>12</v>
      </c>
      <c r="R81" s="203">
        <v>45566</v>
      </c>
      <c r="S81" s="204"/>
      <c r="T81" s="204">
        <v>780000</v>
      </c>
      <c r="U81" s="204">
        <f t="shared" si="131"/>
        <v>780000</v>
      </c>
      <c r="V81" s="205"/>
      <c r="W81" s="200"/>
      <c r="X81" s="201"/>
      <c r="Y81" s="201"/>
      <c r="Z81" s="201">
        <f t="shared" si="132"/>
        <v>0</v>
      </c>
      <c r="AA81" s="198"/>
      <c r="AB81" s="206"/>
      <c r="AC81" s="207"/>
      <c r="AD81" s="201"/>
      <c r="AE81" s="204">
        <f t="shared" si="133"/>
        <v>0</v>
      </c>
      <c r="AF81" s="203">
        <f t="shared" si="134"/>
        <v>45566</v>
      </c>
      <c r="AG81" s="201">
        <f t="shared" si="135"/>
        <v>0</v>
      </c>
      <c r="AH81" s="199">
        <f t="shared" si="136"/>
        <v>780000</v>
      </c>
      <c r="AI81" s="199">
        <f t="shared" si="137"/>
        <v>780000</v>
      </c>
      <c r="AJ81" s="201">
        <f t="shared" si="138"/>
        <v>0</v>
      </c>
      <c r="AK81" s="201">
        <f t="shared" si="138"/>
        <v>780000</v>
      </c>
      <c r="AL81" s="201">
        <f t="shared" si="139"/>
        <v>780000</v>
      </c>
      <c r="AM81" s="198"/>
      <c r="AN81" s="203"/>
      <c r="AO81" s="208"/>
      <c r="AP81" s="201">
        <f t="shared" si="140"/>
        <v>0</v>
      </c>
      <c r="AQ81" s="201">
        <f t="shared" si="141"/>
        <v>663230.46</v>
      </c>
      <c r="AR81" s="201">
        <f t="shared" si="142"/>
        <v>663230.46</v>
      </c>
      <c r="AS81" s="201">
        <f t="shared" si="143"/>
        <v>85.029546153846155</v>
      </c>
      <c r="AT81" s="201"/>
      <c r="AU81" s="209">
        <v>663230.46</v>
      </c>
      <c r="AV81" s="201">
        <f t="shared" si="144"/>
        <v>663230.46</v>
      </c>
      <c r="AW81" s="201">
        <f t="shared" si="157"/>
        <v>0</v>
      </c>
      <c r="AX81" s="201">
        <f t="shared" si="145"/>
        <v>85.029546153846155</v>
      </c>
      <c r="AY81" s="208"/>
      <c r="AZ81" s="201">
        <f t="shared" si="146"/>
        <v>0</v>
      </c>
      <c r="BA81" s="201">
        <f t="shared" si="147"/>
        <v>0</v>
      </c>
      <c r="BB81" s="201">
        <f t="shared" si="148"/>
        <v>0</v>
      </c>
      <c r="BC81" s="201"/>
      <c r="BD81" s="223">
        <v>0</v>
      </c>
      <c r="BE81" s="201">
        <f t="shared" si="149"/>
        <v>0</v>
      </c>
      <c r="BF81" s="208"/>
      <c r="BG81" s="201">
        <f t="shared" si="150"/>
        <v>0</v>
      </c>
      <c r="BH81" s="201">
        <f t="shared" si="150"/>
        <v>663230.46</v>
      </c>
      <c r="BI81" s="201">
        <f t="shared" si="151"/>
        <v>663230.46</v>
      </c>
      <c r="BJ81" s="201">
        <f t="shared" si="163"/>
        <v>85.029546153846155</v>
      </c>
      <c r="BK81" s="210">
        <v>89</v>
      </c>
      <c r="BL81" s="210">
        <v>50</v>
      </c>
      <c r="BM81" s="211"/>
      <c r="BN81" s="211"/>
      <c r="BO81" s="212">
        <f t="shared" si="152"/>
        <v>0</v>
      </c>
      <c r="BP81" s="201">
        <f t="shared" si="153"/>
        <v>116769.54000000004</v>
      </c>
      <c r="BQ81" s="201">
        <f t="shared" si="158"/>
        <v>116769.54000000004</v>
      </c>
      <c r="BR81" s="201">
        <f t="shared" si="159"/>
        <v>0</v>
      </c>
      <c r="BS81" s="201">
        <f t="shared" si="159"/>
        <v>116769.54000000004</v>
      </c>
      <c r="BT81" s="201">
        <f t="shared" si="160"/>
        <v>116769.54000000004</v>
      </c>
      <c r="BU81" s="213">
        <f t="shared" si="161"/>
        <v>0</v>
      </c>
      <c r="BV81" s="201"/>
      <c r="BW81" s="201"/>
      <c r="BX81" s="201">
        <f t="shared" si="162"/>
        <v>0</v>
      </c>
      <c r="BY81" s="199">
        <v>54600</v>
      </c>
      <c r="BZ81" s="199">
        <v>234000</v>
      </c>
      <c r="CA81" s="199">
        <v>405600</v>
      </c>
      <c r="CB81" s="199">
        <v>85800</v>
      </c>
      <c r="CC81" s="199"/>
      <c r="CD81" s="199"/>
      <c r="CE81" s="199"/>
      <c r="CF81" s="199"/>
      <c r="CG81" s="199"/>
      <c r="CH81" s="199"/>
      <c r="CI81" s="199"/>
      <c r="CJ81" s="199"/>
      <c r="CK81" s="214" t="s">
        <v>312</v>
      </c>
      <c r="CL81" s="214" t="s">
        <v>276</v>
      </c>
      <c r="CM81" s="211">
        <v>185</v>
      </c>
      <c r="CN81" s="215"/>
      <c r="CO81" s="215"/>
      <c r="CP81" s="216"/>
      <c r="CQ81" s="217"/>
      <c r="CR81" s="211"/>
      <c r="CS81" s="218"/>
      <c r="CT81" s="218"/>
      <c r="CU81" s="218"/>
      <c r="CV81" s="211"/>
      <c r="CW81" s="211"/>
      <c r="CX81" s="211"/>
      <c r="CY81" s="211"/>
      <c r="CZ81" s="211"/>
      <c r="DA81" s="211"/>
      <c r="DB81" s="211"/>
      <c r="DC81" s="219"/>
      <c r="DD81" s="219"/>
      <c r="DE81" s="219"/>
      <c r="DF81" s="211"/>
      <c r="DG81" s="211"/>
      <c r="DH81" s="211"/>
      <c r="DI81" s="211"/>
      <c r="DJ81" s="211"/>
      <c r="DK81" s="220" t="s">
        <v>32</v>
      </c>
      <c r="DT81" s="222"/>
    </row>
    <row r="82" spans="1:124" s="176" customFormat="1" ht="42" x14ac:dyDescent="0.2">
      <c r="A82" s="195" t="s">
        <v>108</v>
      </c>
      <c r="B82" s="197" t="s">
        <v>313</v>
      </c>
      <c r="C82" s="198">
        <v>1</v>
      </c>
      <c r="D82" s="199">
        <v>700000</v>
      </c>
      <c r="E82" s="198" t="s">
        <v>314</v>
      </c>
      <c r="F82" s="198" t="s">
        <v>315</v>
      </c>
      <c r="G82" s="198" t="s">
        <v>98</v>
      </c>
      <c r="H82" s="200">
        <v>1</v>
      </c>
      <c r="I82" s="199">
        <f t="shared" si="127"/>
        <v>0</v>
      </c>
      <c r="J82" s="199">
        <f t="shared" si="128"/>
        <v>700000</v>
      </c>
      <c r="K82" s="199">
        <f t="shared" si="129"/>
        <v>700000</v>
      </c>
      <c r="L82" s="199"/>
      <c r="M82" s="199">
        <v>700000</v>
      </c>
      <c r="N82" s="199">
        <f t="shared" si="130"/>
        <v>700000</v>
      </c>
      <c r="O82" s="199"/>
      <c r="P82" s="201">
        <v>0</v>
      </c>
      <c r="Q82" s="202">
        <v>12</v>
      </c>
      <c r="R82" s="203">
        <v>45566</v>
      </c>
      <c r="S82" s="204"/>
      <c r="T82" s="204">
        <v>700000</v>
      </c>
      <c r="U82" s="204">
        <f t="shared" si="131"/>
        <v>700000</v>
      </c>
      <c r="V82" s="205"/>
      <c r="W82" s="200"/>
      <c r="X82" s="201"/>
      <c r="Y82" s="201"/>
      <c r="Z82" s="201">
        <f t="shared" si="132"/>
        <v>0</v>
      </c>
      <c r="AA82" s="198"/>
      <c r="AB82" s="206"/>
      <c r="AC82" s="207"/>
      <c r="AD82" s="201"/>
      <c r="AE82" s="204">
        <f t="shared" si="133"/>
        <v>0</v>
      </c>
      <c r="AF82" s="203">
        <f t="shared" si="134"/>
        <v>45566</v>
      </c>
      <c r="AG82" s="201">
        <f t="shared" si="135"/>
        <v>0</v>
      </c>
      <c r="AH82" s="199">
        <f t="shared" si="136"/>
        <v>700000</v>
      </c>
      <c r="AI82" s="199">
        <f t="shared" si="137"/>
        <v>700000</v>
      </c>
      <c r="AJ82" s="201">
        <f t="shared" si="138"/>
        <v>0</v>
      </c>
      <c r="AK82" s="201">
        <f t="shared" si="138"/>
        <v>700000</v>
      </c>
      <c r="AL82" s="201">
        <f t="shared" si="139"/>
        <v>700000</v>
      </c>
      <c r="AM82" s="198"/>
      <c r="AN82" s="203"/>
      <c r="AO82" s="208"/>
      <c r="AP82" s="201">
        <f t="shared" si="140"/>
        <v>0</v>
      </c>
      <c r="AQ82" s="201">
        <f t="shared" si="141"/>
        <v>699498.22</v>
      </c>
      <c r="AR82" s="201">
        <f t="shared" si="142"/>
        <v>699498.22</v>
      </c>
      <c r="AS82" s="201">
        <f t="shared" si="143"/>
        <v>99.928317142857139</v>
      </c>
      <c r="AT82" s="201"/>
      <c r="AU82" s="223">
        <v>699498.22</v>
      </c>
      <c r="AV82" s="201">
        <f t="shared" si="144"/>
        <v>699498.22</v>
      </c>
      <c r="AW82" s="201">
        <f t="shared" si="157"/>
        <v>0</v>
      </c>
      <c r="AX82" s="201">
        <f t="shared" si="145"/>
        <v>99.928317142857139</v>
      </c>
      <c r="AY82" s="208"/>
      <c r="AZ82" s="201">
        <f t="shared" si="146"/>
        <v>0</v>
      </c>
      <c r="BA82" s="201">
        <f t="shared" si="147"/>
        <v>0</v>
      </c>
      <c r="BB82" s="201">
        <f t="shared" si="148"/>
        <v>0</v>
      </c>
      <c r="BC82" s="201"/>
      <c r="BD82" s="223">
        <v>0</v>
      </c>
      <c r="BE82" s="201">
        <f t="shared" si="149"/>
        <v>0</v>
      </c>
      <c r="BF82" s="208"/>
      <c r="BG82" s="201">
        <f t="shared" si="150"/>
        <v>0</v>
      </c>
      <c r="BH82" s="201">
        <f t="shared" si="150"/>
        <v>699498.22</v>
      </c>
      <c r="BI82" s="201">
        <f t="shared" si="151"/>
        <v>699498.22</v>
      </c>
      <c r="BJ82" s="201">
        <f t="shared" si="163"/>
        <v>99.928317142857139</v>
      </c>
      <c r="BK82" s="210">
        <v>89</v>
      </c>
      <c r="BL82" s="210">
        <v>100</v>
      </c>
      <c r="BM82" s="211"/>
      <c r="BN82" s="211"/>
      <c r="BO82" s="212">
        <f t="shared" si="152"/>
        <v>0</v>
      </c>
      <c r="BP82" s="201">
        <f t="shared" si="153"/>
        <v>501.78000000002794</v>
      </c>
      <c r="BQ82" s="201">
        <f t="shared" si="158"/>
        <v>501.78000000002794</v>
      </c>
      <c r="BR82" s="201">
        <f t="shared" si="159"/>
        <v>0</v>
      </c>
      <c r="BS82" s="201">
        <f t="shared" si="159"/>
        <v>501.78000000002794</v>
      </c>
      <c r="BT82" s="201">
        <f t="shared" si="160"/>
        <v>501.78000000002794</v>
      </c>
      <c r="BU82" s="213">
        <f t="shared" si="161"/>
        <v>0</v>
      </c>
      <c r="BV82" s="201"/>
      <c r="BW82" s="201"/>
      <c r="BX82" s="201">
        <f t="shared" si="162"/>
        <v>0</v>
      </c>
      <c r="BY82" s="199">
        <v>49000</v>
      </c>
      <c r="BZ82" s="199">
        <v>210000</v>
      </c>
      <c r="CA82" s="199">
        <v>364000</v>
      </c>
      <c r="CB82" s="199">
        <v>77000</v>
      </c>
      <c r="CC82" s="199"/>
      <c r="CD82" s="199"/>
      <c r="CE82" s="199"/>
      <c r="CF82" s="199"/>
      <c r="CG82" s="199"/>
      <c r="CH82" s="199"/>
      <c r="CI82" s="199"/>
      <c r="CJ82" s="199"/>
      <c r="CK82" s="214" t="s">
        <v>316</v>
      </c>
      <c r="CL82" s="214" t="s">
        <v>276</v>
      </c>
      <c r="CM82" s="211">
        <v>185</v>
      </c>
      <c r="CN82" s="215"/>
      <c r="CO82" s="215"/>
      <c r="CP82" s="216"/>
      <c r="CQ82" s="217"/>
      <c r="CR82" s="211"/>
      <c r="CS82" s="218"/>
      <c r="CT82" s="218"/>
      <c r="CU82" s="218"/>
      <c r="CV82" s="211"/>
      <c r="CW82" s="211"/>
      <c r="CX82" s="211"/>
      <c r="CY82" s="211"/>
      <c r="CZ82" s="211"/>
      <c r="DA82" s="211"/>
      <c r="DB82" s="211"/>
      <c r="DC82" s="219"/>
      <c r="DD82" s="219"/>
      <c r="DE82" s="219"/>
      <c r="DF82" s="211"/>
      <c r="DG82" s="211"/>
      <c r="DH82" s="211"/>
      <c r="DI82" s="211"/>
      <c r="DJ82" s="211"/>
      <c r="DK82" s="220" t="s">
        <v>32</v>
      </c>
      <c r="DT82" s="222"/>
    </row>
    <row r="83" spans="1:124" s="176" customFormat="1" ht="63" x14ac:dyDescent="0.2">
      <c r="A83" s="195" t="s">
        <v>108</v>
      </c>
      <c r="B83" s="197" t="s">
        <v>317</v>
      </c>
      <c r="C83" s="198">
        <v>1</v>
      </c>
      <c r="D83" s="199">
        <v>920000</v>
      </c>
      <c r="E83" s="198" t="s">
        <v>318</v>
      </c>
      <c r="F83" s="198" t="s">
        <v>318</v>
      </c>
      <c r="G83" s="198" t="s">
        <v>98</v>
      </c>
      <c r="H83" s="200">
        <v>1</v>
      </c>
      <c r="I83" s="199">
        <f t="shared" si="127"/>
        <v>0</v>
      </c>
      <c r="J83" s="199">
        <f t="shared" si="128"/>
        <v>920000</v>
      </c>
      <c r="K83" s="199">
        <f t="shared" si="129"/>
        <v>920000</v>
      </c>
      <c r="L83" s="199"/>
      <c r="M83" s="199">
        <v>920000</v>
      </c>
      <c r="N83" s="199">
        <f t="shared" si="130"/>
        <v>920000</v>
      </c>
      <c r="O83" s="199"/>
      <c r="P83" s="201">
        <v>0</v>
      </c>
      <c r="Q83" s="202">
        <v>12</v>
      </c>
      <c r="R83" s="203">
        <v>45566</v>
      </c>
      <c r="S83" s="204"/>
      <c r="T83" s="204">
        <v>920000</v>
      </c>
      <c r="U83" s="204">
        <f t="shared" si="131"/>
        <v>920000</v>
      </c>
      <c r="V83" s="205"/>
      <c r="W83" s="200"/>
      <c r="X83" s="201"/>
      <c r="Y83" s="201"/>
      <c r="Z83" s="201">
        <f t="shared" si="132"/>
        <v>0</v>
      </c>
      <c r="AA83" s="198"/>
      <c r="AB83" s="206"/>
      <c r="AC83" s="207"/>
      <c r="AD83" s="201"/>
      <c r="AE83" s="204">
        <f t="shared" si="133"/>
        <v>0</v>
      </c>
      <c r="AF83" s="203">
        <f t="shared" si="134"/>
        <v>45566</v>
      </c>
      <c r="AG83" s="201">
        <f t="shared" si="135"/>
        <v>0</v>
      </c>
      <c r="AH83" s="199">
        <f t="shared" si="136"/>
        <v>920000</v>
      </c>
      <c r="AI83" s="199">
        <f t="shared" si="137"/>
        <v>920000</v>
      </c>
      <c r="AJ83" s="201">
        <f t="shared" si="138"/>
        <v>0</v>
      </c>
      <c r="AK83" s="201">
        <f t="shared" si="138"/>
        <v>920000</v>
      </c>
      <c r="AL83" s="201">
        <f t="shared" si="139"/>
        <v>920000</v>
      </c>
      <c r="AM83" s="198"/>
      <c r="AN83" s="203"/>
      <c r="AO83" s="208"/>
      <c r="AP83" s="201">
        <f t="shared" si="140"/>
        <v>0</v>
      </c>
      <c r="AQ83" s="201">
        <f t="shared" si="141"/>
        <v>919278.95</v>
      </c>
      <c r="AR83" s="201">
        <f t="shared" si="142"/>
        <v>919278.95</v>
      </c>
      <c r="AS83" s="201">
        <f t="shared" si="143"/>
        <v>99.921625000000006</v>
      </c>
      <c r="AT83" s="201"/>
      <c r="AU83" s="209">
        <v>919278.95</v>
      </c>
      <c r="AV83" s="201">
        <f t="shared" si="144"/>
        <v>919278.95</v>
      </c>
      <c r="AW83" s="201">
        <f t="shared" si="157"/>
        <v>0</v>
      </c>
      <c r="AX83" s="201">
        <f t="shared" si="145"/>
        <v>99.921625000000006</v>
      </c>
      <c r="AY83" s="208"/>
      <c r="AZ83" s="201">
        <f t="shared" si="146"/>
        <v>0</v>
      </c>
      <c r="BA83" s="201">
        <f t="shared" si="147"/>
        <v>0</v>
      </c>
      <c r="BB83" s="201">
        <f t="shared" si="148"/>
        <v>0</v>
      </c>
      <c r="BC83" s="201"/>
      <c r="BD83" s="223">
        <v>0</v>
      </c>
      <c r="BE83" s="201">
        <f t="shared" si="149"/>
        <v>0</v>
      </c>
      <c r="BF83" s="208"/>
      <c r="BG83" s="201">
        <f t="shared" si="150"/>
        <v>0</v>
      </c>
      <c r="BH83" s="201">
        <f t="shared" si="150"/>
        <v>919278.95</v>
      </c>
      <c r="BI83" s="201">
        <f t="shared" si="151"/>
        <v>919278.95</v>
      </c>
      <c r="BJ83" s="201">
        <f t="shared" si="163"/>
        <v>99.921625000000006</v>
      </c>
      <c r="BK83" s="210">
        <v>89</v>
      </c>
      <c r="BL83" s="210">
        <v>70</v>
      </c>
      <c r="BM83" s="211"/>
      <c r="BN83" s="211"/>
      <c r="BO83" s="212">
        <f t="shared" si="152"/>
        <v>0</v>
      </c>
      <c r="BP83" s="201">
        <f t="shared" si="153"/>
        <v>721.05000000004657</v>
      </c>
      <c r="BQ83" s="201">
        <f t="shared" si="158"/>
        <v>721.05000000004657</v>
      </c>
      <c r="BR83" s="201">
        <f t="shared" si="159"/>
        <v>0</v>
      </c>
      <c r="BS83" s="201">
        <f t="shared" si="159"/>
        <v>721.05000000004657</v>
      </c>
      <c r="BT83" s="201">
        <f t="shared" si="160"/>
        <v>721.05000000004657</v>
      </c>
      <c r="BU83" s="213">
        <f t="shared" si="161"/>
        <v>0</v>
      </c>
      <c r="BV83" s="201"/>
      <c r="BW83" s="201"/>
      <c r="BX83" s="201">
        <f t="shared" si="162"/>
        <v>0</v>
      </c>
      <c r="BY83" s="199">
        <v>64400</v>
      </c>
      <c r="BZ83" s="199">
        <v>276000</v>
      </c>
      <c r="CA83" s="199">
        <v>478400</v>
      </c>
      <c r="CB83" s="199">
        <v>101200</v>
      </c>
      <c r="CC83" s="199"/>
      <c r="CD83" s="199"/>
      <c r="CE83" s="199"/>
      <c r="CF83" s="199"/>
      <c r="CG83" s="199"/>
      <c r="CH83" s="199"/>
      <c r="CI83" s="199"/>
      <c r="CJ83" s="199"/>
      <c r="CK83" s="214" t="s">
        <v>319</v>
      </c>
      <c r="CL83" s="214" t="s">
        <v>276</v>
      </c>
      <c r="CM83" s="211">
        <v>185</v>
      </c>
      <c r="CN83" s="215"/>
      <c r="CO83" s="215"/>
      <c r="CP83" s="216"/>
      <c r="CQ83" s="217"/>
      <c r="CR83" s="211"/>
      <c r="CS83" s="218"/>
      <c r="CT83" s="218"/>
      <c r="CU83" s="218"/>
      <c r="CV83" s="211"/>
      <c r="CW83" s="211"/>
      <c r="CX83" s="211"/>
      <c r="CY83" s="211"/>
      <c r="CZ83" s="211"/>
      <c r="DA83" s="211"/>
      <c r="DB83" s="211"/>
      <c r="DC83" s="219"/>
      <c r="DD83" s="219"/>
      <c r="DE83" s="219"/>
      <c r="DF83" s="211"/>
      <c r="DG83" s="211"/>
      <c r="DH83" s="211"/>
      <c r="DI83" s="211"/>
      <c r="DJ83" s="211"/>
      <c r="DK83" s="220" t="s">
        <v>32</v>
      </c>
      <c r="DT83" s="222"/>
    </row>
    <row r="84" spans="1:124" s="176" customFormat="1" ht="63" x14ac:dyDescent="0.2">
      <c r="A84" s="195" t="s">
        <v>108</v>
      </c>
      <c r="B84" s="197" t="s">
        <v>320</v>
      </c>
      <c r="C84" s="198">
        <v>1</v>
      </c>
      <c r="D84" s="199">
        <v>650000</v>
      </c>
      <c r="E84" s="198" t="s">
        <v>321</v>
      </c>
      <c r="F84" s="198" t="s">
        <v>106</v>
      </c>
      <c r="G84" s="198" t="s">
        <v>98</v>
      </c>
      <c r="H84" s="200">
        <v>1</v>
      </c>
      <c r="I84" s="199">
        <f t="shared" si="127"/>
        <v>0</v>
      </c>
      <c r="J84" s="199">
        <f t="shared" si="128"/>
        <v>650000</v>
      </c>
      <c r="K84" s="199">
        <f t="shared" si="129"/>
        <v>650000</v>
      </c>
      <c r="L84" s="199"/>
      <c r="M84" s="199">
        <v>650000</v>
      </c>
      <c r="N84" s="199">
        <f t="shared" si="130"/>
        <v>650000</v>
      </c>
      <c r="O84" s="199"/>
      <c r="P84" s="201">
        <v>0</v>
      </c>
      <c r="Q84" s="202">
        <v>12</v>
      </c>
      <c r="R84" s="203">
        <v>45566</v>
      </c>
      <c r="S84" s="204"/>
      <c r="T84" s="204">
        <v>650000</v>
      </c>
      <c r="U84" s="204">
        <f t="shared" si="131"/>
        <v>650000</v>
      </c>
      <c r="V84" s="205"/>
      <c r="W84" s="200"/>
      <c r="X84" s="201"/>
      <c r="Y84" s="201"/>
      <c r="Z84" s="201">
        <f t="shared" si="132"/>
        <v>0</v>
      </c>
      <c r="AA84" s="198"/>
      <c r="AB84" s="206"/>
      <c r="AC84" s="207"/>
      <c r="AD84" s="201"/>
      <c r="AE84" s="204">
        <f t="shared" si="133"/>
        <v>0</v>
      </c>
      <c r="AF84" s="203">
        <f t="shared" si="134"/>
        <v>45566</v>
      </c>
      <c r="AG84" s="201">
        <f t="shared" si="135"/>
        <v>0</v>
      </c>
      <c r="AH84" s="199">
        <f t="shared" si="136"/>
        <v>650000</v>
      </c>
      <c r="AI84" s="199">
        <f t="shared" si="137"/>
        <v>650000</v>
      </c>
      <c r="AJ84" s="201">
        <f t="shared" ref="AJ84:AK123" si="164">+S84+X84+AC84</f>
        <v>0</v>
      </c>
      <c r="AK84" s="201">
        <f t="shared" si="164"/>
        <v>650000</v>
      </c>
      <c r="AL84" s="201">
        <f t="shared" si="139"/>
        <v>650000</v>
      </c>
      <c r="AM84" s="198"/>
      <c r="AN84" s="203"/>
      <c r="AO84" s="208"/>
      <c r="AP84" s="201">
        <f t="shared" si="140"/>
        <v>0</v>
      </c>
      <c r="AQ84" s="201">
        <f t="shared" si="141"/>
        <v>649600.44999999995</v>
      </c>
      <c r="AR84" s="201">
        <f t="shared" si="142"/>
        <v>649600.44999999995</v>
      </c>
      <c r="AS84" s="201">
        <f t="shared" si="143"/>
        <v>99.938530769230752</v>
      </c>
      <c r="AT84" s="201"/>
      <c r="AU84" s="223">
        <v>649600.44999999995</v>
      </c>
      <c r="AV84" s="201">
        <f t="shared" si="144"/>
        <v>649600.44999999995</v>
      </c>
      <c r="AW84" s="201">
        <f t="shared" si="157"/>
        <v>0</v>
      </c>
      <c r="AX84" s="201">
        <f t="shared" si="145"/>
        <v>99.938530769230752</v>
      </c>
      <c r="AY84" s="208"/>
      <c r="AZ84" s="201">
        <f t="shared" si="146"/>
        <v>0</v>
      </c>
      <c r="BA84" s="201">
        <f t="shared" si="147"/>
        <v>0</v>
      </c>
      <c r="BB84" s="201">
        <f t="shared" si="148"/>
        <v>0</v>
      </c>
      <c r="BC84" s="201"/>
      <c r="BD84" s="223">
        <v>0</v>
      </c>
      <c r="BE84" s="201">
        <f t="shared" si="149"/>
        <v>0</v>
      </c>
      <c r="BF84" s="208"/>
      <c r="BG84" s="201">
        <f t="shared" ref="BG84:BH123" si="165">+AP84+AZ84</f>
        <v>0</v>
      </c>
      <c r="BH84" s="201">
        <f t="shared" si="165"/>
        <v>649600.44999999995</v>
      </c>
      <c r="BI84" s="201">
        <f t="shared" si="151"/>
        <v>649600.44999999995</v>
      </c>
      <c r="BJ84" s="201">
        <f t="shared" si="163"/>
        <v>99.938530769230752</v>
      </c>
      <c r="BK84" s="210">
        <v>89</v>
      </c>
      <c r="BL84" s="210">
        <v>100</v>
      </c>
      <c r="BM84" s="211"/>
      <c r="BN84" s="211"/>
      <c r="BO84" s="212">
        <f t="shared" si="152"/>
        <v>0</v>
      </c>
      <c r="BP84" s="201">
        <f t="shared" si="153"/>
        <v>399.55000000004657</v>
      </c>
      <c r="BQ84" s="201">
        <f t="shared" si="158"/>
        <v>399.55000000004657</v>
      </c>
      <c r="BR84" s="201">
        <f t="shared" si="159"/>
        <v>0</v>
      </c>
      <c r="BS84" s="201">
        <f t="shared" si="159"/>
        <v>399.55000000004657</v>
      </c>
      <c r="BT84" s="201">
        <f t="shared" si="160"/>
        <v>399.55000000004657</v>
      </c>
      <c r="BU84" s="213">
        <f t="shared" si="161"/>
        <v>0</v>
      </c>
      <c r="BV84" s="201"/>
      <c r="BW84" s="201"/>
      <c r="BX84" s="201">
        <f t="shared" si="162"/>
        <v>0</v>
      </c>
      <c r="BY84" s="199">
        <v>45500</v>
      </c>
      <c r="BZ84" s="199">
        <v>195000</v>
      </c>
      <c r="CA84" s="199">
        <v>338000</v>
      </c>
      <c r="CB84" s="199">
        <v>71500</v>
      </c>
      <c r="CC84" s="199"/>
      <c r="CD84" s="199"/>
      <c r="CE84" s="199"/>
      <c r="CF84" s="199"/>
      <c r="CG84" s="199"/>
      <c r="CH84" s="199"/>
      <c r="CI84" s="199"/>
      <c r="CJ84" s="199"/>
      <c r="CK84" s="214" t="s">
        <v>322</v>
      </c>
      <c r="CL84" s="214" t="s">
        <v>276</v>
      </c>
      <c r="CM84" s="211">
        <v>185</v>
      </c>
      <c r="CN84" s="215"/>
      <c r="CO84" s="215"/>
      <c r="CP84" s="216"/>
      <c r="CQ84" s="217"/>
      <c r="CR84" s="211"/>
      <c r="CS84" s="218"/>
      <c r="CT84" s="218"/>
      <c r="CU84" s="218"/>
      <c r="CV84" s="211"/>
      <c r="CW84" s="211"/>
      <c r="CX84" s="211"/>
      <c r="CY84" s="211"/>
      <c r="CZ84" s="211"/>
      <c r="DA84" s="211"/>
      <c r="DB84" s="211"/>
      <c r="DC84" s="219"/>
      <c r="DD84" s="219"/>
      <c r="DE84" s="219"/>
      <c r="DF84" s="211"/>
      <c r="DG84" s="211"/>
      <c r="DH84" s="211"/>
      <c r="DI84" s="211"/>
      <c r="DJ84" s="211"/>
      <c r="DK84" s="220" t="s">
        <v>32</v>
      </c>
      <c r="DT84" s="222"/>
    </row>
    <row r="85" spans="1:124" s="176" customFormat="1" ht="42" x14ac:dyDescent="0.2">
      <c r="A85" s="195" t="s">
        <v>108</v>
      </c>
      <c r="B85" s="197" t="s">
        <v>323</v>
      </c>
      <c r="C85" s="198">
        <v>1</v>
      </c>
      <c r="D85" s="199">
        <v>900000</v>
      </c>
      <c r="E85" s="198" t="s">
        <v>310</v>
      </c>
      <c r="F85" s="198" t="s">
        <v>311</v>
      </c>
      <c r="G85" s="198" t="s">
        <v>98</v>
      </c>
      <c r="H85" s="200">
        <v>1</v>
      </c>
      <c r="I85" s="199">
        <f t="shared" si="127"/>
        <v>300000</v>
      </c>
      <c r="J85" s="199">
        <f t="shared" si="128"/>
        <v>600000</v>
      </c>
      <c r="K85" s="199">
        <f t="shared" si="129"/>
        <v>900000</v>
      </c>
      <c r="L85" s="199">
        <v>300000</v>
      </c>
      <c r="M85" s="199">
        <v>600000</v>
      </c>
      <c r="N85" s="199">
        <f t="shared" si="130"/>
        <v>900000</v>
      </c>
      <c r="O85" s="199"/>
      <c r="P85" s="201">
        <v>0</v>
      </c>
      <c r="Q85" s="202">
        <v>11</v>
      </c>
      <c r="R85" s="203">
        <v>45566</v>
      </c>
      <c r="S85" s="204"/>
      <c r="T85" s="204">
        <v>600000</v>
      </c>
      <c r="U85" s="204">
        <f t="shared" si="131"/>
        <v>600000</v>
      </c>
      <c r="V85" s="205">
        <v>1574</v>
      </c>
      <c r="W85" s="200">
        <v>45708</v>
      </c>
      <c r="X85" s="201">
        <v>290390</v>
      </c>
      <c r="Y85" s="201"/>
      <c r="Z85" s="201">
        <f t="shared" si="132"/>
        <v>290390</v>
      </c>
      <c r="AA85" s="198"/>
      <c r="AB85" s="206"/>
      <c r="AC85" s="207"/>
      <c r="AD85" s="201"/>
      <c r="AE85" s="204">
        <f t="shared" si="133"/>
        <v>0</v>
      </c>
      <c r="AF85" s="203">
        <f t="shared" si="134"/>
        <v>45566</v>
      </c>
      <c r="AG85" s="201">
        <f t="shared" si="135"/>
        <v>290390</v>
      </c>
      <c r="AH85" s="199">
        <f t="shared" si="136"/>
        <v>600000</v>
      </c>
      <c r="AI85" s="199">
        <f t="shared" si="137"/>
        <v>890390</v>
      </c>
      <c r="AJ85" s="201">
        <f t="shared" si="164"/>
        <v>290390</v>
      </c>
      <c r="AK85" s="201">
        <f t="shared" si="164"/>
        <v>600000</v>
      </c>
      <c r="AL85" s="201">
        <f t="shared" si="139"/>
        <v>890390</v>
      </c>
      <c r="AM85" s="198"/>
      <c r="AN85" s="203"/>
      <c r="AO85" s="208"/>
      <c r="AP85" s="201">
        <f t="shared" si="140"/>
        <v>0</v>
      </c>
      <c r="AQ85" s="201">
        <f t="shared" si="141"/>
        <v>404517.75</v>
      </c>
      <c r="AR85" s="201">
        <f t="shared" si="142"/>
        <v>404517.75</v>
      </c>
      <c r="AS85" s="201">
        <f t="shared" si="143"/>
        <v>45.431524388189445</v>
      </c>
      <c r="AT85" s="201"/>
      <c r="AU85" s="223">
        <v>404517.75</v>
      </c>
      <c r="AV85" s="201">
        <f t="shared" si="144"/>
        <v>404517.75</v>
      </c>
      <c r="AW85" s="201">
        <f t="shared" si="157"/>
        <v>0</v>
      </c>
      <c r="AX85" s="201">
        <f t="shared" si="145"/>
        <v>45.431524388189445</v>
      </c>
      <c r="AY85" s="208"/>
      <c r="AZ85" s="201">
        <f t="shared" si="146"/>
        <v>290390</v>
      </c>
      <c r="BA85" s="201">
        <f t="shared" si="147"/>
        <v>0</v>
      </c>
      <c r="BB85" s="201">
        <f t="shared" si="148"/>
        <v>290390</v>
      </c>
      <c r="BC85" s="201">
        <v>290390</v>
      </c>
      <c r="BD85" s="223"/>
      <c r="BE85" s="201">
        <f t="shared" si="149"/>
        <v>290390</v>
      </c>
      <c r="BF85" s="208"/>
      <c r="BG85" s="201">
        <f t="shared" si="165"/>
        <v>290390</v>
      </c>
      <c r="BH85" s="201">
        <f t="shared" si="165"/>
        <v>404517.75</v>
      </c>
      <c r="BI85" s="201">
        <f t="shared" si="151"/>
        <v>694907.75</v>
      </c>
      <c r="BJ85" s="201">
        <f t="shared" si="163"/>
        <v>78.045322836060606</v>
      </c>
      <c r="BK85" s="210">
        <v>89</v>
      </c>
      <c r="BL85" s="210">
        <v>5</v>
      </c>
      <c r="BM85" s="211"/>
      <c r="BN85" s="211"/>
      <c r="BO85" s="212">
        <f t="shared" si="152"/>
        <v>290390</v>
      </c>
      <c r="BP85" s="201">
        <f t="shared" si="153"/>
        <v>195482.25</v>
      </c>
      <c r="BQ85" s="201">
        <f t="shared" si="158"/>
        <v>485872.25</v>
      </c>
      <c r="BR85" s="201">
        <f t="shared" ref="BR85:BS124" si="166">+AJ85-AT85</f>
        <v>290390</v>
      </c>
      <c r="BS85" s="201">
        <f t="shared" si="166"/>
        <v>195482.25</v>
      </c>
      <c r="BT85" s="201">
        <f t="shared" si="160"/>
        <v>485872.25</v>
      </c>
      <c r="BU85" s="213">
        <f t="shared" si="161"/>
        <v>0</v>
      </c>
      <c r="BV85" s="201"/>
      <c r="BW85" s="201"/>
      <c r="BX85" s="201">
        <f t="shared" si="162"/>
        <v>0</v>
      </c>
      <c r="BY85" s="199">
        <v>63000</v>
      </c>
      <c r="BZ85" s="199">
        <v>270000</v>
      </c>
      <c r="CA85" s="199">
        <v>468000</v>
      </c>
      <c r="CB85" s="199">
        <v>99000</v>
      </c>
      <c r="CC85" s="199"/>
      <c r="CD85" s="199"/>
      <c r="CE85" s="199"/>
      <c r="CF85" s="199"/>
      <c r="CG85" s="199"/>
      <c r="CH85" s="199"/>
      <c r="CI85" s="199"/>
      <c r="CJ85" s="199"/>
      <c r="CK85" s="214" t="s">
        <v>324</v>
      </c>
      <c r="CL85" s="214" t="s">
        <v>276</v>
      </c>
      <c r="CM85" s="211">
        <v>185</v>
      </c>
      <c r="CN85" s="215"/>
      <c r="CO85" s="215"/>
      <c r="CP85" s="216"/>
      <c r="CQ85" s="217"/>
      <c r="CR85" s="211"/>
      <c r="CS85" s="218"/>
      <c r="CT85" s="218"/>
      <c r="CU85" s="218"/>
      <c r="CV85" s="211"/>
      <c r="CW85" s="211"/>
      <c r="CX85" s="211"/>
      <c r="CY85" s="211"/>
      <c r="CZ85" s="211"/>
      <c r="DA85" s="211"/>
      <c r="DB85" s="211"/>
      <c r="DC85" s="219"/>
      <c r="DD85" s="219"/>
      <c r="DE85" s="219"/>
      <c r="DF85" s="211"/>
      <c r="DG85" s="211"/>
      <c r="DH85" s="211"/>
      <c r="DI85" s="211"/>
      <c r="DJ85" s="211"/>
      <c r="DK85" s="220" t="s">
        <v>53</v>
      </c>
      <c r="DT85" s="222"/>
    </row>
    <row r="86" spans="1:124" s="176" customFormat="1" ht="42" x14ac:dyDescent="0.2">
      <c r="A86" s="195" t="s">
        <v>108</v>
      </c>
      <c r="B86" s="197" t="s">
        <v>325</v>
      </c>
      <c r="C86" s="198">
        <v>1</v>
      </c>
      <c r="D86" s="199">
        <v>750000</v>
      </c>
      <c r="E86" s="198" t="s">
        <v>326</v>
      </c>
      <c r="F86" s="198" t="s">
        <v>327</v>
      </c>
      <c r="G86" s="198" t="s">
        <v>98</v>
      </c>
      <c r="H86" s="200">
        <v>1</v>
      </c>
      <c r="I86" s="199">
        <f t="shared" si="127"/>
        <v>0</v>
      </c>
      <c r="J86" s="199">
        <f t="shared" si="128"/>
        <v>750000</v>
      </c>
      <c r="K86" s="199">
        <f t="shared" si="129"/>
        <v>750000</v>
      </c>
      <c r="L86" s="199"/>
      <c r="M86" s="199">
        <v>750000</v>
      </c>
      <c r="N86" s="199">
        <f t="shared" si="130"/>
        <v>750000</v>
      </c>
      <c r="O86" s="199"/>
      <c r="P86" s="201">
        <v>0</v>
      </c>
      <c r="Q86" s="202">
        <v>12</v>
      </c>
      <c r="R86" s="203">
        <v>45566</v>
      </c>
      <c r="S86" s="204"/>
      <c r="T86" s="204">
        <v>750000</v>
      </c>
      <c r="U86" s="204">
        <f t="shared" si="131"/>
        <v>750000</v>
      </c>
      <c r="V86" s="205"/>
      <c r="W86" s="200"/>
      <c r="X86" s="201"/>
      <c r="Y86" s="201"/>
      <c r="Z86" s="201">
        <f t="shared" si="132"/>
        <v>0</v>
      </c>
      <c r="AA86" s="198"/>
      <c r="AB86" s="206"/>
      <c r="AC86" s="207"/>
      <c r="AD86" s="201"/>
      <c r="AE86" s="204">
        <f t="shared" si="133"/>
        <v>0</v>
      </c>
      <c r="AF86" s="203">
        <f t="shared" si="134"/>
        <v>45566</v>
      </c>
      <c r="AG86" s="201">
        <f t="shared" si="135"/>
        <v>0</v>
      </c>
      <c r="AH86" s="199">
        <f t="shared" si="136"/>
        <v>750000</v>
      </c>
      <c r="AI86" s="199">
        <f t="shared" si="137"/>
        <v>750000</v>
      </c>
      <c r="AJ86" s="201">
        <f t="shared" si="164"/>
        <v>0</v>
      </c>
      <c r="AK86" s="201">
        <f t="shared" si="164"/>
        <v>750000</v>
      </c>
      <c r="AL86" s="201">
        <f t="shared" si="139"/>
        <v>750000</v>
      </c>
      <c r="AM86" s="198"/>
      <c r="AN86" s="203"/>
      <c r="AO86" s="208"/>
      <c r="AP86" s="201">
        <f t="shared" si="140"/>
        <v>0</v>
      </c>
      <c r="AQ86" s="201">
        <f t="shared" si="141"/>
        <v>749222.78</v>
      </c>
      <c r="AR86" s="201">
        <f t="shared" si="142"/>
        <v>749222.78</v>
      </c>
      <c r="AS86" s="201">
        <f t="shared" si="143"/>
        <v>99.89637066666667</v>
      </c>
      <c r="AT86" s="201"/>
      <c r="AU86" s="223">
        <v>749222.78</v>
      </c>
      <c r="AV86" s="201">
        <f t="shared" si="144"/>
        <v>749222.78</v>
      </c>
      <c r="AW86" s="201">
        <f t="shared" si="157"/>
        <v>0</v>
      </c>
      <c r="AX86" s="201">
        <f t="shared" si="145"/>
        <v>99.89637066666667</v>
      </c>
      <c r="AY86" s="208"/>
      <c r="AZ86" s="201">
        <f t="shared" si="146"/>
        <v>0</v>
      </c>
      <c r="BA86" s="201">
        <f t="shared" si="147"/>
        <v>0</v>
      </c>
      <c r="BB86" s="201">
        <f t="shared" si="148"/>
        <v>0</v>
      </c>
      <c r="BC86" s="201"/>
      <c r="BD86" s="223">
        <v>0</v>
      </c>
      <c r="BE86" s="201">
        <f t="shared" si="149"/>
        <v>0</v>
      </c>
      <c r="BF86" s="208"/>
      <c r="BG86" s="201">
        <f t="shared" si="165"/>
        <v>0</v>
      </c>
      <c r="BH86" s="201">
        <f t="shared" si="165"/>
        <v>749222.78</v>
      </c>
      <c r="BI86" s="201">
        <f t="shared" si="151"/>
        <v>749222.78</v>
      </c>
      <c r="BJ86" s="201">
        <f t="shared" si="163"/>
        <v>99.89637066666667</v>
      </c>
      <c r="BK86" s="210">
        <v>89</v>
      </c>
      <c r="BL86" s="210">
        <v>100</v>
      </c>
      <c r="BM86" s="211"/>
      <c r="BN86" s="211"/>
      <c r="BO86" s="212">
        <f t="shared" si="152"/>
        <v>0</v>
      </c>
      <c r="BP86" s="201">
        <f t="shared" si="153"/>
        <v>777.21999999997206</v>
      </c>
      <c r="BQ86" s="201">
        <f t="shared" si="158"/>
        <v>777.21999999997206</v>
      </c>
      <c r="BR86" s="201">
        <f t="shared" si="166"/>
        <v>0</v>
      </c>
      <c r="BS86" s="201">
        <f t="shared" si="166"/>
        <v>777.21999999997206</v>
      </c>
      <c r="BT86" s="201">
        <f t="shared" si="160"/>
        <v>777.21999999997206</v>
      </c>
      <c r="BU86" s="213">
        <f t="shared" si="161"/>
        <v>0</v>
      </c>
      <c r="BV86" s="201"/>
      <c r="BW86" s="201"/>
      <c r="BX86" s="201">
        <f t="shared" si="162"/>
        <v>0</v>
      </c>
      <c r="BY86" s="199">
        <v>52500</v>
      </c>
      <c r="BZ86" s="199">
        <v>225000</v>
      </c>
      <c r="CA86" s="199">
        <v>390000</v>
      </c>
      <c r="CB86" s="199">
        <v>82500</v>
      </c>
      <c r="CC86" s="199"/>
      <c r="CD86" s="199"/>
      <c r="CE86" s="199"/>
      <c r="CF86" s="199"/>
      <c r="CG86" s="199"/>
      <c r="CH86" s="199"/>
      <c r="CI86" s="199"/>
      <c r="CJ86" s="199"/>
      <c r="CK86" s="214" t="s">
        <v>328</v>
      </c>
      <c r="CL86" s="214" t="s">
        <v>276</v>
      </c>
      <c r="CM86" s="211">
        <v>185</v>
      </c>
      <c r="CN86" s="215"/>
      <c r="CO86" s="215"/>
      <c r="CP86" s="216"/>
      <c r="CQ86" s="217"/>
      <c r="CR86" s="211"/>
      <c r="CS86" s="218"/>
      <c r="CT86" s="218"/>
      <c r="CU86" s="218"/>
      <c r="CV86" s="211"/>
      <c r="CW86" s="211"/>
      <c r="CX86" s="211"/>
      <c r="CY86" s="211"/>
      <c r="CZ86" s="211"/>
      <c r="DA86" s="211"/>
      <c r="DB86" s="211"/>
      <c r="DC86" s="219"/>
      <c r="DD86" s="219"/>
      <c r="DE86" s="219"/>
      <c r="DF86" s="211"/>
      <c r="DG86" s="211"/>
      <c r="DH86" s="211"/>
      <c r="DI86" s="211"/>
      <c r="DJ86" s="211"/>
      <c r="DK86" s="220" t="s">
        <v>32</v>
      </c>
      <c r="DT86" s="222"/>
    </row>
    <row r="87" spans="1:124" s="176" customFormat="1" ht="42" x14ac:dyDescent="0.2">
      <c r="A87" s="195" t="s">
        <v>108</v>
      </c>
      <c r="B87" s="197" t="s">
        <v>329</v>
      </c>
      <c r="C87" s="198">
        <v>1</v>
      </c>
      <c r="D87" s="199">
        <v>980000</v>
      </c>
      <c r="E87" s="198" t="s">
        <v>233</v>
      </c>
      <c r="F87" s="198" t="s">
        <v>234</v>
      </c>
      <c r="G87" s="198" t="s">
        <v>98</v>
      </c>
      <c r="H87" s="200">
        <v>1</v>
      </c>
      <c r="I87" s="199">
        <f t="shared" si="127"/>
        <v>0</v>
      </c>
      <c r="J87" s="199">
        <f t="shared" si="128"/>
        <v>980000</v>
      </c>
      <c r="K87" s="199">
        <f t="shared" si="129"/>
        <v>980000</v>
      </c>
      <c r="L87" s="199"/>
      <c r="M87" s="199">
        <v>980000</v>
      </c>
      <c r="N87" s="199">
        <f t="shared" si="130"/>
        <v>980000</v>
      </c>
      <c r="O87" s="199"/>
      <c r="P87" s="201">
        <v>0</v>
      </c>
      <c r="Q87" s="202">
        <v>12</v>
      </c>
      <c r="R87" s="203">
        <v>45566</v>
      </c>
      <c r="S87" s="204"/>
      <c r="T87" s="204">
        <v>980000</v>
      </c>
      <c r="U87" s="204">
        <f t="shared" si="131"/>
        <v>980000</v>
      </c>
      <c r="V87" s="205"/>
      <c r="W87" s="200"/>
      <c r="X87" s="201"/>
      <c r="Y87" s="201"/>
      <c r="Z87" s="201">
        <f t="shared" si="132"/>
        <v>0</v>
      </c>
      <c r="AA87" s="198"/>
      <c r="AB87" s="206"/>
      <c r="AC87" s="207"/>
      <c r="AD87" s="201"/>
      <c r="AE87" s="204">
        <f t="shared" si="133"/>
        <v>0</v>
      </c>
      <c r="AF87" s="203">
        <f t="shared" si="134"/>
        <v>45566</v>
      </c>
      <c r="AG87" s="201">
        <f t="shared" si="135"/>
        <v>0</v>
      </c>
      <c r="AH87" s="199">
        <f t="shared" si="136"/>
        <v>980000</v>
      </c>
      <c r="AI87" s="199">
        <f t="shared" si="137"/>
        <v>980000</v>
      </c>
      <c r="AJ87" s="201">
        <f t="shared" si="164"/>
        <v>0</v>
      </c>
      <c r="AK87" s="201">
        <f t="shared" si="164"/>
        <v>980000</v>
      </c>
      <c r="AL87" s="201">
        <f t="shared" si="139"/>
        <v>980000</v>
      </c>
      <c r="AM87" s="198"/>
      <c r="AN87" s="203"/>
      <c r="AO87" s="208"/>
      <c r="AP87" s="201">
        <f t="shared" si="140"/>
        <v>0</v>
      </c>
      <c r="AQ87" s="201">
        <f t="shared" si="141"/>
        <v>572004.74</v>
      </c>
      <c r="AR87" s="201">
        <f t="shared" si="142"/>
        <v>572004.74</v>
      </c>
      <c r="AS87" s="201">
        <f t="shared" si="143"/>
        <v>58.367830612244894</v>
      </c>
      <c r="AT87" s="201"/>
      <c r="AU87" s="223">
        <v>572004.74</v>
      </c>
      <c r="AV87" s="201">
        <f t="shared" si="144"/>
        <v>572004.74</v>
      </c>
      <c r="AW87" s="201">
        <f t="shared" si="157"/>
        <v>0</v>
      </c>
      <c r="AX87" s="201">
        <f t="shared" si="145"/>
        <v>58.367830612244894</v>
      </c>
      <c r="AY87" s="208"/>
      <c r="AZ87" s="201">
        <f t="shared" si="146"/>
        <v>0</v>
      </c>
      <c r="BA87" s="201">
        <f t="shared" si="147"/>
        <v>0</v>
      </c>
      <c r="BB87" s="201">
        <f t="shared" si="148"/>
        <v>0</v>
      </c>
      <c r="BC87" s="201"/>
      <c r="BD87" s="223">
        <v>0</v>
      </c>
      <c r="BE87" s="201">
        <f t="shared" si="149"/>
        <v>0</v>
      </c>
      <c r="BF87" s="208"/>
      <c r="BG87" s="201">
        <f t="shared" si="165"/>
        <v>0</v>
      </c>
      <c r="BH87" s="201">
        <f t="shared" si="165"/>
        <v>572004.74</v>
      </c>
      <c r="BI87" s="201">
        <f t="shared" si="151"/>
        <v>572004.74</v>
      </c>
      <c r="BJ87" s="201">
        <f t="shared" si="163"/>
        <v>58.367830612244894</v>
      </c>
      <c r="BK87" s="210">
        <v>89</v>
      </c>
      <c r="BL87" s="210">
        <v>50</v>
      </c>
      <c r="BM87" s="211"/>
      <c r="BN87" s="211"/>
      <c r="BO87" s="212">
        <f t="shared" si="152"/>
        <v>0</v>
      </c>
      <c r="BP87" s="201">
        <f t="shared" si="153"/>
        <v>407995.26</v>
      </c>
      <c r="BQ87" s="201">
        <f t="shared" si="158"/>
        <v>407995.26</v>
      </c>
      <c r="BR87" s="201">
        <f t="shared" si="166"/>
        <v>0</v>
      </c>
      <c r="BS87" s="201">
        <f t="shared" si="166"/>
        <v>407995.26</v>
      </c>
      <c r="BT87" s="201">
        <f t="shared" si="160"/>
        <v>407995.26</v>
      </c>
      <c r="BU87" s="213">
        <f t="shared" si="161"/>
        <v>0</v>
      </c>
      <c r="BV87" s="201"/>
      <c r="BW87" s="201"/>
      <c r="BX87" s="201">
        <f t="shared" si="162"/>
        <v>0</v>
      </c>
      <c r="BY87" s="199">
        <v>68600</v>
      </c>
      <c r="BZ87" s="199">
        <v>294000</v>
      </c>
      <c r="CA87" s="199">
        <v>509600</v>
      </c>
      <c r="CB87" s="199">
        <v>107800</v>
      </c>
      <c r="CC87" s="199"/>
      <c r="CD87" s="199"/>
      <c r="CE87" s="199"/>
      <c r="CF87" s="199"/>
      <c r="CG87" s="199"/>
      <c r="CH87" s="199"/>
      <c r="CI87" s="199"/>
      <c r="CJ87" s="199"/>
      <c r="CK87" s="214" t="s">
        <v>330</v>
      </c>
      <c r="CL87" s="214" t="s">
        <v>276</v>
      </c>
      <c r="CM87" s="211">
        <v>185</v>
      </c>
      <c r="CN87" s="215"/>
      <c r="CO87" s="215"/>
      <c r="CP87" s="216"/>
      <c r="CQ87" s="217"/>
      <c r="CR87" s="211"/>
      <c r="CS87" s="218"/>
      <c r="CT87" s="218"/>
      <c r="CU87" s="218"/>
      <c r="CV87" s="211"/>
      <c r="CW87" s="211"/>
      <c r="CX87" s="211"/>
      <c r="CY87" s="211"/>
      <c r="CZ87" s="211"/>
      <c r="DA87" s="211"/>
      <c r="DB87" s="211"/>
      <c r="DC87" s="219"/>
      <c r="DD87" s="219"/>
      <c r="DE87" s="219"/>
      <c r="DF87" s="211"/>
      <c r="DG87" s="211"/>
      <c r="DH87" s="211"/>
      <c r="DI87" s="211"/>
      <c r="DJ87" s="211"/>
      <c r="DK87" s="220" t="s">
        <v>32</v>
      </c>
      <c r="DT87" s="222"/>
    </row>
    <row r="88" spans="1:124" s="176" customFormat="1" ht="63" x14ac:dyDescent="0.2">
      <c r="A88" s="195" t="s">
        <v>108</v>
      </c>
      <c r="B88" s="197" t="s">
        <v>331</v>
      </c>
      <c r="C88" s="198">
        <v>1</v>
      </c>
      <c r="D88" s="199">
        <v>450000</v>
      </c>
      <c r="E88" s="198" t="s">
        <v>332</v>
      </c>
      <c r="F88" s="198" t="s">
        <v>238</v>
      </c>
      <c r="G88" s="198" t="s">
        <v>98</v>
      </c>
      <c r="H88" s="200">
        <v>1</v>
      </c>
      <c r="I88" s="199">
        <f t="shared" si="127"/>
        <v>0</v>
      </c>
      <c r="J88" s="199">
        <f t="shared" si="128"/>
        <v>450000</v>
      </c>
      <c r="K88" s="199">
        <f t="shared" si="129"/>
        <v>450000</v>
      </c>
      <c r="L88" s="199"/>
      <c r="M88" s="199">
        <v>450000</v>
      </c>
      <c r="N88" s="199">
        <f t="shared" si="130"/>
        <v>450000</v>
      </c>
      <c r="O88" s="199"/>
      <c r="P88" s="201">
        <v>0</v>
      </c>
      <c r="Q88" s="202">
        <v>12</v>
      </c>
      <c r="R88" s="203">
        <v>45566</v>
      </c>
      <c r="S88" s="204"/>
      <c r="T88" s="204">
        <v>450000</v>
      </c>
      <c r="U88" s="204">
        <f t="shared" si="131"/>
        <v>450000</v>
      </c>
      <c r="V88" s="205"/>
      <c r="W88" s="200"/>
      <c r="X88" s="201"/>
      <c r="Y88" s="201"/>
      <c r="Z88" s="201">
        <f t="shared" si="132"/>
        <v>0</v>
      </c>
      <c r="AA88" s="198"/>
      <c r="AB88" s="206"/>
      <c r="AC88" s="207"/>
      <c r="AD88" s="201"/>
      <c r="AE88" s="204">
        <f t="shared" si="133"/>
        <v>0</v>
      </c>
      <c r="AF88" s="203">
        <f t="shared" si="134"/>
        <v>45566</v>
      </c>
      <c r="AG88" s="201">
        <f t="shared" si="135"/>
        <v>0</v>
      </c>
      <c r="AH88" s="199">
        <f t="shared" si="136"/>
        <v>450000</v>
      </c>
      <c r="AI88" s="199">
        <f t="shared" si="137"/>
        <v>450000</v>
      </c>
      <c r="AJ88" s="201">
        <f t="shared" si="164"/>
        <v>0</v>
      </c>
      <c r="AK88" s="201">
        <f t="shared" si="164"/>
        <v>450000</v>
      </c>
      <c r="AL88" s="201">
        <f t="shared" si="139"/>
        <v>450000</v>
      </c>
      <c r="AM88" s="198"/>
      <c r="AN88" s="203"/>
      <c r="AO88" s="208"/>
      <c r="AP88" s="201">
        <f t="shared" si="140"/>
        <v>0</v>
      </c>
      <c r="AQ88" s="201">
        <f t="shared" si="141"/>
        <v>446465.85</v>
      </c>
      <c r="AR88" s="201">
        <f t="shared" si="142"/>
        <v>446465.85</v>
      </c>
      <c r="AS88" s="201">
        <f t="shared" si="143"/>
        <v>99.214633333333339</v>
      </c>
      <c r="AT88" s="201"/>
      <c r="AU88" s="223">
        <v>446465.85</v>
      </c>
      <c r="AV88" s="201">
        <f t="shared" si="144"/>
        <v>446465.85</v>
      </c>
      <c r="AW88" s="201">
        <f t="shared" si="157"/>
        <v>0</v>
      </c>
      <c r="AX88" s="201">
        <f t="shared" si="145"/>
        <v>99.214633333333339</v>
      </c>
      <c r="AY88" s="208"/>
      <c r="AZ88" s="201">
        <f t="shared" si="146"/>
        <v>0</v>
      </c>
      <c r="BA88" s="201">
        <f t="shared" si="147"/>
        <v>0</v>
      </c>
      <c r="BB88" s="201">
        <f t="shared" si="148"/>
        <v>0</v>
      </c>
      <c r="BC88" s="201"/>
      <c r="BD88" s="223">
        <v>0</v>
      </c>
      <c r="BE88" s="201">
        <f t="shared" si="149"/>
        <v>0</v>
      </c>
      <c r="BF88" s="208"/>
      <c r="BG88" s="201">
        <f t="shared" si="165"/>
        <v>0</v>
      </c>
      <c r="BH88" s="201">
        <f t="shared" si="165"/>
        <v>446465.85</v>
      </c>
      <c r="BI88" s="201">
        <f t="shared" si="151"/>
        <v>446465.85</v>
      </c>
      <c r="BJ88" s="201">
        <f t="shared" si="163"/>
        <v>99.214633333333339</v>
      </c>
      <c r="BK88" s="210">
        <v>89</v>
      </c>
      <c r="BL88" s="210">
        <v>100</v>
      </c>
      <c r="BM88" s="211"/>
      <c r="BN88" s="211"/>
      <c r="BO88" s="212">
        <f t="shared" si="152"/>
        <v>0</v>
      </c>
      <c r="BP88" s="201">
        <f t="shared" si="153"/>
        <v>3534.1500000000233</v>
      </c>
      <c r="BQ88" s="201">
        <f t="shared" si="158"/>
        <v>3534.1500000000233</v>
      </c>
      <c r="BR88" s="201">
        <f t="shared" si="166"/>
        <v>0</v>
      </c>
      <c r="BS88" s="201">
        <f t="shared" si="166"/>
        <v>3534.1500000000233</v>
      </c>
      <c r="BT88" s="201">
        <f t="shared" si="160"/>
        <v>3534.1500000000233</v>
      </c>
      <c r="BU88" s="213">
        <f t="shared" si="161"/>
        <v>0</v>
      </c>
      <c r="BV88" s="201"/>
      <c r="BW88" s="201"/>
      <c r="BX88" s="201">
        <f t="shared" si="162"/>
        <v>0</v>
      </c>
      <c r="BY88" s="199">
        <v>31500</v>
      </c>
      <c r="BZ88" s="199">
        <v>135000</v>
      </c>
      <c r="CA88" s="199">
        <v>234000</v>
      </c>
      <c r="CB88" s="199">
        <v>49500</v>
      </c>
      <c r="CC88" s="199"/>
      <c r="CD88" s="199"/>
      <c r="CE88" s="199"/>
      <c r="CF88" s="199"/>
      <c r="CG88" s="199"/>
      <c r="CH88" s="199"/>
      <c r="CI88" s="199"/>
      <c r="CJ88" s="199"/>
      <c r="CK88" s="214" t="s">
        <v>333</v>
      </c>
      <c r="CL88" s="214" t="s">
        <v>276</v>
      </c>
      <c r="CM88" s="211">
        <v>185</v>
      </c>
      <c r="CN88" s="215"/>
      <c r="CO88" s="215"/>
      <c r="CP88" s="216"/>
      <c r="CQ88" s="217"/>
      <c r="CR88" s="211"/>
      <c r="CS88" s="218"/>
      <c r="CT88" s="218"/>
      <c r="CU88" s="218"/>
      <c r="CV88" s="211"/>
      <c r="CW88" s="211"/>
      <c r="CX88" s="211"/>
      <c r="CY88" s="211"/>
      <c r="CZ88" s="211"/>
      <c r="DA88" s="211"/>
      <c r="DB88" s="211"/>
      <c r="DC88" s="219"/>
      <c r="DD88" s="219"/>
      <c r="DE88" s="219"/>
      <c r="DF88" s="211"/>
      <c r="DG88" s="211"/>
      <c r="DH88" s="211"/>
      <c r="DI88" s="211"/>
      <c r="DJ88" s="211"/>
      <c r="DK88" s="220" t="s">
        <v>32</v>
      </c>
      <c r="DT88" s="222"/>
    </row>
    <row r="89" spans="1:124" s="176" customFormat="1" ht="42" x14ac:dyDescent="0.2">
      <c r="A89" s="195" t="s">
        <v>108</v>
      </c>
      <c r="B89" s="197" t="s">
        <v>334</v>
      </c>
      <c r="C89" s="198">
        <v>1</v>
      </c>
      <c r="D89" s="199">
        <v>500000</v>
      </c>
      <c r="E89" s="198" t="s">
        <v>233</v>
      </c>
      <c r="F89" s="198" t="s">
        <v>234</v>
      </c>
      <c r="G89" s="198" t="s">
        <v>98</v>
      </c>
      <c r="H89" s="200">
        <v>1</v>
      </c>
      <c r="I89" s="199">
        <f t="shared" si="127"/>
        <v>0</v>
      </c>
      <c r="J89" s="199">
        <f t="shared" si="128"/>
        <v>500000</v>
      </c>
      <c r="K89" s="199">
        <f t="shared" si="129"/>
        <v>500000</v>
      </c>
      <c r="L89" s="199"/>
      <c r="M89" s="199">
        <v>500000</v>
      </c>
      <c r="N89" s="199">
        <f t="shared" si="130"/>
        <v>500000</v>
      </c>
      <c r="O89" s="199"/>
      <c r="P89" s="201">
        <v>0</v>
      </c>
      <c r="Q89" s="202">
        <v>12</v>
      </c>
      <c r="R89" s="203">
        <v>45566</v>
      </c>
      <c r="S89" s="204"/>
      <c r="T89" s="204">
        <v>500000</v>
      </c>
      <c r="U89" s="204">
        <f t="shared" si="131"/>
        <v>500000</v>
      </c>
      <c r="V89" s="205"/>
      <c r="W89" s="200"/>
      <c r="X89" s="201"/>
      <c r="Y89" s="201"/>
      <c r="Z89" s="201">
        <f t="shared" si="132"/>
        <v>0</v>
      </c>
      <c r="AA89" s="198"/>
      <c r="AB89" s="206"/>
      <c r="AC89" s="207"/>
      <c r="AD89" s="201"/>
      <c r="AE89" s="204">
        <f t="shared" si="133"/>
        <v>0</v>
      </c>
      <c r="AF89" s="203">
        <f t="shared" si="134"/>
        <v>45566</v>
      </c>
      <c r="AG89" s="201">
        <f t="shared" si="135"/>
        <v>0</v>
      </c>
      <c r="AH89" s="199">
        <f t="shared" si="136"/>
        <v>500000</v>
      </c>
      <c r="AI89" s="199">
        <f t="shared" si="137"/>
        <v>500000</v>
      </c>
      <c r="AJ89" s="201">
        <f t="shared" si="164"/>
        <v>0</v>
      </c>
      <c r="AK89" s="201">
        <f t="shared" si="164"/>
        <v>500000</v>
      </c>
      <c r="AL89" s="201">
        <f t="shared" si="139"/>
        <v>500000</v>
      </c>
      <c r="AM89" s="198"/>
      <c r="AN89" s="203"/>
      <c r="AO89" s="208"/>
      <c r="AP89" s="201">
        <f t="shared" si="140"/>
        <v>0</v>
      </c>
      <c r="AQ89" s="201">
        <f t="shared" si="141"/>
        <v>499484.78</v>
      </c>
      <c r="AR89" s="201">
        <f t="shared" si="142"/>
        <v>499484.78</v>
      </c>
      <c r="AS89" s="201">
        <f t="shared" si="143"/>
        <v>99.896956000000003</v>
      </c>
      <c r="AT89" s="201"/>
      <c r="AU89" s="223">
        <v>499484.78</v>
      </c>
      <c r="AV89" s="201">
        <f t="shared" si="144"/>
        <v>499484.78</v>
      </c>
      <c r="AW89" s="201">
        <f t="shared" si="157"/>
        <v>0</v>
      </c>
      <c r="AX89" s="201">
        <f t="shared" si="145"/>
        <v>99.896956000000003</v>
      </c>
      <c r="AY89" s="208"/>
      <c r="AZ89" s="201">
        <f t="shared" si="146"/>
        <v>0</v>
      </c>
      <c r="BA89" s="201">
        <f t="shared" si="147"/>
        <v>0</v>
      </c>
      <c r="BB89" s="201">
        <f t="shared" si="148"/>
        <v>0</v>
      </c>
      <c r="BC89" s="201"/>
      <c r="BD89" s="223">
        <v>0</v>
      </c>
      <c r="BE89" s="201">
        <f t="shared" si="149"/>
        <v>0</v>
      </c>
      <c r="BF89" s="208"/>
      <c r="BG89" s="201">
        <f t="shared" si="165"/>
        <v>0</v>
      </c>
      <c r="BH89" s="201">
        <f t="shared" si="165"/>
        <v>499484.78</v>
      </c>
      <c r="BI89" s="201">
        <f t="shared" si="151"/>
        <v>499484.78</v>
      </c>
      <c r="BJ89" s="201">
        <f t="shared" si="163"/>
        <v>99.896956000000003</v>
      </c>
      <c r="BK89" s="210">
        <v>89</v>
      </c>
      <c r="BL89" s="210">
        <v>65</v>
      </c>
      <c r="BM89" s="211"/>
      <c r="BN89" s="211"/>
      <c r="BO89" s="212">
        <f t="shared" si="152"/>
        <v>0</v>
      </c>
      <c r="BP89" s="201">
        <f t="shared" si="153"/>
        <v>515.21999999997206</v>
      </c>
      <c r="BQ89" s="201">
        <f t="shared" si="158"/>
        <v>515.21999999997206</v>
      </c>
      <c r="BR89" s="201">
        <f t="shared" si="166"/>
        <v>0</v>
      </c>
      <c r="BS89" s="201">
        <f t="shared" si="166"/>
        <v>515.21999999997206</v>
      </c>
      <c r="BT89" s="201">
        <f t="shared" si="160"/>
        <v>515.21999999997206</v>
      </c>
      <c r="BU89" s="213">
        <f t="shared" si="161"/>
        <v>0</v>
      </c>
      <c r="BV89" s="201"/>
      <c r="BW89" s="201"/>
      <c r="BX89" s="201">
        <f t="shared" si="162"/>
        <v>0</v>
      </c>
      <c r="BY89" s="199">
        <v>35000</v>
      </c>
      <c r="BZ89" s="199">
        <v>150000</v>
      </c>
      <c r="CA89" s="199">
        <v>260000</v>
      </c>
      <c r="CB89" s="199">
        <v>55000</v>
      </c>
      <c r="CC89" s="199"/>
      <c r="CD89" s="199"/>
      <c r="CE89" s="199"/>
      <c r="CF89" s="199"/>
      <c r="CG89" s="199"/>
      <c r="CH89" s="199"/>
      <c r="CI89" s="199"/>
      <c r="CJ89" s="199"/>
      <c r="CK89" s="214" t="s">
        <v>335</v>
      </c>
      <c r="CL89" s="214" t="s">
        <v>276</v>
      </c>
      <c r="CM89" s="211">
        <v>185</v>
      </c>
      <c r="CN89" s="215"/>
      <c r="CO89" s="215"/>
      <c r="CP89" s="216"/>
      <c r="CQ89" s="217"/>
      <c r="CR89" s="211"/>
      <c r="CS89" s="218"/>
      <c r="CT89" s="218"/>
      <c r="CU89" s="218"/>
      <c r="CV89" s="211"/>
      <c r="CW89" s="211"/>
      <c r="CX89" s="211"/>
      <c r="CY89" s="211"/>
      <c r="CZ89" s="211"/>
      <c r="DA89" s="211"/>
      <c r="DB89" s="211"/>
      <c r="DC89" s="219"/>
      <c r="DD89" s="219"/>
      <c r="DE89" s="219"/>
      <c r="DF89" s="211"/>
      <c r="DG89" s="211"/>
      <c r="DH89" s="211"/>
      <c r="DI89" s="211"/>
      <c r="DJ89" s="211"/>
      <c r="DK89" s="220" t="s">
        <v>32</v>
      </c>
      <c r="DT89" s="222"/>
    </row>
    <row r="90" spans="1:124" s="176" customFormat="1" ht="42" x14ac:dyDescent="0.2">
      <c r="A90" s="195" t="s">
        <v>108</v>
      </c>
      <c r="B90" s="197" t="s">
        <v>336</v>
      </c>
      <c r="C90" s="198">
        <v>1</v>
      </c>
      <c r="D90" s="199">
        <v>860000</v>
      </c>
      <c r="E90" s="198" t="s">
        <v>337</v>
      </c>
      <c r="F90" s="198" t="s">
        <v>234</v>
      </c>
      <c r="G90" s="198" t="s">
        <v>98</v>
      </c>
      <c r="H90" s="200">
        <v>1</v>
      </c>
      <c r="I90" s="199">
        <f t="shared" si="127"/>
        <v>0</v>
      </c>
      <c r="J90" s="199">
        <f t="shared" si="128"/>
        <v>860000</v>
      </c>
      <c r="K90" s="199">
        <f t="shared" si="129"/>
        <v>860000</v>
      </c>
      <c r="L90" s="199"/>
      <c r="M90" s="199">
        <v>860000</v>
      </c>
      <c r="N90" s="199">
        <f t="shared" si="130"/>
        <v>860000</v>
      </c>
      <c r="O90" s="199"/>
      <c r="P90" s="201">
        <v>0</v>
      </c>
      <c r="Q90" s="202">
        <v>12</v>
      </c>
      <c r="R90" s="203">
        <v>45566</v>
      </c>
      <c r="S90" s="204"/>
      <c r="T90" s="204">
        <v>860000</v>
      </c>
      <c r="U90" s="204">
        <f t="shared" si="131"/>
        <v>860000</v>
      </c>
      <c r="V90" s="205"/>
      <c r="W90" s="200"/>
      <c r="X90" s="201"/>
      <c r="Y90" s="201"/>
      <c r="Z90" s="201">
        <f t="shared" si="132"/>
        <v>0</v>
      </c>
      <c r="AA90" s="198"/>
      <c r="AB90" s="206"/>
      <c r="AC90" s="207"/>
      <c r="AD90" s="201"/>
      <c r="AE90" s="204">
        <f t="shared" si="133"/>
        <v>0</v>
      </c>
      <c r="AF90" s="203">
        <f t="shared" si="134"/>
        <v>45566</v>
      </c>
      <c r="AG90" s="201">
        <f t="shared" si="135"/>
        <v>0</v>
      </c>
      <c r="AH90" s="199">
        <f t="shared" si="136"/>
        <v>860000</v>
      </c>
      <c r="AI90" s="199">
        <f t="shared" si="137"/>
        <v>860000</v>
      </c>
      <c r="AJ90" s="201">
        <f t="shared" si="164"/>
        <v>0</v>
      </c>
      <c r="AK90" s="201">
        <f t="shared" si="164"/>
        <v>860000</v>
      </c>
      <c r="AL90" s="201">
        <f t="shared" si="139"/>
        <v>860000</v>
      </c>
      <c r="AM90" s="198"/>
      <c r="AN90" s="203"/>
      <c r="AO90" s="208"/>
      <c r="AP90" s="201">
        <f t="shared" si="140"/>
        <v>0</v>
      </c>
      <c r="AQ90" s="201">
        <f t="shared" si="141"/>
        <v>635455.86</v>
      </c>
      <c r="AR90" s="201">
        <f t="shared" si="142"/>
        <v>635455.86</v>
      </c>
      <c r="AS90" s="201">
        <f t="shared" si="143"/>
        <v>73.890216279069762</v>
      </c>
      <c r="AT90" s="201"/>
      <c r="AU90" s="223">
        <v>635455.86</v>
      </c>
      <c r="AV90" s="201">
        <f t="shared" si="144"/>
        <v>635455.86</v>
      </c>
      <c r="AW90" s="201">
        <f t="shared" si="157"/>
        <v>0</v>
      </c>
      <c r="AX90" s="201">
        <f t="shared" si="145"/>
        <v>73.890216279069762</v>
      </c>
      <c r="AY90" s="208"/>
      <c r="AZ90" s="201">
        <f t="shared" si="146"/>
        <v>0</v>
      </c>
      <c r="BA90" s="201">
        <f t="shared" si="147"/>
        <v>0</v>
      </c>
      <c r="BB90" s="201">
        <f t="shared" si="148"/>
        <v>0</v>
      </c>
      <c r="BC90" s="201"/>
      <c r="BD90" s="223">
        <v>0</v>
      </c>
      <c r="BE90" s="201">
        <f t="shared" si="149"/>
        <v>0</v>
      </c>
      <c r="BF90" s="208"/>
      <c r="BG90" s="201">
        <f t="shared" si="165"/>
        <v>0</v>
      </c>
      <c r="BH90" s="201">
        <f t="shared" si="165"/>
        <v>635455.86</v>
      </c>
      <c r="BI90" s="201">
        <f t="shared" si="151"/>
        <v>635455.86</v>
      </c>
      <c r="BJ90" s="201">
        <f t="shared" si="163"/>
        <v>73.890216279069762</v>
      </c>
      <c r="BK90" s="210">
        <v>89</v>
      </c>
      <c r="BL90" s="210">
        <v>65</v>
      </c>
      <c r="BM90" s="211"/>
      <c r="BN90" s="211"/>
      <c r="BO90" s="212">
        <f t="shared" si="152"/>
        <v>0</v>
      </c>
      <c r="BP90" s="201">
        <f t="shared" si="153"/>
        <v>224544.14</v>
      </c>
      <c r="BQ90" s="201">
        <f t="shared" si="158"/>
        <v>224544.14</v>
      </c>
      <c r="BR90" s="201">
        <f t="shared" si="166"/>
        <v>0</v>
      </c>
      <c r="BS90" s="201">
        <f t="shared" si="166"/>
        <v>224544.14</v>
      </c>
      <c r="BT90" s="201">
        <f t="shared" si="160"/>
        <v>224544.14</v>
      </c>
      <c r="BU90" s="213">
        <f t="shared" si="161"/>
        <v>0</v>
      </c>
      <c r="BV90" s="201"/>
      <c r="BW90" s="201"/>
      <c r="BX90" s="201">
        <f t="shared" si="162"/>
        <v>0</v>
      </c>
      <c r="BY90" s="199">
        <v>60200</v>
      </c>
      <c r="BZ90" s="199">
        <v>258000</v>
      </c>
      <c r="CA90" s="199">
        <v>447200</v>
      </c>
      <c r="CB90" s="199">
        <v>94600</v>
      </c>
      <c r="CC90" s="199"/>
      <c r="CD90" s="199"/>
      <c r="CE90" s="199"/>
      <c r="CF90" s="199"/>
      <c r="CG90" s="199"/>
      <c r="CH90" s="199"/>
      <c r="CI90" s="199"/>
      <c r="CJ90" s="199"/>
      <c r="CK90" s="214" t="s">
        <v>338</v>
      </c>
      <c r="CL90" s="214" t="s">
        <v>276</v>
      </c>
      <c r="CM90" s="211">
        <v>185</v>
      </c>
      <c r="CN90" s="215"/>
      <c r="CO90" s="215"/>
      <c r="CP90" s="216"/>
      <c r="CQ90" s="217"/>
      <c r="CR90" s="211"/>
      <c r="CS90" s="218"/>
      <c r="CT90" s="218"/>
      <c r="CU90" s="218"/>
      <c r="CV90" s="211"/>
      <c r="CW90" s="211"/>
      <c r="CX90" s="211"/>
      <c r="CY90" s="211"/>
      <c r="CZ90" s="211"/>
      <c r="DA90" s="211"/>
      <c r="DB90" s="211"/>
      <c r="DC90" s="219"/>
      <c r="DD90" s="219"/>
      <c r="DE90" s="219"/>
      <c r="DF90" s="211"/>
      <c r="DG90" s="211"/>
      <c r="DH90" s="211"/>
      <c r="DI90" s="211"/>
      <c r="DJ90" s="211"/>
      <c r="DK90" s="220" t="s">
        <v>32</v>
      </c>
      <c r="DT90" s="222"/>
    </row>
    <row r="91" spans="1:124" s="176" customFormat="1" ht="42" x14ac:dyDescent="0.2">
      <c r="A91" s="195" t="s">
        <v>108</v>
      </c>
      <c r="B91" s="197" t="s">
        <v>339</v>
      </c>
      <c r="C91" s="198">
        <v>1</v>
      </c>
      <c r="D91" s="199">
        <v>940000</v>
      </c>
      <c r="E91" s="198" t="s">
        <v>340</v>
      </c>
      <c r="F91" s="198" t="s">
        <v>234</v>
      </c>
      <c r="G91" s="198" t="s">
        <v>98</v>
      </c>
      <c r="H91" s="200">
        <v>1</v>
      </c>
      <c r="I91" s="199">
        <f t="shared" si="127"/>
        <v>0</v>
      </c>
      <c r="J91" s="199">
        <f t="shared" si="128"/>
        <v>940000</v>
      </c>
      <c r="K91" s="199">
        <f t="shared" si="129"/>
        <v>940000</v>
      </c>
      <c r="L91" s="199"/>
      <c r="M91" s="199">
        <v>940000</v>
      </c>
      <c r="N91" s="199">
        <f t="shared" si="130"/>
        <v>940000</v>
      </c>
      <c r="O91" s="199"/>
      <c r="P91" s="201">
        <v>0</v>
      </c>
      <c r="Q91" s="202">
        <v>12</v>
      </c>
      <c r="R91" s="203">
        <v>45566</v>
      </c>
      <c r="S91" s="204"/>
      <c r="T91" s="204">
        <v>940000</v>
      </c>
      <c r="U91" s="204">
        <f t="shared" si="131"/>
        <v>940000</v>
      </c>
      <c r="V91" s="205"/>
      <c r="W91" s="200"/>
      <c r="X91" s="201"/>
      <c r="Y91" s="201"/>
      <c r="Z91" s="201">
        <f t="shared" si="132"/>
        <v>0</v>
      </c>
      <c r="AA91" s="198"/>
      <c r="AB91" s="206"/>
      <c r="AC91" s="207"/>
      <c r="AD91" s="201"/>
      <c r="AE91" s="204">
        <f t="shared" si="133"/>
        <v>0</v>
      </c>
      <c r="AF91" s="203">
        <f t="shared" si="134"/>
        <v>45566</v>
      </c>
      <c r="AG91" s="201">
        <f t="shared" si="135"/>
        <v>0</v>
      </c>
      <c r="AH91" s="199">
        <f t="shared" si="136"/>
        <v>940000</v>
      </c>
      <c r="AI91" s="199">
        <f t="shared" si="137"/>
        <v>940000</v>
      </c>
      <c r="AJ91" s="201">
        <f t="shared" si="164"/>
        <v>0</v>
      </c>
      <c r="AK91" s="201">
        <f t="shared" si="164"/>
        <v>940000</v>
      </c>
      <c r="AL91" s="201">
        <f t="shared" si="139"/>
        <v>940000</v>
      </c>
      <c r="AM91" s="198"/>
      <c r="AN91" s="203"/>
      <c r="AO91" s="208"/>
      <c r="AP91" s="201">
        <f t="shared" si="140"/>
        <v>0</v>
      </c>
      <c r="AQ91" s="201">
        <f t="shared" si="141"/>
        <v>923054.11</v>
      </c>
      <c r="AR91" s="201">
        <f t="shared" si="142"/>
        <v>923054.11</v>
      </c>
      <c r="AS91" s="201">
        <f t="shared" si="143"/>
        <v>98.197245744680856</v>
      </c>
      <c r="AT91" s="201"/>
      <c r="AU91" s="223">
        <v>923054.11</v>
      </c>
      <c r="AV91" s="201">
        <f t="shared" si="144"/>
        <v>923054.11</v>
      </c>
      <c r="AW91" s="201">
        <f t="shared" si="157"/>
        <v>0</v>
      </c>
      <c r="AX91" s="201">
        <f t="shared" si="145"/>
        <v>98.197245744680856</v>
      </c>
      <c r="AY91" s="208"/>
      <c r="AZ91" s="201">
        <f t="shared" si="146"/>
        <v>0</v>
      </c>
      <c r="BA91" s="201">
        <f t="shared" si="147"/>
        <v>0</v>
      </c>
      <c r="BB91" s="201">
        <f t="shared" si="148"/>
        <v>0</v>
      </c>
      <c r="BC91" s="201"/>
      <c r="BD91" s="223">
        <v>0</v>
      </c>
      <c r="BE91" s="201">
        <f t="shared" si="149"/>
        <v>0</v>
      </c>
      <c r="BF91" s="208"/>
      <c r="BG91" s="201">
        <f t="shared" si="165"/>
        <v>0</v>
      </c>
      <c r="BH91" s="201">
        <f t="shared" si="165"/>
        <v>923054.11</v>
      </c>
      <c r="BI91" s="201">
        <f t="shared" si="151"/>
        <v>923054.11</v>
      </c>
      <c r="BJ91" s="201">
        <f t="shared" si="163"/>
        <v>98.197245744680856</v>
      </c>
      <c r="BK91" s="210">
        <v>89</v>
      </c>
      <c r="BL91" s="210">
        <v>60</v>
      </c>
      <c r="BM91" s="211"/>
      <c r="BN91" s="211"/>
      <c r="BO91" s="212">
        <f t="shared" si="152"/>
        <v>0</v>
      </c>
      <c r="BP91" s="201">
        <f t="shared" si="153"/>
        <v>16945.890000000014</v>
      </c>
      <c r="BQ91" s="201">
        <f t="shared" si="158"/>
        <v>16945.890000000014</v>
      </c>
      <c r="BR91" s="201">
        <f t="shared" si="166"/>
        <v>0</v>
      </c>
      <c r="BS91" s="201">
        <f t="shared" si="166"/>
        <v>16945.890000000014</v>
      </c>
      <c r="BT91" s="201">
        <f t="shared" si="160"/>
        <v>16945.890000000014</v>
      </c>
      <c r="BU91" s="213">
        <f t="shared" si="161"/>
        <v>0</v>
      </c>
      <c r="BV91" s="201"/>
      <c r="BW91" s="201"/>
      <c r="BX91" s="201">
        <f t="shared" si="162"/>
        <v>0</v>
      </c>
      <c r="BY91" s="199">
        <v>65800</v>
      </c>
      <c r="BZ91" s="199">
        <v>282000</v>
      </c>
      <c r="CA91" s="199">
        <v>488800</v>
      </c>
      <c r="CB91" s="199">
        <v>103400</v>
      </c>
      <c r="CC91" s="199"/>
      <c r="CD91" s="199"/>
      <c r="CE91" s="199"/>
      <c r="CF91" s="199"/>
      <c r="CG91" s="199"/>
      <c r="CH91" s="199"/>
      <c r="CI91" s="199"/>
      <c r="CJ91" s="199"/>
      <c r="CK91" s="214" t="s">
        <v>341</v>
      </c>
      <c r="CL91" s="214" t="s">
        <v>276</v>
      </c>
      <c r="CM91" s="211">
        <v>185</v>
      </c>
      <c r="CN91" s="215"/>
      <c r="CO91" s="215"/>
      <c r="CP91" s="216"/>
      <c r="CQ91" s="217"/>
      <c r="CR91" s="211"/>
      <c r="CS91" s="218"/>
      <c r="CT91" s="218"/>
      <c r="CU91" s="218"/>
      <c r="CV91" s="211"/>
      <c r="CW91" s="211"/>
      <c r="CX91" s="211"/>
      <c r="CY91" s="211"/>
      <c r="CZ91" s="211"/>
      <c r="DA91" s="211"/>
      <c r="DB91" s="211"/>
      <c r="DC91" s="219"/>
      <c r="DD91" s="219"/>
      <c r="DE91" s="219"/>
      <c r="DF91" s="211"/>
      <c r="DG91" s="211"/>
      <c r="DH91" s="211"/>
      <c r="DI91" s="211"/>
      <c r="DJ91" s="211"/>
      <c r="DK91" s="220" t="s">
        <v>32</v>
      </c>
      <c r="DT91" s="222"/>
    </row>
    <row r="92" spans="1:124" s="176" customFormat="1" ht="42" x14ac:dyDescent="0.2">
      <c r="A92" s="195" t="s">
        <v>108</v>
      </c>
      <c r="B92" s="197" t="s">
        <v>342</v>
      </c>
      <c r="C92" s="198">
        <v>1</v>
      </c>
      <c r="D92" s="199">
        <v>500000</v>
      </c>
      <c r="E92" s="198" t="s">
        <v>343</v>
      </c>
      <c r="F92" s="198" t="s">
        <v>234</v>
      </c>
      <c r="G92" s="198" t="s">
        <v>98</v>
      </c>
      <c r="H92" s="200">
        <v>1</v>
      </c>
      <c r="I92" s="199">
        <f t="shared" si="127"/>
        <v>140000</v>
      </c>
      <c r="J92" s="199">
        <f t="shared" si="128"/>
        <v>360000</v>
      </c>
      <c r="K92" s="199">
        <f t="shared" si="129"/>
        <v>500000</v>
      </c>
      <c r="L92" s="199">
        <v>140000</v>
      </c>
      <c r="M92" s="199">
        <v>360000</v>
      </c>
      <c r="N92" s="199">
        <f t="shared" si="130"/>
        <v>500000</v>
      </c>
      <c r="O92" s="199"/>
      <c r="P92" s="201">
        <v>0</v>
      </c>
      <c r="Q92" s="202">
        <v>11</v>
      </c>
      <c r="R92" s="203">
        <v>45566</v>
      </c>
      <c r="S92" s="204"/>
      <c r="T92" s="204">
        <v>360000</v>
      </c>
      <c r="U92" s="204">
        <f t="shared" si="131"/>
        <v>360000</v>
      </c>
      <c r="V92" s="205">
        <v>1695</v>
      </c>
      <c r="W92" s="200">
        <v>45722</v>
      </c>
      <c r="X92" s="201">
        <v>139291</v>
      </c>
      <c r="Y92" s="201"/>
      <c r="Z92" s="201">
        <f t="shared" si="132"/>
        <v>139291</v>
      </c>
      <c r="AA92" s="198"/>
      <c r="AB92" s="206"/>
      <c r="AC92" s="207"/>
      <c r="AD92" s="201"/>
      <c r="AE92" s="204">
        <f t="shared" si="133"/>
        <v>0</v>
      </c>
      <c r="AF92" s="203">
        <f t="shared" si="134"/>
        <v>45566</v>
      </c>
      <c r="AG92" s="201">
        <f t="shared" si="135"/>
        <v>139291</v>
      </c>
      <c r="AH92" s="199">
        <f t="shared" si="136"/>
        <v>360000</v>
      </c>
      <c r="AI92" s="199">
        <f t="shared" si="137"/>
        <v>499291</v>
      </c>
      <c r="AJ92" s="201">
        <f t="shared" si="164"/>
        <v>139291</v>
      </c>
      <c r="AK92" s="201">
        <f t="shared" si="164"/>
        <v>360000</v>
      </c>
      <c r="AL92" s="201">
        <f t="shared" si="139"/>
        <v>499291</v>
      </c>
      <c r="AM92" s="198"/>
      <c r="AN92" s="203"/>
      <c r="AO92" s="208"/>
      <c r="AP92" s="201">
        <f t="shared" si="140"/>
        <v>0</v>
      </c>
      <c r="AQ92" s="201">
        <f t="shared" si="141"/>
        <v>292613.55</v>
      </c>
      <c r="AR92" s="201">
        <f t="shared" si="142"/>
        <v>292613.55</v>
      </c>
      <c r="AS92" s="201">
        <f t="shared" si="143"/>
        <v>58.605813042894823</v>
      </c>
      <c r="AT92" s="201"/>
      <c r="AU92" s="223">
        <v>292613.55</v>
      </c>
      <c r="AV92" s="201">
        <f t="shared" si="144"/>
        <v>292613.55</v>
      </c>
      <c r="AW92" s="201">
        <f t="shared" si="157"/>
        <v>0</v>
      </c>
      <c r="AX92" s="201">
        <f t="shared" si="145"/>
        <v>58.605813042894823</v>
      </c>
      <c r="AY92" s="208"/>
      <c r="AZ92" s="201">
        <f t="shared" si="146"/>
        <v>139291</v>
      </c>
      <c r="BA92" s="201">
        <f t="shared" si="147"/>
        <v>59013</v>
      </c>
      <c r="BB92" s="201">
        <f t="shared" si="148"/>
        <v>198304</v>
      </c>
      <c r="BC92" s="201">
        <v>139291</v>
      </c>
      <c r="BD92" s="223">
        <f>198304-BC92</f>
        <v>59013</v>
      </c>
      <c r="BE92" s="201">
        <f t="shared" si="149"/>
        <v>198304</v>
      </c>
      <c r="BF92" s="208"/>
      <c r="BG92" s="201">
        <f t="shared" si="165"/>
        <v>139291</v>
      </c>
      <c r="BH92" s="201">
        <f t="shared" si="165"/>
        <v>351626.55</v>
      </c>
      <c r="BI92" s="201">
        <f t="shared" si="151"/>
        <v>490917.55</v>
      </c>
      <c r="BJ92" s="201">
        <f t="shared" si="163"/>
        <v>98.322931917458959</v>
      </c>
      <c r="BK92" s="210">
        <v>89</v>
      </c>
      <c r="BL92" s="210">
        <v>5</v>
      </c>
      <c r="BM92" s="211"/>
      <c r="BN92" s="211"/>
      <c r="BO92" s="212">
        <f t="shared" si="152"/>
        <v>139291</v>
      </c>
      <c r="BP92" s="201">
        <f t="shared" si="153"/>
        <v>67386.450000000012</v>
      </c>
      <c r="BQ92" s="201">
        <f t="shared" si="158"/>
        <v>206677.45</v>
      </c>
      <c r="BR92" s="201">
        <f t="shared" si="166"/>
        <v>139291</v>
      </c>
      <c r="BS92" s="201">
        <f t="shared" si="166"/>
        <v>67386.450000000012</v>
      </c>
      <c r="BT92" s="201">
        <f t="shared" si="160"/>
        <v>206677.45</v>
      </c>
      <c r="BU92" s="213">
        <f t="shared" si="161"/>
        <v>0</v>
      </c>
      <c r="BV92" s="201"/>
      <c r="BW92" s="201"/>
      <c r="BX92" s="201">
        <f t="shared" si="162"/>
        <v>0</v>
      </c>
      <c r="BY92" s="199">
        <v>35000</v>
      </c>
      <c r="BZ92" s="199">
        <v>150000</v>
      </c>
      <c r="CA92" s="199">
        <v>260000</v>
      </c>
      <c r="CB92" s="199">
        <v>55000</v>
      </c>
      <c r="CC92" s="199"/>
      <c r="CD92" s="199"/>
      <c r="CE92" s="199"/>
      <c r="CF92" s="199"/>
      <c r="CG92" s="199"/>
      <c r="CH92" s="199"/>
      <c r="CI92" s="199"/>
      <c r="CJ92" s="199"/>
      <c r="CK92" s="214" t="s">
        <v>344</v>
      </c>
      <c r="CL92" s="214" t="s">
        <v>276</v>
      </c>
      <c r="CM92" s="211">
        <v>185</v>
      </c>
      <c r="CN92" s="215"/>
      <c r="CO92" s="215"/>
      <c r="CP92" s="216"/>
      <c r="CQ92" s="217"/>
      <c r="CR92" s="211"/>
      <c r="CS92" s="218"/>
      <c r="CT92" s="218"/>
      <c r="CU92" s="218"/>
      <c r="CV92" s="211"/>
      <c r="CW92" s="211"/>
      <c r="CX92" s="211"/>
      <c r="CY92" s="211"/>
      <c r="CZ92" s="211"/>
      <c r="DA92" s="211"/>
      <c r="DB92" s="211"/>
      <c r="DC92" s="219"/>
      <c r="DD92" s="219"/>
      <c r="DE92" s="219"/>
      <c r="DF92" s="211"/>
      <c r="DG92" s="211"/>
      <c r="DH92" s="211"/>
      <c r="DI92" s="211"/>
      <c r="DJ92" s="211"/>
      <c r="DK92" s="220" t="s">
        <v>53</v>
      </c>
      <c r="DT92" s="222"/>
    </row>
    <row r="93" spans="1:124" s="176" customFormat="1" ht="42" x14ac:dyDescent="0.2">
      <c r="A93" s="195" t="s">
        <v>108</v>
      </c>
      <c r="B93" s="197" t="s">
        <v>345</v>
      </c>
      <c r="C93" s="198">
        <v>1</v>
      </c>
      <c r="D93" s="199">
        <v>860000</v>
      </c>
      <c r="E93" s="198" t="s">
        <v>346</v>
      </c>
      <c r="F93" s="198" t="s">
        <v>234</v>
      </c>
      <c r="G93" s="198" t="s">
        <v>98</v>
      </c>
      <c r="H93" s="200">
        <v>1</v>
      </c>
      <c r="I93" s="199">
        <f t="shared" si="127"/>
        <v>0</v>
      </c>
      <c r="J93" s="199">
        <f t="shared" si="128"/>
        <v>860000</v>
      </c>
      <c r="K93" s="199">
        <f t="shared" si="129"/>
        <v>860000</v>
      </c>
      <c r="L93" s="199"/>
      <c r="M93" s="199">
        <v>860000</v>
      </c>
      <c r="N93" s="199">
        <f t="shared" si="130"/>
        <v>860000</v>
      </c>
      <c r="O93" s="199"/>
      <c r="P93" s="201">
        <v>0</v>
      </c>
      <c r="Q93" s="202">
        <v>12</v>
      </c>
      <c r="R93" s="203">
        <v>45566</v>
      </c>
      <c r="S93" s="204"/>
      <c r="T93" s="204">
        <v>860000</v>
      </c>
      <c r="U93" s="204">
        <f t="shared" si="131"/>
        <v>860000</v>
      </c>
      <c r="V93" s="205"/>
      <c r="W93" s="200"/>
      <c r="X93" s="201"/>
      <c r="Y93" s="201"/>
      <c r="Z93" s="201">
        <f t="shared" si="132"/>
        <v>0</v>
      </c>
      <c r="AA93" s="198"/>
      <c r="AB93" s="206"/>
      <c r="AC93" s="207"/>
      <c r="AD93" s="201"/>
      <c r="AE93" s="204">
        <f t="shared" si="133"/>
        <v>0</v>
      </c>
      <c r="AF93" s="203">
        <f t="shared" si="134"/>
        <v>45566</v>
      </c>
      <c r="AG93" s="201">
        <f t="shared" si="135"/>
        <v>0</v>
      </c>
      <c r="AH93" s="199">
        <f t="shared" si="136"/>
        <v>860000</v>
      </c>
      <c r="AI93" s="199">
        <f t="shared" si="137"/>
        <v>860000</v>
      </c>
      <c r="AJ93" s="201">
        <f t="shared" si="164"/>
        <v>0</v>
      </c>
      <c r="AK93" s="201">
        <f t="shared" si="164"/>
        <v>860000</v>
      </c>
      <c r="AL93" s="201">
        <f t="shared" si="139"/>
        <v>860000</v>
      </c>
      <c r="AM93" s="198"/>
      <c r="AN93" s="203"/>
      <c r="AO93" s="208"/>
      <c r="AP93" s="201">
        <f t="shared" si="140"/>
        <v>0</v>
      </c>
      <c r="AQ93" s="201">
        <f t="shared" si="141"/>
        <v>859160.67</v>
      </c>
      <c r="AR93" s="201">
        <f t="shared" si="142"/>
        <v>859160.67</v>
      </c>
      <c r="AS93" s="201">
        <f t="shared" si="143"/>
        <v>99.902403488372087</v>
      </c>
      <c r="AT93" s="201"/>
      <c r="AU93" s="223">
        <v>859160.67</v>
      </c>
      <c r="AV93" s="201">
        <f t="shared" si="144"/>
        <v>859160.67</v>
      </c>
      <c r="AW93" s="201">
        <f t="shared" si="157"/>
        <v>0</v>
      </c>
      <c r="AX93" s="201">
        <f t="shared" si="145"/>
        <v>99.902403488372087</v>
      </c>
      <c r="AY93" s="208"/>
      <c r="AZ93" s="201">
        <f t="shared" si="146"/>
        <v>0</v>
      </c>
      <c r="BA93" s="201">
        <f t="shared" si="147"/>
        <v>0</v>
      </c>
      <c r="BB93" s="201">
        <f t="shared" si="148"/>
        <v>0</v>
      </c>
      <c r="BC93" s="201"/>
      <c r="BD93" s="223">
        <v>0</v>
      </c>
      <c r="BE93" s="201">
        <f t="shared" si="149"/>
        <v>0</v>
      </c>
      <c r="BF93" s="208"/>
      <c r="BG93" s="201">
        <f t="shared" si="165"/>
        <v>0</v>
      </c>
      <c r="BH93" s="201">
        <f t="shared" si="165"/>
        <v>859160.67</v>
      </c>
      <c r="BI93" s="201">
        <f t="shared" si="151"/>
        <v>859160.67</v>
      </c>
      <c r="BJ93" s="201">
        <f t="shared" si="163"/>
        <v>99.902403488372087</v>
      </c>
      <c r="BK93" s="210">
        <v>89</v>
      </c>
      <c r="BL93" s="210">
        <v>50</v>
      </c>
      <c r="BM93" s="211"/>
      <c r="BN93" s="211"/>
      <c r="BO93" s="212">
        <f t="shared" si="152"/>
        <v>0</v>
      </c>
      <c r="BP93" s="201">
        <f t="shared" si="153"/>
        <v>839.32999999995809</v>
      </c>
      <c r="BQ93" s="201">
        <f t="shared" si="158"/>
        <v>839.32999999995809</v>
      </c>
      <c r="BR93" s="201">
        <f t="shared" si="166"/>
        <v>0</v>
      </c>
      <c r="BS93" s="201">
        <f t="shared" si="166"/>
        <v>839.32999999995809</v>
      </c>
      <c r="BT93" s="201">
        <f t="shared" si="160"/>
        <v>839.32999999995809</v>
      </c>
      <c r="BU93" s="213">
        <f t="shared" si="161"/>
        <v>0</v>
      </c>
      <c r="BV93" s="201"/>
      <c r="BW93" s="201"/>
      <c r="BX93" s="201">
        <f t="shared" si="162"/>
        <v>0</v>
      </c>
      <c r="BY93" s="199">
        <v>60200</v>
      </c>
      <c r="BZ93" s="199">
        <v>258000</v>
      </c>
      <c r="CA93" s="199">
        <v>447200</v>
      </c>
      <c r="CB93" s="199">
        <v>94600</v>
      </c>
      <c r="CC93" s="199"/>
      <c r="CD93" s="199"/>
      <c r="CE93" s="199"/>
      <c r="CF93" s="199"/>
      <c r="CG93" s="199"/>
      <c r="CH93" s="199"/>
      <c r="CI93" s="199"/>
      <c r="CJ93" s="199"/>
      <c r="CK93" s="214" t="s">
        <v>347</v>
      </c>
      <c r="CL93" s="214" t="s">
        <v>276</v>
      </c>
      <c r="CM93" s="211">
        <v>185</v>
      </c>
      <c r="CN93" s="215"/>
      <c r="CO93" s="215"/>
      <c r="CP93" s="216"/>
      <c r="CQ93" s="217"/>
      <c r="CR93" s="211"/>
      <c r="CS93" s="218"/>
      <c r="CT93" s="218"/>
      <c r="CU93" s="218"/>
      <c r="CV93" s="211"/>
      <c r="CW93" s="211"/>
      <c r="CX93" s="211"/>
      <c r="CY93" s="211"/>
      <c r="CZ93" s="211"/>
      <c r="DA93" s="211"/>
      <c r="DB93" s="211"/>
      <c r="DC93" s="219"/>
      <c r="DD93" s="219"/>
      <c r="DE93" s="219"/>
      <c r="DF93" s="211"/>
      <c r="DG93" s="211"/>
      <c r="DH93" s="211"/>
      <c r="DI93" s="211"/>
      <c r="DJ93" s="211"/>
      <c r="DK93" s="220" t="s">
        <v>32</v>
      </c>
      <c r="DT93" s="222"/>
    </row>
    <row r="94" spans="1:124" s="176" customFormat="1" ht="42" x14ac:dyDescent="0.2">
      <c r="A94" s="195" t="s">
        <v>108</v>
      </c>
      <c r="B94" s="197" t="s">
        <v>348</v>
      </c>
      <c r="C94" s="198">
        <v>1</v>
      </c>
      <c r="D94" s="199">
        <v>860000</v>
      </c>
      <c r="E94" s="198" t="s">
        <v>346</v>
      </c>
      <c r="F94" s="198" t="s">
        <v>234</v>
      </c>
      <c r="G94" s="198" t="s">
        <v>98</v>
      </c>
      <c r="H94" s="200">
        <v>1</v>
      </c>
      <c r="I94" s="199">
        <f t="shared" si="127"/>
        <v>0</v>
      </c>
      <c r="J94" s="199">
        <f t="shared" si="128"/>
        <v>860000</v>
      </c>
      <c r="K94" s="199">
        <f t="shared" si="129"/>
        <v>860000</v>
      </c>
      <c r="L94" s="199"/>
      <c r="M94" s="199">
        <v>860000</v>
      </c>
      <c r="N94" s="199">
        <f t="shared" si="130"/>
        <v>860000</v>
      </c>
      <c r="O94" s="199"/>
      <c r="P94" s="201">
        <v>0</v>
      </c>
      <c r="Q94" s="202">
        <v>12</v>
      </c>
      <c r="R94" s="203">
        <v>45566</v>
      </c>
      <c r="S94" s="204"/>
      <c r="T94" s="204">
        <v>860000</v>
      </c>
      <c r="U94" s="204">
        <f t="shared" si="131"/>
        <v>860000</v>
      </c>
      <c r="V94" s="205"/>
      <c r="W94" s="200"/>
      <c r="X94" s="201"/>
      <c r="Y94" s="201"/>
      <c r="Z94" s="201">
        <f t="shared" si="132"/>
        <v>0</v>
      </c>
      <c r="AA94" s="198"/>
      <c r="AB94" s="206"/>
      <c r="AC94" s="207"/>
      <c r="AD94" s="201"/>
      <c r="AE94" s="204">
        <f t="shared" si="133"/>
        <v>0</v>
      </c>
      <c r="AF94" s="203">
        <f t="shared" si="134"/>
        <v>45566</v>
      </c>
      <c r="AG94" s="201">
        <f t="shared" si="135"/>
        <v>0</v>
      </c>
      <c r="AH94" s="199">
        <f t="shared" si="136"/>
        <v>860000</v>
      </c>
      <c r="AI94" s="199">
        <f t="shared" si="137"/>
        <v>860000</v>
      </c>
      <c r="AJ94" s="201">
        <f t="shared" si="164"/>
        <v>0</v>
      </c>
      <c r="AK94" s="201">
        <f t="shared" si="164"/>
        <v>860000</v>
      </c>
      <c r="AL94" s="201">
        <f t="shared" si="139"/>
        <v>860000</v>
      </c>
      <c r="AM94" s="198"/>
      <c r="AN94" s="203"/>
      <c r="AO94" s="208"/>
      <c r="AP94" s="201">
        <f t="shared" si="140"/>
        <v>0</v>
      </c>
      <c r="AQ94" s="201">
        <f t="shared" si="141"/>
        <v>859095.12</v>
      </c>
      <c r="AR94" s="201">
        <f t="shared" si="142"/>
        <v>859095.12</v>
      </c>
      <c r="AS94" s="201">
        <f t="shared" si="143"/>
        <v>99.894781395348843</v>
      </c>
      <c r="AT94" s="201"/>
      <c r="AU94" s="223">
        <v>859095.12</v>
      </c>
      <c r="AV94" s="201">
        <f t="shared" si="144"/>
        <v>859095.12</v>
      </c>
      <c r="AW94" s="201">
        <f t="shared" si="157"/>
        <v>0</v>
      </c>
      <c r="AX94" s="201">
        <f t="shared" si="145"/>
        <v>99.894781395348843</v>
      </c>
      <c r="AY94" s="208"/>
      <c r="AZ94" s="201">
        <f t="shared" si="146"/>
        <v>0</v>
      </c>
      <c r="BA94" s="201">
        <f t="shared" si="147"/>
        <v>0</v>
      </c>
      <c r="BB94" s="201">
        <f t="shared" si="148"/>
        <v>0</v>
      </c>
      <c r="BC94" s="201"/>
      <c r="BD94" s="223">
        <v>0</v>
      </c>
      <c r="BE94" s="201">
        <f t="shared" si="149"/>
        <v>0</v>
      </c>
      <c r="BF94" s="208"/>
      <c r="BG94" s="201">
        <f t="shared" si="165"/>
        <v>0</v>
      </c>
      <c r="BH94" s="201">
        <f t="shared" si="165"/>
        <v>859095.12</v>
      </c>
      <c r="BI94" s="201">
        <f t="shared" si="151"/>
        <v>859095.12</v>
      </c>
      <c r="BJ94" s="201">
        <f t="shared" si="163"/>
        <v>99.894781395348843</v>
      </c>
      <c r="BK94" s="210">
        <v>89</v>
      </c>
      <c r="BL94" s="210">
        <v>50</v>
      </c>
      <c r="BM94" s="211"/>
      <c r="BN94" s="211"/>
      <c r="BO94" s="212">
        <f t="shared" si="152"/>
        <v>0</v>
      </c>
      <c r="BP94" s="201">
        <f t="shared" si="153"/>
        <v>904.88000000000466</v>
      </c>
      <c r="BQ94" s="201">
        <f t="shared" si="158"/>
        <v>904.88000000000466</v>
      </c>
      <c r="BR94" s="201">
        <f t="shared" si="166"/>
        <v>0</v>
      </c>
      <c r="BS94" s="201">
        <f t="shared" si="166"/>
        <v>904.88000000000466</v>
      </c>
      <c r="BT94" s="201">
        <f t="shared" si="160"/>
        <v>904.88000000000466</v>
      </c>
      <c r="BU94" s="213">
        <f t="shared" si="161"/>
        <v>0</v>
      </c>
      <c r="BV94" s="201"/>
      <c r="BW94" s="201"/>
      <c r="BX94" s="201">
        <f t="shared" si="162"/>
        <v>0</v>
      </c>
      <c r="BY94" s="199">
        <v>60200</v>
      </c>
      <c r="BZ94" s="199">
        <v>258000</v>
      </c>
      <c r="CA94" s="199">
        <v>447200</v>
      </c>
      <c r="CB94" s="199">
        <v>94600</v>
      </c>
      <c r="CC94" s="199"/>
      <c r="CD94" s="199"/>
      <c r="CE94" s="199"/>
      <c r="CF94" s="199"/>
      <c r="CG94" s="199"/>
      <c r="CH94" s="199"/>
      <c r="CI94" s="199"/>
      <c r="CJ94" s="199"/>
      <c r="CK94" s="214" t="s">
        <v>349</v>
      </c>
      <c r="CL94" s="214" t="s">
        <v>276</v>
      </c>
      <c r="CM94" s="211">
        <v>185</v>
      </c>
      <c r="CN94" s="215"/>
      <c r="CO94" s="215"/>
      <c r="CP94" s="216"/>
      <c r="CQ94" s="217"/>
      <c r="CR94" s="211"/>
      <c r="CS94" s="218"/>
      <c r="CT94" s="218"/>
      <c r="CU94" s="218"/>
      <c r="CV94" s="211"/>
      <c r="CW94" s="211"/>
      <c r="CX94" s="211"/>
      <c r="CY94" s="211"/>
      <c r="CZ94" s="211"/>
      <c r="DA94" s="211"/>
      <c r="DB94" s="211"/>
      <c r="DC94" s="219"/>
      <c r="DD94" s="219"/>
      <c r="DE94" s="219"/>
      <c r="DF94" s="211"/>
      <c r="DG94" s="211"/>
      <c r="DH94" s="211"/>
      <c r="DI94" s="211"/>
      <c r="DJ94" s="211"/>
      <c r="DK94" s="220" t="s">
        <v>32</v>
      </c>
      <c r="DT94" s="222"/>
    </row>
    <row r="95" spans="1:124" s="176" customFormat="1" ht="42" x14ac:dyDescent="0.2">
      <c r="A95" s="195" t="s">
        <v>108</v>
      </c>
      <c r="B95" s="197" t="s">
        <v>350</v>
      </c>
      <c r="C95" s="198">
        <v>1</v>
      </c>
      <c r="D95" s="199">
        <v>900000</v>
      </c>
      <c r="E95" s="198" t="s">
        <v>351</v>
      </c>
      <c r="F95" s="198" t="s">
        <v>230</v>
      </c>
      <c r="G95" s="198" t="s">
        <v>98</v>
      </c>
      <c r="H95" s="200">
        <v>1</v>
      </c>
      <c r="I95" s="199">
        <f t="shared" si="127"/>
        <v>0</v>
      </c>
      <c r="J95" s="199">
        <f t="shared" si="128"/>
        <v>900000</v>
      </c>
      <c r="K95" s="199">
        <f t="shared" si="129"/>
        <v>900000</v>
      </c>
      <c r="L95" s="199"/>
      <c r="M95" s="199">
        <v>900000</v>
      </c>
      <c r="N95" s="199">
        <f t="shared" si="130"/>
        <v>900000</v>
      </c>
      <c r="O95" s="199"/>
      <c r="P95" s="201">
        <v>0</v>
      </c>
      <c r="Q95" s="202">
        <v>12</v>
      </c>
      <c r="R95" s="203">
        <v>45566</v>
      </c>
      <c r="S95" s="204"/>
      <c r="T95" s="204">
        <v>900000</v>
      </c>
      <c r="U95" s="204">
        <f t="shared" si="131"/>
        <v>900000</v>
      </c>
      <c r="V95" s="205"/>
      <c r="W95" s="200"/>
      <c r="X95" s="201"/>
      <c r="Y95" s="201"/>
      <c r="Z95" s="201">
        <f t="shared" si="132"/>
        <v>0</v>
      </c>
      <c r="AA95" s="198"/>
      <c r="AB95" s="206"/>
      <c r="AC95" s="207"/>
      <c r="AD95" s="201"/>
      <c r="AE95" s="204">
        <f t="shared" si="133"/>
        <v>0</v>
      </c>
      <c r="AF95" s="203">
        <f t="shared" si="134"/>
        <v>45566</v>
      </c>
      <c r="AG95" s="201">
        <f t="shared" si="135"/>
        <v>0</v>
      </c>
      <c r="AH95" s="199">
        <f t="shared" si="136"/>
        <v>900000</v>
      </c>
      <c r="AI95" s="199">
        <f t="shared" si="137"/>
        <v>900000</v>
      </c>
      <c r="AJ95" s="201">
        <f t="shared" si="164"/>
        <v>0</v>
      </c>
      <c r="AK95" s="201">
        <f t="shared" si="164"/>
        <v>900000</v>
      </c>
      <c r="AL95" s="201">
        <f t="shared" si="139"/>
        <v>900000</v>
      </c>
      <c r="AM95" s="198"/>
      <c r="AN95" s="203"/>
      <c r="AO95" s="208"/>
      <c r="AP95" s="201">
        <f t="shared" si="140"/>
        <v>0</v>
      </c>
      <c r="AQ95" s="201">
        <f t="shared" si="141"/>
        <v>704087.93</v>
      </c>
      <c r="AR95" s="201">
        <f t="shared" si="142"/>
        <v>704087.93</v>
      </c>
      <c r="AS95" s="201">
        <f t="shared" si="143"/>
        <v>78.231992222222217</v>
      </c>
      <c r="AT95" s="201"/>
      <c r="AU95" s="223">
        <v>704087.93</v>
      </c>
      <c r="AV95" s="201">
        <f t="shared" si="144"/>
        <v>704087.93</v>
      </c>
      <c r="AW95" s="201">
        <f t="shared" si="157"/>
        <v>0</v>
      </c>
      <c r="AX95" s="201">
        <f t="shared" si="145"/>
        <v>78.231992222222217</v>
      </c>
      <c r="AY95" s="208"/>
      <c r="AZ95" s="201">
        <f t="shared" si="146"/>
        <v>0</v>
      </c>
      <c r="BA95" s="201">
        <f t="shared" si="147"/>
        <v>0</v>
      </c>
      <c r="BB95" s="201">
        <f t="shared" si="148"/>
        <v>0</v>
      </c>
      <c r="BC95" s="201"/>
      <c r="BD95" s="223">
        <v>0</v>
      </c>
      <c r="BE95" s="201">
        <f t="shared" si="149"/>
        <v>0</v>
      </c>
      <c r="BF95" s="208"/>
      <c r="BG95" s="201">
        <f t="shared" si="165"/>
        <v>0</v>
      </c>
      <c r="BH95" s="201">
        <f t="shared" si="165"/>
        <v>704087.93</v>
      </c>
      <c r="BI95" s="201">
        <f t="shared" si="151"/>
        <v>704087.93</v>
      </c>
      <c r="BJ95" s="201">
        <f t="shared" si="163"/>
        <v>78.231992222222217</v>
      </c>
      <c r="BK95" s="210">
        <v>89</v>
      </c>
      <c r="BL95" s="210">
        <v>45</v>
      </c>
      <c r="BM95" s="211"/>
      <c r="BN95" s="211"/>
      <c r="BO95" s="212">
        <f t="shared" si="152"/>
        <v>0</v>
      </c>
      <c r="BP95" s="201">
        <f t="shared" si="153"/>
        <v>195912.06999999995</v>
      </c>
      <c r="BQ95" s="201">
        <f t="shared" si="158"/>
        <v>195912.06999999995</v>
      </c>
      <c r="BR95" s="201">
        <f t="shared" si="166"/>
        <v>0</v>
      </c>
      <c r="BS95" s="201">
        <f t="shared" si="166"/>
        <v>195912.06999999995</v>
      </c>
      <c r="BT95" s="201">
        <f t="shared" si="160"/>
        <v>195912.06999999995</v>
      </c>
      <c r="BU95" s="213">
        <f t="shared" si="161"/>
        <v>0</v>
      </c>
      <c r="BV95" s="201"/>
      <c r="BW95" s="201"/>
      <c r="BX95" s="201">
        <f t="shared" si="162"/>
        <v>0</v>
      </c>
      <c r="BY95" s="199">
        <v>63000</v>
      </c>
      <c r="BZ95" s="199">
        <v>270000</v>
      </c>
      <c r="CA95" s="199">
        <v>468000</v>
      </c>
      <c r="CB95" s="199">
        <v>99000</v>
      </c>
      <c r="CC95" s="199"/>
      <c r="CD95" s="199"/>
      <c r="CE95" s="199"/>
      <c r="CF95" s="199"/>
      <c r="CG95" s="199"/>
      <c r="CH95" s="199"/>
      <c r="CI95" s="199"/>
      <c r="CJ95" s="199"/>
      <c r="CK95" s="214" t="s">
        <v>352</v>
      </c>
      <c r="CL95" s="214" t="s">
        <v>276</v>
      </c>
      <c r="CM95" s="211">
        <v>185</v>
      </c>
      <c r="CN95" s="215"/>
      <c r="CO95" s="215"/>
      <c r="CP95" s="216"/>
      <c r="CQ95" s="217"/>
      <c r="CR95" s="211"/>
      <c r="CS95" s="218"/>
      <c r="CT95" s="218"/>
      <c r="CU95" s="218"/>
      <c r="CV95" s="211"/>
      <c r="CW95" s="211"/>
      <c r="CX95" s="211"/>
      <c r="CY95" s="211"/>
      <c r="CZ95" s="211"/>
      <c r="DA95" s="211"/>
      <c r="DB95" s="211"/>
      <c r="DC95" s="219"/>
      <c r="DD95" s="219"/>
      <c r="DE95" s="219"/>
      <c r="DF95" s="211"/>
      <c r="DG95" s="211"/>
      <c r="DH95" s="211"/>
      <c r="DI95" s="211"/>
      <c r="DJ95" s="211"/>
      <c r="DK95" s="220" t="s">
        <v>32</v>
      </c>
      <c r="DT95" s="222"/>
    </row>
    <row r="96" spans="1:124" s="176" customFormat="1" ht="42" x14ac:dyDescent="0.2">
      <c r="A96" s="195" t="s">
        <v>108</v>
      </c>
      <c r="B96" s="197" t="s">
        <v>353</v>
      </c>
      <c r="C96" s="198">
        <v>1</v>
      </c>
      <c r="D96" s="199">
        <v>600000</v>
      </c>
      <c r="E96" s="198" t="s">
        <v>351</v>
      </c>
      <c r="F96" s="198" t="s">
        <v>230</v>
      </c>
      <c r="G96" s="198" t="s">
        <v>98</v>
      </c>
      <c r="H96" s="200">
        <v>1</v>
      </c>
      <c r="I96" s="199">
        <f t="shared" si="127"/>
        <v>0</v>
      </c>
      <c r="J96" s="199">
        <f t="shared" si="128"/>
        <v>600000</v>
      </c>
      <c r="K96" s="199">
        <f t="shared" si="129"/>
        <v>600000</v>
      </c>
      <c r="L96" s="199"/>
      <c r="M96" s="199">
        <v>600000</v>
      </c>
      <c r="N96" s="199">
        <f t="shared" si="130"/>
        <v>600000</v>
      </c>
      <c r="O96" s="199"/>
      <c r="P96" s="201">
        <v>0</v>
      </c>
      <c r="Q96" s="202">
        <v>12</v>
      </c>
      <c r="R96" s="203">
        <v>45566</v>
      </c>
      <c r="S96" s="204"/>
      <c r="T96" s="204">
        <v>600000</v>
      </c>
      <c r="U96" s="204">
        <f t="shared" si="131"/>
        <v>600000</v>
      </c>
      <c r="V96" s="205"/>
      <c r="W96" s="200"/>
      <c r="X96" s="201"/>
      <c r="Y96" s="201"/>
      <c r="Z96" s="201">
        <f t="shared" si="132"/>
        <v>0</v>
      </c>
      <c r="AA96" s="198"/>
      <c r="AB96" s="206"/>
      <c r="AC96" s="207"/>
      <c r="AD96" s="201"/>
      <c r="AE96" s="204">
        <f t="shared" si="133"/>
        <v>0</v>
      </c>
      <c r="AF96" s="203">
        <f t="shared" si="134"/>
        <v>45566</v>
      </c>
      <c r="AG96" s="201">
        <f t="shared" si="135"/>
        <v>0</v>
      </c>
      <c r="AH96" s="199">
        <f t="shared" si="136"/>
        <v>600000</v>
      </c>
      <c r="AI96" s="199">
        <f t="shared" si="137"/>
        <v>600000</v>
      </c>
      <c r="AJ96" s="201">
        <f t="shared" si="164"/>
        <v>0</v>
      </c>
      <c r="AK96" s="201">
        <f t="shared" si="164"/>
        <v>600000</v>
      </c>
      <c r="AL96" s="201">
        <f t="shared" si="139"/>
        <v>600000</v>
      </c>
      <c r="AM96" s="198"/>
      <c r="AN96" s="203"/>
      <c r="AO96" s="208"/>
      <c r="AP96" s="201">
        <f t="shared" si="140"/>
        <v>0</v>
      </c>
      <c r="AQ96" s="201">
        <f t="shared" si="141"/>
        <v>409149.27</v>
      </c>
      <c r="AR96" s="201">
        <f t="shared" si="142"/>
        <v>409149.27</v>
      </c>
      <c r="AS96" s="201">
        <f t="shared" si="143"/>
        <v>68.191545000000005</v>
      </c>
      <c r="AT96" s="201"/>
      <c r="AU96" s="223">
        <v>409149.27</v>
      </c>
      <c r="AV96" s="201">
        <f t="shared" si="144"/>
        <v>409149.27</v>
      </c>
      <c r="AW96" s="201">
        <f t="shared" si="157"/>
        <v>0</v>
      </c>
      <c r="AX96" s="201">
        <f t="shared" si="145"/>
        <v>68.191545000000005</v>
      </c>
      <c r="AY96" s="208"/>
      <c r="AZ96" s="201">
        <f t="shared" si="146"/>
        <v>0</v>
      </c>
      <c r="BA96" s="201">
        <f t="shared" si="147"/>
        <v>0</v>
      </c>
      <c r="BB96" s="201">
        <f t="shared" si="148"/>
        <v>0</v>
      </c>
      <c r="BC96" s="201"/>
      <c r="BD96" s="223">
        <v>0</v>
      </c>
      <c r="BE96" s="201">
        <f t="shared" si="149"/>
        <v>0</v>
      </c>
      <c r="BF96" s="208"/>
      <c r="BG96" s="201">
        <f t="shared" si="165"/>
        <v>0</v>
      </c>
      <c r="BH96" s="201">
        <f t="shared" si="165"/>
        <v>409149.27</v>
      </c>
      <c r="BI96" s="201">
        <f t="shared" si="151"/>
        <v>409149.27</v>
      </c>
      <c r="BJ96" s="201">
        <f t="shared" si="163"/>
        <v>68.191545000000005</v>
      </c>
      <c r="BK96" s="210">
        <v>89</v>
      </c>
      <c r="BL96" s="210">
        <v>60</v>
      </c>
      <c r="BM96" s="211"/>
      <c r="BN96" s="211"/>
      <c r="BO96" s="212">
        <f t="shared" si="152"/>
        <v>0</v>
      </c>
      <c r="BP96" s="201">
        <f t="shared" si="153"/>
        <v>190850.72999999998</v>
      </c>
      <c r="BQ96" s="201">
        <f t="shared" si="158"/>
        <v>190850.72999999998</v>
      </c>
      <c r="BR96" s="201">
        <f t="shared" si="166"/>
        <v>0</v>
      </c>
      <c r="BS96" s="201">
        <f t="shared" si="166"/>
        <v>190850.72999999998</v>
      </c>
      <c r="BT96" s="201">
        <f t="shared" si="160"/>
        <v>190850.72999999998</v>
      </c>
      <c r="BU96" s="213">
        <f t="shared" si="161"/>
        <v>0</v>
      </c>
      <c r="BV96" s="201"/>
      <c r="BW96" s="201"/>
      <c r="BX96" s="201">
        <f t="shared" si="162"/>
        <v>0</v>
      </c>
      <c r="BY96" s="199">
        <v>42000</v>
      </c>
      <c r="BZ96" s="199">
        <v>180000</v>
      </c>
      <c r="CA96" s="199">
        <v>312000</v>
      </c>
      <c r="CB96" s="199">
        <v>66000</v>
      </c>
      <c r="CC96" s="199"/>
      <c r="CD96" s="199"/>
      <c r="CE96" s="199"/>
      <c r="CF96" s="199"/>
      <c r="CG96" s="199"/>
      <c r="CH96" s="199"/>
      <c r="CI96" s="199"/>
      <c r="CJ96" s="199"/>
      <c r="CK96" s="214" t="s">
        <v>354</v>
      </c>
      <c r="CL96" s="214" t="s">
        <v>276</v>
      </c>
      <c r="CM96" s="211">
        <v>185</v>
      </c>
      <c r="CN96" s="215"/>
      <c r="CO96" s="215"/>
      <c r="CP96" s="216"/>
      <c r="CQ96" s="217"/>
      <c r="CR96" s="211"/>
      <c r="CS96" s="218"/>
      <c r="CT96" s="218"/>
      <c r="CU96" s="218"/>
      <c r="CV96" s="211"/>
      <c r="CW96" s="211"/>
      <c r="CX96" s="211"/>
      <c r="CY96" s="211"/>
      <c r="CZ96" s="211"/>
      <c r="DA96" s="211"/>
      <c r="DB96" s="211"/>
      <c r="DC96" s="219"/>
      <c r="DD96" s="219"/>
      <c r="DE96" s="219"/>
      <c r="DF96" s="211"/>
      <c r="DG96" s="211"/>
      <c r="DH96" s="211"/>
      <c r="DI96" s="211"/>
      <c r="DJ96" s="211"/>
      <c r="DK96" s="220" t="s">
        <v>32</v>
      </c>
      <c r="DT96" s="222"/>
    </row>
    <row r="97" spans="1:124" s="176" customFormat="1" ht="42" x14ac:dyDescent="0.2">
      <c r="A97" s="195" t="s">
        <v>108</v>
      </c>
      <c r="B97" s="197" t="s">
        <v>355</v>
      </c>
      <c r="C97" s="198">
        <v>1</v>
      </c>
      <c r="D97" s="199">
        <v>920000</v>
      </c>
      <c r="E97" s="198" t="s">
        <v>356</v>
      </c>
      <c r="F97" s="198" t="s">
        <v>230</v>
      </c>
      <c r="G97" s="198" t="s">
        <v>98</v>
      </c>
      <c r="H97" s="200">
        <v>1</v>
      </c>
      <c r="I97" s="199">
        <f t="shared" si="127"/>
        <v>0</v>
      </c>
      <c r="J97" s="199">
        <f t="shared" si="128"/>
        <v>920000</v>
      </c>
      <c r="K97" s="199">
        <f t="shared" si="129"/>
        <v>920000</v>
      </c>
      <c r="L97" s="199"/>
      <c r="M97" s="199">
        <v>920000</v>
      </c>
      <c r="N97" s="199">
        <f t="shared" si="130"/>
        <v>920000</v>
      </c>
      <c r="O97" s="199"/>
      <c r="P97" s="201">
        <v>0</v>
      </c>
      <c r="Q97" s="202">
        <v>12</v>
      </c>
      <c r="R97" s="203">
        <v>45566</v>
      </c>
      <c r="S97" s="204"/>
      <c r="T97" s="204">
        <v>920000</v>
      </c>
      <c r="U97" s="204">
        <f t="shared" si="131"/>
        <v>920000</v>
      </c>
      <c r="V97" s="205"/>
      <c r="W97" s="200"/>
      <c r="X97" s="201"/>
      <c r="Y97" s="201"/>
      <c r="Z97" s="201">
        <f t="shared" si="132"/>
        <v>0</v>
      </c>
      <c r="AA97" s="198"/>
      <c r="AB97" s="206"/>
      <c r="AC97" s="207"/>
      <c r="AD97" s="201"/>
      <c r="AE97" s="204">
        <f t="shared" si="133"/>
        <v>0</v>
      </c>
      <c r="AF97" s="203">
        <f t="shared" si="134"/>
        <v>45566</v>
      </c>
      <c r="AG97" s="201">
        <f t="shared" si="135"/>
        <v>0</v>
      </c>
      <c r="AH97" s="199">
        <f t="shared" si="136"/>
        <v>920000</v>
      </c>
      <c r="AI97" s="199">
        <f t="shared" si="137"/>
        <v>920000</v>
      </c>
      <c r="AJ97" s="201">
        <f t="shared" si="164"/>
        <v>0</v>
      </c>
      <c r="AK97" s="201">
        <f t="shared" si="164"/>
        <v>920000</v>
      </c>
      <c r="AL97" s="201">
        <f t="shared" si="139"/>
        <v>920000</v>
      </c>
      <c r="AM97" s="198"/>
      <c r="AN97" s="203"/>
      <c r="AO97" s="208"/>
      <c r="AP97" s="201">
        <f t="shared" si="140"/>
        <v>0</v>
      </c>
      <c r="AQ97" s="201">
        <f t="shared" si="141"/>
        <v>710154.6</v>
      </c>
      <c r="AR97" s="201">
        <f t="shared" si="142"/>
        <v>710154.6</v>
      </c>
      <c r="AS97" s="201">
        <f t="shared" si="143"/>
        <v>77.190717391304347</v>
      </c>
      <c r="AT97" s="201"/>
      <c r="AU97" s="223">
        <v>710154.6</v>
      </c>
      <c r="AV97" s="201">
        <f t="shared" si="144"/>
        <v>710154.6</v>
      </c>
      <c r="AW97" s="201">
        <f t="shared" si="157"/>
        <v>0</v>
      </c>
      <c r="AX97" s="201">
        <f t="shared" si="145"/>
        <v>77.190717391304347</v>
      </c>
      <c r="AY97" s="208"/>
      <c r="AZ97" s="201">
        <f t="shared" si="146"/>
        <v>0</v>
      </c>
      <c r="BA97" s="201">
        <f t="shared" si="147"/>
        <v>0</v>
      </c>
      <c r="BB97" s="201">
        <f t="shared" si="148"/>
        <v>0</v>
      </c>
      <c r="BC97" s="201"/>
      <c r="BD97" s="223">
        <v>0</v>
      </c>
      <c r="BE97" s="201">
        <f t="shared" si="149"/>
        <v>0</v>
      </c>
      <c r="BF97" s="208"/>
      <c r="BG97" s="201">
        <f t="shared" si="165"/>
        <v>0</v>
      </c>
      <c r="BH97" s="201">
        <f t="shared" si="165"/>
        <v>710154.6</v>
      </c>
      <c r="BI97" s="201">
        <f t="shared" si="151"/>
        <v>710154.6</v>
      </c>
      <c r="BJ97" s="201">
        <f t="shared" si="163"/>
        <v>77.190717391304347</v>
      </c>
      <c r="BK97" s="210">
        <v>89</v>
      </c>
      <c r="BL97" s="210">
        <v>75</v>
      </c>
      <c r="BM97" s="211"/>
      <c r="BN97" s="211"/>
      <c r="BO97" s="212">
        <f t="shared" si="152"/>
        <v>0</v>
      </c>
      <c r="BP97" s="201">
        <f t="shared" si="153"/>
        <v>209845.40000000002</v>
      </c>
      <c r="BQ97" s="201">
        <f t="shared" si="158"/>
        <v>209845.40000000002</v>
      </c>
      <c r="BR97" s="201">
        <f t="shared" si="166"/>
        <v>0</v>
      </c>
      <c r="BS97" s="201">
        <f t="shared" si="166"/>
        <v>209845.40000000002</v>
      </c>
      <c r="BT97" s="201">
        <f t="shared" si="160"/>
        <v>209845.40000000002</v>
      </c>
      <c r="BU97" s="213">
        <f t="shared" si="161"/>
        <v>0</v>
      </c>
      <c r="BV97" s="201"/>
      <c r="BW97" s="201"/>
      <c r="BX97" s="201">
        <f t="shared" si="162"/>
        <v>0</v>
      </c>
      <c r="BY97" s="199">
        <v>64400</v>
      </c>
      <c r="BZ97" s="199">
        <v>276000</v>
      </c>
      <c r="CA97" s="199">
        <v>478400</v>
      </c>
      <c r="CB97" s="199">
        <v>101200</v>
      </c>
      <c r="CC97" s="199"/>
      <c r="CD97" s="199"/>
      <c r="CE97" s="199"/>
      <c r="CF97" s="199"/>
      <c r="CG97" s="199"/>
      <c r="CH97" s="199"/>
      <c r="CI97" s="199"/>
      <c r="CJ97" s="199"/>
      <c r="CK97" s="214" t="s">
        <v>357</v>
      </c>
      <c r="CL97" s="214" t="s">
        <v>276</v>
      </c>
      <c r="CM97" s="211">
        <v>185</v>
      </c>
      <c r="CN97" s="215"/>
      <c r="CO97" s="215"/>
      <c r="CP97" s="216"/>
      <c r="CQ97" s="217"/>
      <c r="CR97" s="211"/>
      <c r="CS97" s="218"/>
      <c r="CT97" s="218"/>
      <c r="CU97" s="218"/>
      <c r="CV97" s="211"/>
      <c r="CW97" s="211"/>
      <c r="CX97" s="211"/>
      <c r="CY97" s="211"/>
      <c r="CZ97" s="211"/>
      <c r="DA97" s="211"/>
      <c r="DB97" s="211"/>
      <c r="DC97" s="219"/>
      <c r="DD97" s="219"/>
      <c r="DE97" s="219"/>
      <c r="DF97" s="211"/>
      <c r="DG97" s="211"/>
      <c r="DH97" s="211"/>
      <c r="DI97" s="211"/>
      <c r="DJ97" s="211"/>
      <c r="DK97" s="220" t="s">
        <v>32</v>
      </c>
      <c r="DT97" s="222"/>
    </row>
    <row r="98" spans="1:124" s="176" customFormat="1" ht="42" x14ac:dyDescent="0.2">
      <c r="A98" s="195" t="s">
        <v>108</v>
      </c>
      <c r="B98" s="197" t="s">
        <v>358</v>
      </c>
      <c r="C98" s="198">
        <v>1</v>
      </c>
      <c r="D98" s="199">
        <v>860000</v>
      </c>
      <c r="E98" s="198" t="s">
        <v>359</v>
      </c>
      <c r="F98" s="198" t="s">
        <v>230</v>
      </c>
      <c r="G98" s="198" t="s">
        <v>98</v>
      </c>
      <c r="H98" s="200">
        <v>1</v>
      </c>
      <c r="I98" s="199">
        <f t="shared" si="127"/>
        <v>0</v>
      </c>
      <c r="J98" s="199">
        <f t="shared" si="128"/>
        <v>860000</v>
      </c>
      <c r="K98" s="199">
        <f t="shared" si="129"/>
        <v>860000</v>
      </c>
      <c r="L98" s="199"/>
      <c r="M98" s="199">
        <v>860000</v>
      </c>
      <c r="N98" s="199">
        <f t="shared" si="130"/>
        <v>860000</v>
      </c>
      <c r="O98" s="199"/>
      <c r="P98" s="201">
        <v>0</v>
      </c>
      <c r="Q98" s="202">
        <v>12</v>
      </c>
      <c r="R98" s="203">
        <v>45566</v>
      </c>
      <c r="S98" s="204"/>
      <c r="T98" s="204">
        <v>860000</v>
      </c>
      <c r="U98" s="204">
        <f t="shared" si="131"/>
        <v>860000</v>
      </c>
      <c r="V98" s="205"/>
      <c r="W98" s="200"/>
      <c r="X98" s="201"/>
      <c r="Y98" s="201"/>
      <c r="Z98" s="201">
        <f t="shared" si="132"/>
        <v>0</v>
      </c>
      <c r="AA98" s="198"/>
      <c r="AB98" s="206"/>
      <c r="AC98" s="207"/>
      <c r="AD98" s="201"/>
      <c r="AE98" s="204">
        <f t="shared" si="133"/>
        <v>0</v>
      </c>
      <c r="AF98" s="203">
        <f t="shared" si="134"/>
        <v>45566</v>
      </c>
      <c r="AG98" s="201">
        <f t="shared" si="135"/>
        <v>0</v>
      </c>
      <c r="AH98" s="199">
        <f t="shared" si="136"/>
        <v>860000</v>
      </c>
      <c r="AI98" s="199">
        <f t="shared" si="137"/>
        <v>860000</v>
      </c>
      <c r="AJ98" s="201">
        <f t="shared" si="164"/>
        <v>0</v>
      </c>
      <c r="AK98" s="201">
        <f t="shared" si="164"/>
        <v>860000</v>
      </c>
      <c r="AL98" s="201">
        <f t="shared" si="139"/>
        <v>860000</v>
      </c>
      <c r="AM98" s="198"/>
      <c r="AN98" s="203"/>
      <c r="AO98" s="208"/>
      <c r="AP98" s="201">
        <f t="shared" si="140"/>
        <v>0</v>
      </c>
      <c r="AQ98" s="201">
        <f t="shared" si="141"/>
        <v>858877.2</v>
      </c>
      <c r="AR98" s="201">
        <f t="shared" si="142"/>
        <v>858877.2</v>
      </c>
      <c r="AS98" s="201">
        <f t="shared" si="143"/>
        <v>99.869441860465116</v>
      </c>
      <c r="AT98" s="201"/>
      <c r="AU98" s="223">
        <v>858877.2</v>
      </c>
      <c r="AV98" s="201">
        <f t="shared" si="144"/>
        <v>858877.2</v>
      </c>
      <c r="AW98" s="201">
        <f t="shared" si="157"/>
        <v>0</v>
      </c>
      <c r="AX98" s="201">
        <f t="shared" si="145"/>
        <v>99.869441860465116</v>
      </c>
      <c r="AY98" s="208"/>
      <c r="AZ98" s="201">
        <f t="shared" si="146"/>
        <v>0</v>
      </c>
      <c r="BA98" s="201">
        <f t="shared" si="147"/>
        <v>0</v>
      </c>
      <c r="BB98" s="201">
        <f t="shared" si="148"/>
        <v>0</v>
      </c>
      <c r="BC98" s="201"/>
      <c r="BD98" s="223">
        <v>0</v>
      </c>
      <c r="BE98" s="201">
        <f t="shared" si="149"/>
        <v>0</v>
      </c>
      <c r="BF98" s="208"/>
      <c r="BG98" s="201">
        <f t="shared" si="165"/>
        <v>0</v>
      </c>
      <c r="BH98" s="201">
        <f t="shared" si="165"/>
        <v>858877.2</v>
      </c>
      <c r="BI98" s="201">
        <f t="shared" si="151"/>
        <v>858877.2</v>
      </c>
      <c r="BJ98" s="201">
        <f t="shared" si="163"/>
        <v>99.869441860465116</v>
      </c>
      <c r="BK98" s="210">
        <v>89</v>
      </c>
      <c r="BL98" s="210">
        <v>100</v>
      </c>
      <c r="BM98" s="211"/>
      <c r="BN98" s="211"/>
      <c r="BO98" s="212">
        <f t="shared" si="152"/>
        <v>0</v>
      </c>
      <c r="BP98" s="201">
        <f t="shared" si="153"/>
        <v>1122.8000000000466</v>
      </c>
      <c r="BQ98" s="201">
        <f t="shared" si="158"/>
        <v>1122.8000000000466</v>
      </c>
      <c r="BR98" s="201">
        <f t="shared" si="166"/>
        <v>0</v>
      </c>
      <c r="BS98" s="201">
        <f t="shared" si="166"/>
        <v>1122.8000000000466</v>
      </c>
      <c r="BT98" s="201">
        <f t="shared" si="160"/>
        <v>1122.8000000000466</v>
      </c>
      <c r="BU98" s="213">
        <f t="shared" si="161"/>
        <v>0</v>
      </c>
      <c r="BV98" s="201"/>
      <c r="BW98" s="201"/>
      <c r="BX98" s="201">
        <f t="shared" si="162"/>
        <v>0</v>
      </c>
      <c r="BY98" s="199">
        <v>60200</v>
      </c>
      <c r="BZ98" s="199">
        <v>258000</v>
      </c>
      <c r="CA98" s="199">
        <v>447200</v>
      </c>
      <c r="CB98" s="199">
        <v>94600</v>
      </c>
      <c r="CC98" s="199"/>
      <c r="CD98" s="199"/>
      <c r="CE98" s="199"/>
      <c r="CF98" s="199"/>
      <c r="CG98" s="199"/>
      <c r="CH98" s="199"/>
      <c r="CI98" s="199"/>
      <c r="CJ98" s="199"/>
      <c r="CK98" s="214" t="s">
        <v>360</v>
      </c>
      <c r="CL98" s="214" t="s">
        <v>276</v>
      </c>
      <c r="CM98" s="211">
        <v>185</v>
      </c>
      <c r="CN98" s="215"/>
      <c r="CO98" s="215"/>
      <c r="CP98" s="216"/>
      <c r="CQ98" s="217"/>
      <c r="CR98" s="211"/>
      <c r="CS98" s="218"/>
      <c r="CT98" s="218"/>
      <c r="CU98" s="218"/>
      <c r="CV98" s="211"/>
      <c r="CW98" s="211"/>
      <c r="CX98" s="211"/>
      <c r="CY98" s="211"/>
      <c r="CZ98" s="211"/>
      <c r="DA98" s="211"/>
      <c r="DB98" s="211"/>
      <c r="DC98" s="219"/>
      <c r="DD98" s="219"/>
      <c r="DE98" s="219"/>
      <c r="DF98" s="211"/>
      <c r="DG98" s="211"/>
      <c r="DH98" s="211"/>
      <c r="DI98" s="211"/>
      <c r="DJ98" s="211"/>
      <c r="DK98" s="220" t="s">
        <v>32</v>
      </c>
      <c r="DT98" s="222"/>
    </row>
    <row r="99" spans="1:124" s="176" customFormat="1" ht="42" x14ac:dyDescent="0.2">
      <c r="A99" s="195" t="s">
        <v>108</v>
      </c>
      <c r="B99" s="197" t="s">
        <v>361</v>
      </c>
      <c r="C99" s="198">
        <v>1</v>
      </c>
      <c r="D99" s="199">
        <v>500000</v>
      </c>
      <c r="E99" s="198" t="s">
        <v>229</v>
      </c>
      <c r="F99" s="198" t="s">
        <v>230</v>
      </c>
      <c r="G99" s="198" t="s">
        <v>98</v>
      </c>
      <c r="H99" s="200">
        <v>1</v>
      </c>
      <c r="I99" s="199">
        <f t="shared" si="127"/>
        <v>200000</v>
      </c>
      <c r="J99" s="199">
        <f t="shared" si="128"/>
        <v>300000</v>
      </c>
      <c r="K99" s="199">
        <f t="shared" si="129"/>
        <v>500000</v>
      </c>
      <c r="L99" s="199">
        <v>200000</v>
      </c>
      <c r="M99" s="199">
        <v>300000</v>
      </c>
      <c r="N99" s="199">
        <f>L99+M99</f>
        <v>500000</v>
      </c>
      <c r="O99" s="199"/>
      <c r="P99" s="201">
        <v>0</v>
      </c>
      <c r="Q99" s="202">
        <v>11</v>
      </c>
      <c r="R99" s="203">
        <v>45566</v>
      </c>
      <c r="S99" s="204"/>
      <c r="T99" s="204">
        <v>300000</v>
      </c>
      <c r="U99" s="204">
        <f t="shared" si="131"/>
        <v>300000</v>
      </c>
      <c r="V99" s="205">
        <v>1552</v>
      </c>
      <c r="W99" s="200">
        <v>45707</v>
      </c>
      <c r="X99" s="201">
        <v>193830</v>
      </c>
      <c r="Y99" s="201"/>
      <c r="Z99" s="201">
        <f t="shared" si="132"/>
        <v>193830</v>
      </c>
      <c r="AA99" s="198"/>
      <c r="AB99" s="206"/>
      <c r="AC99" s="207"/>
      <c r="AD99" s="201"/>
      <c r="AE99" s="204">
        <f t="shared" si="133"/>
        <v>0</v>
      </c>
      <c r="AF99" s="203">
        <f t="shared" si="134"/>
        <v>45566</v>
      </c>
      <c r="AG99" s="201">
        <f t="shared" si="135"/>
        <v>193830</v>
      </c>
      <c r="AH99" s="199">
        <f t="shared" si="136"/>
        <v>300000</v>
      </c>
      <c r="AI99" s="199">
        <f t="shared" si="137"/>
        <v>493830</v>
      </c>
      <c r="AJ99" s="201">
        <f t="shared" si="164"/>
        <v>193830</v>
      </c>
      <c r="AK99" s="201">
        <f t="shared" si="164"/>
        <v>300000</v>
      </c>
      <c r="AL99" s="201">
        <f t="shared" si="139"/>
        <v>493830</v>
      </c>
      <c r="AM99" s="198"/>
      <c r="AN99" s="203"/>
      <c r="AO99" s="208"/>
      <c r="AP99" s="201">
        <f t="shared" si="140"/>
        <v>0</v>
      </c>
      <c r="AQ99" s="201">
        <f t="shared" si="141"/>
        <v>203848.65</v>
      </c>
      <c r="AR99" s="201">
        <f t="shared" si="142"/>
        <v>203848.65</v>
      </c>
      <c r="AS99" s="201">
        <f t="shared" si="143"/>
        <v>41.279114270092947</v>
      </c>
      <c r="AT99" s="201"/>
      <c r="AU99" s="223">
        <v>203848.65</v>
      </c>
      <c r="AV99" s="201">
        <f t="shared" si="144"/>
        <v>203848.65</v>
      </c>
      <c r="AW99" s="201">
        <f t="shared" si="157"/>
        <v>0</v>
      </c>
      <c r="AX99" s="201">
        <f t="shared" si="145"/>
        <v>41.279114270092947</v>
      </c>
      <c r="AY99" s="208"/>
      <c r="AZ99" s="201">
        <f t="shared" si="146"/>
        <v>0</v>
      </c>
      <c r="BA99" s="201">
        <f t="shared" si="147"/>
        <v>193830</v>
      </c>
      <c r="BB99" s="201">
        <f t="shared" si="148"/>
        <v>193830</v>
      </c>
      <c r="BC99" s="201"/>
      <c r="BD99" s="223">
        <v>193830</v>
      </c>
      <c r="BE99" s="201">
        <f t="shared" si="149"/>
        <v>193830</v>
      </c>
      <c r="BF99" s="208"/>
      <c r="BG99" s="201">
        <f t="shared" si="165"/>
        <v>0</v>
      </c>
      <c r="BH99" s="201">
        <f t="shared" si="165"/>
        <v>397678.65</v>
      </c>
      <c r="BI99" s="201">
        <f t="shared" si="151"/>
        <v>397678.65</v>
      </c>
      <c r="BJ99" s="201">
        <f t="shared" si="163"/>
        <v>80.529463580584405</v>
      </c>
      <c r="BK99" s="210">
        <v>89</v>
      </c>
      <c r="BL99" s="210">
        <v>40</v>
      </c>
      <c r="BM99" s="211"/>
      <c r="BN99" s="211"/>
      <c r="BO99" s="212">
        <f t="shared" si="152"/>
        <v>193830</v>
      </c>
      <c r="BP99" s="201">
        <f t="shared" si="153"/>
        <v>96151.35</v>
      </c>
      <c r="BQ99" s="201">
        <f t="shared" si="158"/>
        <v>289981.34999999998</v>
      </c>
      <c r="BR99" s="201">
        <f t="shared" si="166"/>
        <v>193830</v>
      </c>
      <c r="BS99" s="201">
        <f t="shared" si="166"/>
        <v>96151.35</v>
      </c>
      <c r="BT99" s="201">
        <f t="shared" si="160"/>
        <v>289981.34999999998</v>
      </c>
      <c r="BU99" s="213">
        <f t="shared" si="161"/>
        <v>0</v>
      </c>
      <c r="BV99" s="201"/>
      <c r="BW99" s="201"/>
      <c r="BX99" s="201">
        <f t="shared" si="162"/>
        <v>0</v>
      </c>
      <c r="BY99" s="199">
        <v>35000</v>
      </c>
      <c r="BZ99" s="199">
        <v>150000</v>
      </c>
      <c r="CA99" s="199">
        <v>260000</v>
      </c>
      <c r="CB99" s="199">
        <v>55000</v>
      </c>
      <c r="CC99" s="199"/>
      <c r="CD99" s="199"/>
      <c r="CE99" s="199"/>
      <c r="CF99" s="199"/>
      <c r="CG99" s="199"/>
      <c r="CH99" s="199"/>
      <c r="CI99" s="199"/>
      <c r="CJ99" s="199"/>
      <c r="CK99" s="214" t="s">
        <v>362</v>
      </c>
      <c r="CL99" s="214" t="s">
        <v>276</v>
      </c>
      <c r="CM99" s="211">
        <v>185</v>
      </c>
      <c r="CN99" s="215"/>
      <c r="CO99" s="215"/>
      <c r="CP99" s="216"/>
      <c r="CQ99" s="217"/>
      <c r="CR99" s="211"/>
      <c r="CS99" s="218"/>
      <c r="CT99" s="218"/>
      <c r="CU99" s="218"/>
      <c r="CV99" s="211"/>
      <c r="CW99" s="211"/>
      <c r="CX99" s="211"/>
      <c r="CY99" s="211"/>
      <c r="CZ99" s="211"/>
      <c r="DA99" s="211"/>
      <c r="DB99" s="211"/>
      <c r="DC99" s="219"/>
      <c r="DD99" s="219"/>
      <c r="DE99" s="219"/>
      <c r="DF99" s="211"/>
      <c r="DG99" s="211"/>
      <c r="DH99" s="211"/>
      <c r="DI99" s="211"/>
      <c r="DJ99" s="211"/>
      <c r="DK99" s="220" t="s">
        <v>53</v>
      </c>
      <c r="DT99" s="222"/>
    </row>
    <row r="100" spans="1:124" s="176" customFormat="1" ht="63" x14ac:dyDescent="0.2">
      <c r="A100" s="195" t="s">
        <v>108</v>
      </c>
      <c r="B100" s="197" t="s">
        <v>363</v>
      </c>
      <c r="C100" s="198">
        <v>1</v>
      </c>
      <c r="D100" s="199">
        <v>800000</v>
      </c>
      <c r="E100" s="198" t="s">
        <v>288</v>
      </c>
      <c r="F100" s="198" t="s">
        <v>285</v>
      </c>
      <c r="G100" s="198" t="s">
        <v>98</v>
      </c>
      <c r="H100" s="200">
        <v>1</v>
      </c>
      <c r="I100" s="199">
        <f t="shared" si="127"/>
        <v>0</v>
      </c>
      <c r="J100" s="199">
        <f t="shared" si="128"/>
        <v>800000</v>
      </c>
      <c r="K100" s="199">
        <f t="shared" si="129"/>
        <v>800000</v>
      </c>
      <c r="L100" s="199"/>
      <c r="M100" s="199">
        <v>800000</v>
      </c>
      <c r="N100" s="199">
        <f t="shared" si="130"/>
        <v>800000</v>
      </c>
      <c r="O100" s="199"/>
      <c r="P100" s="201">
        <v>0</v>
      </c>
      <c r="Q100" s="202">
        <v>12</v>
      </c>
      <c r="R100" s="203">
        <v>45566</v>
      </c>
      <c r="S100" s="204"/>
      <c r="T100" s="204">
        <v>800000</v>
      </c>
      <c r="U100" s="204">
        <f t="shared" si="131"/>
        <v>800000</v>
      </c>
      <c r="V100" s="205"/>
      <c r="W100" s="200"/>
      <c r="X100" s="201"/>
      <c r="Y100" s="201"/>
      <c r="Z100" s="201">
        <f t="shared" si="132"/>
        <v>0</v>
      </c>
      <c r="AA100" s="198"/>
      <c r="AB100" s="206"/>
      <c r="AC100" s="207"/>
      <c r="AD100" s="201"/>
      <c r="AE100" s="204">
        <f t="shared" si="133"/>
        <v>0</v>
      </c>
      <c r="AF100" s="203">
        <f t="shared" si="134"/>
        <v>45566</v>
      </c>
      <c r="AG100" s="201">
        <f t="shared" si="135"/>
        <v>0</v>
      </c>
      <c r="AH100" s="199">
        <f t="shared" si="136"/>
        <v>800000</v>
      </c>
      <c r="AI100" s="199">
        <f t="shared" si="137"/>
        <v>800000</v>
      </c>
      <c r="AJ100" s="201">
        <f t="shared" si="164"/>
        <v>0</v>
      </c>
      <c r="AK100" s="201">
        <f t="shared" si="164"/>
        <v>800000</v>
      </c>
      <c r="AL100" s="201">
        <f t="shared" si="139"/>
        <v>800000</v>
      </c>
      <c r="AM100" s="198"/>
      <c r="AN100" s="203"/>
      <c r="AO100" s="208"/>
      <c r="AP100" s="201">
        <f t="shared" si="140"/>
        <v>0</v>
      </c>
      <c r="AQ100" s="201">
        <f t="shared" si="141"/>
        <v>796246.15</v>
      </c>
      <c r="AR100" s="201">
        <f t="shared" si="142"/>
        <v>796246.15</v>
      </c>
      <c r="AS100" s="201">
        <f t="shared" si="143"/>
        <v>99.530768749999993</v>
      </c>
      <c r="AT100" s="201"/>
      <c r="AU100" s="223">
        <v>796246.15</v>
      </c>
      <c r="AV100" s="201">
        <f t="shared" si="144"/>
        <v>796246.15</v>
      </c>
      <c r="AW100" s="201">
        <f t="shared" si="157"/>
        <v>0</v>
      </c>
      <c r="AX100" s="201">
        <f t="shared" si="145"/>
        <v>99.530768749999993</v>
      </c>
      <c r="AY100" s="208"/>
      <c r="AZ100" s="201">
        <f t="shared" si="146"/>
        <v>0</v>
      </c>
      <c r="BA100" s="201">
        <f t="shared" si="147"/>
        <v>0</v>
      </c>
      <c r="BB100" s="201">
        <f t="shared" si="148"/>
        <v>0</v>
      </c>
      <c r="BC100" s="201"/>
      <c r="BD100" s="223">
        <v>0</v>
      </c>
      <c r="BE100" s="201">
        <f t="shared" si="149"/>
        <v>0</v>
      </c>
      <c r="BF100" s="208"/>
      <c r="BG100" s="201">
        <f t="shared" si="165"/>
        <v>0</v>
      </c>
      <c r="BH100" s="201">
        <f t="shared" si="165"/>
        <v>796246.15</v>
      </c>
      <c r="BI100" s="201">
        <f t="shared" si="151"/>
        <v>796246.15</v>
      </c>
      <c r="BJ100" s="201">
        <f t="shared" si="163"/>
        <v>99.530768749999993</v>
      </c>
      <c r="BK100" s="210">
        <v>89</v>
      </c>
      <c r="BL100" s="210">
        <v>100</v>
      </c>
      <c r="BM100" s="211"/>
      <c r="BN100" s="211"/>
      <c r="BO100" s="212">
        <f t="shared" si="152"/>
        <v>0</v>
      </c>
      <c r="BP100" s="201">
        <f t="shared" si="153"/>
        <v>3753.8499999999767</v>
      </c>
      <c r="BQ100" s="201">
        <f t="shared" si="158"/>
        <v>3753.8499999999767</v>
      </c>
      <c r="BR100" s="201">
        <f t="shared" si="166"/>
        <v>0</v>
      </c>
      <c r="BS100" s="201">
        <f t="shared" si="166"/>
        <v>3753.8499999999767</v>
      </c>
      <c r="BT100" s="201">
        <f t="shared" si="160"/>
        <v>3753.8499999999767</v>
      </c>
      <c r="BU100" s="213">
        <f t="shared" si="161"/>
        <v>0</v>
      </c>
      <c r="BV100" s="201"/>
      <c r="BW100" s="201"/>
      <c r="BX100" s="201">
        <f t="shared" si="162"/>
        <v>0</v>
      </c>
      <c r="BY100" s="199">
        <v>56000</v>
      </c>
      <c r="BZ100" s="199">
        <v>240000</v>
      </c>
      <c r="CA100" s="199">
        <v>416000</v>
      </c>
      <c r="CB100" s="199">
        <v>88000</v>
      </c>
      <c r="CC100" s="199"/>
      <c r="CD100" s="199"/>
      <c r="CE100" s="199"/>
      <c r="CF100" s="199"/>
      <c r="CG100" s="199"/>
      <c r="CH100" s="199"/>
      <c r="CI100" s="199"/>
      <c r="CJ100" s="199"/>
      <c r="CK100" s="214" t="s">
        <v>364</v>
      </c>
      <c r="CL100" s="214" t="s">
        <v>276</v>
      </c>
      <c r="CM100" s="211">
        <v>185</v>
      </c>
      <c r="CN100" s="215"/>
      <c r="CO100" s="215"/>
      <c r="CP100" s="216"/>
      <c r="CQ100" s="217"/>
      <c r="CR100" s="211"/>
      <c r="CS100" s="218"/>
      <c r="CT100" s="218"/>
      <c r="CU100" s="218"/>
      <c r="CV100" s="211"/>
      <c r="CW100" s="211"/>
      <c r="CX100" s="211"/>
      <c r="CY100" s="211"/>
      <c r="CZ100" s="211"/>
      <c r="DA100" s="211"/>
      <c r="DB100" s="211"/>
      <c r="DC100" s="219"/>
      <c r="DD100" s="219"/>
      <c r="DE100" s="219"/>
      <c r="DF100" s="211"/>
      <c r="DG100" s="211"/>
      <c r="DH100" s="211"/>
      <c r="DI100" s="211"/>
      <c r="DJ100" s="211"/>
      <c r="DK100" s="220" t="s">
        <v>32</v>
      </c>
      <c r="DT100" s="222"/>
    </row>
    <row r="101" spans="1:124" s="176" customFormat="1" ht="42" x14ac:dyDescent="0.2">
      <c r="A101" s="195" t="s">
        <v>108</v>
      </c>
      <c r="B101" s="197" t="s">
        <v>365</v>
      </c>
      <c r="C101" s="198">
        <v>1</v>
      </c>
      <c r="D101" s="199">
        <v>950000</v>
      </c>
      <c r="E101" s="198" t="s">
        <v>288</v>
      </c>
      <c r="F101" s="198" t="s">
        <v>285</v>
      </c>
      <c r="G101" s="198" t="s">
        <v>98</v>
      </c>
      <c r="H101" s="200">
        <v>1</v>
      </c>
      <c r="I101" s="199">
        <f t="shared" si="127"/>
        <v>0</v>
      </c>
      <c r="J101" s="199">
        <f t="shared" si="128"/>
        <v>950000</v>
      </c>
      <c r="K101" s="199">
        <f t="shared" si="129"/>
        <v>950000</v>
      </c>
      <c r="L101" s="199"/>
      <c r="M101" s="199">
        <v>950000</v>
      </c>
      <c r="N101" s="199">
        <f t="shared" si="130"/>
        <v>950000</v>
      </c>
      <c r="O101" s="199"/>
      <c r="P101" s="201">
        <v>0</v>
      </c>
      <c r="Q101" s="202">
        <v>12</v>
      </c>
      <c r="R101" s="203">
        <v>45566</v>
      </c>
      <c r="S101" s="204"/>
      <c r="T101" s="204">
        <v>950000</v>
      </c>
      <c r="U101" s="204">
        <f t="shared" si="131"/>
        <v>950000</v>
      </c>
      <c r="V101" s="205"/>
      <c r="W101" s="200"/>
      <c r="X101" s="201"/>
      <c r="Y101" s="201"/>
      <c r="Z101" s="201">
        <f t="shared" si="132"/>
        <v>0</v>
      </c>
      <c r="AA101" s="198"/>
      <c r="AB101" s="206"/>
      <c r="AC101" s="207"/>
      <c r="AD101" s="201"/>
      <c r="AE101" s="204">
        <f t="shared" si="133"/>
        <v>0</v>
      </c>
      <c r="AF101" s="203">
        <f t="shared" si="134"/>
        <v>45566</v>
      </c>
      <c r="AG101" s="201">
        <f t="shared" si="135"/>
        <v>0</v>
      </c>
      <c r="AH101" s="199">
        <f t="shared" si="136"/>
        <v>950000</v>
      </c>
      <c r="AI101" s="199">
        <f t="shared" si="137"/>
        <v>950000</v>
      </c>
      <c r="AJ101" s="201">
        <f t="shared" si="164"/>
        <v>0</v>
      </c>
      <c r="AK101" s="201">
        <f t="shared" si="164"/>
        <v>950000</v>
      </c>
      <c r="AL101" s="201">
        <f t="shared" si="139"/>
        <v>950000</v>
      </c>
      <c r="AM101" s="198"/>
      <c r="AN101" s="203"/>
      <c r="AO101" s="208"/>
      <c r="AP101" s="201">
        <f t="shared" si="140"/>
        <v>0</v>
      </c>
      <c r="AQ101" s="201">
        <f t="shared" si="141"/>
        <v>545977.34</v>
      </c>
      <c r="AR101" s="201">
        <f t="shared" si="142"/>
        <v>545977.34</v>
      </c>
      <c r="AS101" s="201">
        <f t="shared" si="143"/>
        <v>57.471298947368425</v>
      </c>
      <c r="AT101" s="201"/>
      <c r="AU101" s="223">
        <v>545977.34</v>
      </c>
      <c r="AV101" s="201">
        <f t="shared" si="144"/>
        <v>545977.34</v>
      </c>
      <c r="AW101" s="201">
        <f t="shared" si="157"/>
        <v>0</v>
      </c>
      <c r="AX101" s="201">
        <f t="shared" si="145"/>
        <v>57.471298947368425</v>
      </c>
      <c r="AY101" s="208"/>
      <c r="AZ101" s="201">
        <f t="shared" si="146"/>
        <v>0</v>
      </c>
      <c r="BA101" s="201">
        <f t="shared" si="147"/>
        <v>0</v>
      </c>
      <c r="BB101" s="201">
        <f t="shared" si="148"/>
        <v>0</v>
      </c>
      <c r="BC101" s="201"/>
      <c r="BD101" s="223">
        <v>0</v>
      </c>
      <c r="BE101" s="201">
        <f t="shared" si="149"/>
        <v>0</v>
      </c>
      <c r="BF101" s="208"/>
      <c r="BG101" s="201">
        <f t="shared" si="165"/>
        <v>0</v>
      </c>
      <c r="BH101" s="201">
        <f t="shared" si="165"/>
        <v>545977.34</v>
      </c>
      <c r="BI101" s="201">
        <f t="shared" si="151"/>
        <v>545977.34</v>
      </c>
      <c r="BJ101" s="201">
        <f t="shared" si="163"/>
        <v>57.471298947368425</v>
      </c>
      <c r="BK101" s="210">
        <v>89</v>
      </c>
      <c r="BL101" s="210">
        <v>50</v>
      </c>
      <c r="BM101" s="211"/>
      <c r="BN101" s="211"/>
      <c r="BO101" s="212">
        <f t="shared" si="152"/>
        <v>0</v>
      </c>
      <c r="BP101" s="201">
        <f t="shared" si="153"/>
        <v>404022.66000000003</v>
      </c>
      <c r="BQ101" s="201">
        <f t="shared" si="158"/>
        <v>404022.66000000003</v>
      </c>
      <c r="BR101" s="201">
        <f t="shared" si="166"/>
        <v>0</v>
      </c>
      <c r="BS101" s="201">
        <f t="shared" si="166"/>
        <v>404022.66000000003</v>
      </c>
      <c r="BT101" s="201">
        <f t="shared" si="160"/>
        <v>404022.66000000003</v>
      </c>
      <c r="BU101" s="213">
        <f t="shared" si="161"/>
        <v>0</v>
      </c>
      <c r="BV101" s="201"/>
      <c r="BW101" s="201"/>
      <c r="BX101" s="201">
        <f t="shared" si="162"/>
        <v>0</v>
      </c>
      <c r="BY101" s="199">
        <v>66500</v>
      </c>
      <c r="BZ101" s="199">
        <v>285000</v>
      </c>
      <c r="CA101" s="199">
        <v>494000</v>
      </c>
      <c r="CB101" s="199">
        <v>104500</v>
      </c>
      <c r="CC101" s="199"/>
      <c r="CD101" s="199"/>
      <c r="CE101" s="199"/>
      <c r="CF101" s="199"/>
      <c r="CG101" s="199"/>
      <c r="CH101" s="199"/>
      <c r="CI101" s="199"/>
      <c r="CJ101" s="199"/>
      <c r="CK101" s="214" t="s">
        <v>366</v>
      </c>
      <c r="CL101" s="214" t="s">
        <v>276</v>
      </c>
      <c r="CM101" s="211">
        <v>185</v>
      </c>
      <c r="CN101" s="215"/>
      <c r="CO101" s="215"/>
      <c r="CP101" s="216"/>
      <c r="CQ101" s="217"/>
      <c r="CR101" s="211"/>
      <c r="CS101" s="218"/>
      <c r="CT101" s="218"/>
      <c r="CU101" s="218"/>
      <c r="CV101" s="211"/>
      <c r="CW101" s="211"/>
      <c r="CX101" s="211"/>
      <c r="CY101" s="211"/>
      <c r="CZ101" s="211"/>
      <c r="DA101" s="211"/>
      <c r="DB101" s="211"/>
      <c r="DC101" s="219"/>
      <c r="DD101" s="219"/>
      <c r="DE101" s="219"/>
      <c r="DF101" s="211"/>
      <c r="DG101" s="211"/>
      <c r="DH101" s="211"/>
      <c r="DI101" s="211"/>
      <c r="DJ101" s="211"/>
      <c r="DK101" s="220" t="s">
        <v>32</v>
      </c>
      <c r="DT101" s="222"/>
    </row>
    <row r="102" spans="1:124" s="176" customFormat="1" ht="42" x14ac:dyDescent="0.2">
      <c r="A102" s="195" t="s">
        <v>108</v>
      </c>
      <c r="B102" s="197" t="s">
        <v>367</v>
      </c>
      <c r="C102" s="198">
        <v>1</v>
      </c>
      <c r="D102" s="199">
        <v>820000</v>
      </c>
      <c r="E102" s="198" t="s">
        <v>288</v>
      </c>
      <c r="F102" s="198" t="s">
        <v>285</v>
      </c>
      <c r="G102" s="198" t="s">
        <v>98</v>
      </c>
      <c r="H102" s="200">
        <v>1</v>
      </c>
      <c r="I102" s="199">
        <f t="shared" si="127"/>
        <v>0</v>
      </c>
      <c r="J102" s="199">
        <f t="shared" si="128"/>
        <v>820000</v>
      </c>
      <c r="K102" s="199">
        <f t="shared" si="129"/>
        <v>820000</v>
      </c>
      <c r="L102" s="199"/>
      <c r="M102" s="199">
        <v>820000</v>
      </c>
      <c r="N102" s="199">
        <f t="shared" si="130"/>
        <v>820000</v>
      </c>
      <c r="O102" s="199"/>
      <c r="P102" s="201">
        <v>0</v>
      </c>
      <c r="Q102" s="202">
        <v>12</v>
      </c>
      <c r="R102" s="203">
        <v>45566</v>
      </c>
      <c r="S102" s="204"/>
      <c r="T102" s="204">
        <v>820000</v>
      </c>
      <c r="U102" s="204">
        <f t="shared" si="131"/>
        <v>820000</v>
      </c>
      <c r="V102" s="205"/>
      <c r="W102" s="200"/>
      <c r="X102" s="201"/>
      <c r="Y102" s="201"/>
      <c r="Z102" s="201">
        <f t="shared" si="132"/>
        <v>0</v>
      </c>
      <c r="AA102" s="198"/>
      <c r="AB102" s="206"/>
      <c r="AC102" s="207"/>
      <c r="AD102" s="201"/>
      <c r="AE102" s="204">
        <f t="shared" si="133"/>
        <v>0</v>
      </c>
      <c r="AF102" s="203">
        <f t="shared" si="134"/>
        <v>45566</v>
      </c>
      <c r="AG102" s="201">
        <f t="shared" si="135"/>
        <v>0</v>
      </c>
      <c r="AH102" s="199">
        <f t="shared" si="136"/>
        <v>820000</v>
      </c>
      <c r="AI102" s="199">
        <f t="shared" si="137"/>
        <v>820000</v>
      </c>
      <c r="AJ102" s="201">
        <f t="shared" si="164"/>
        <v>0</v>
      </c>
      <c r="AK102" s="201">
        <f t="shared" si="164"/>
        <v>820000</v>
      </c>
      <c r="AL102" s="201">
        <f t="shared" si="139"/>
        <v>820000</v>
      </c>
      <c r="AM102" s="198"/>
      <c r="AN102" s="203"/>
      <c r="AO102" s="208"/>
      <c r="AP102" s="201">
        <f t="shared" si="140"/>
        <v>0</v>
      </c>
      <c r="AQ102" s="201">
        <f t="shared" si="141"/>
        <v>816943.49</v>
      </c>
      <c r="AR102" s="201">
        <f t="shared" si="142"/>
        <v>816943.49</v>
      </c>
      <c r="AS102" s="201">
        <f t="shared" si="143"/>
        <v>99.627254878048774</v>
      </c>
      <c r="AT102" s="201"/>
      <c r="AU102" s="223">
        <v>816943.49</v>
      </c>
      <c r="AV102" s="201">
        <f t="shared" si="144"/>
        <v>816943.49</v>
      </c>
      <c r="AW102" s="201">
        <f t="shared" si="157"/>
        <v>0</v>
      </c>
      <c r="AX102" s="201">
        <f t="shared" si="145"/>
        <v>99.627254878048774</v>
      </c>
      <c r="AY102" s="208"/>
      <c r="AZ102" s="201">
        <f t="shared" si="146"/>
        <v>0</v>
      </c>
      <c r="BA102" s="201">
        <f t="shared" si="147"/>
        <v>0</v>
      </c>
      <c r="BB102" s="201">
        <f t="shared" si="148"/>
        <v>0</v>
      </c>
      <c r="BC102" s="201"/>
      <c r="BD102" s="223">
        <v>0</v>
      </c>
      <c r="BE102" s="201">
        <f t="shared" si="149"/>
        <v>0</v>
      </c>
      <c r="BF102" s="208"/>
      <c r="BG102" s="201">
        <f t="shared" si="165"/>
        <v>0</v>
      </c>
      <c r="BH102" s="201">
        <f t="shared" si="165"/>
        <v>816943.49</v>
      </c>
      <c r="BI102" s="201">
        <f t="shared" si="151"/>
        <v>816943.49</v>
      </c>
      <c r="BJ102" s="201">
        <f t="shared" si="163"/>
        <v>99.627254878048774</v>
      </c>
      <c r="BK102" s="210">
        <v>89</v>
      </c>
      <c r="BL102" s="210">
        <v>100</v>
      </c>
      <c r="BM102" s="211"/>
      <c r="BN102" s="211"/>
      <c r="BO102" s="212">
        <f t="shared" si="152"/>
        <v>0</v>
      </c>
      <c r="BP102" s="201">
        <f t="shared" si="153"/>
        <v>3056.5100000000093</v>
      </c>
      <c r="BQ102" s="201">
        <f t="shared" si="158"/>
        <v>3056.5100000000093</v>
      </c>
      <c r="BR102" s="201">
        <f t="shared" si="166"/>
        <v>0</v>
      </c>
      <c r="BS102" s="201">
        <f t="shared" si="166"/>
        <v>3056.5100000000093</v>
      </c>
      <c r="BT102" s="201">
        <f t="shared" si="160"/>
        <v>3056.5100000000093</v>
      </c>
      <c r="BU102" s="213">
        <f t="shared" si="161"/>
        <v>0</v>
      </c>
      <c r="BV102" s="201"/>
      <c r="BW102" s="201"/>
      <c r="BX102" s="201">
        <f t="shared" si="162"/>
        <v>0</v>
      </c>
      <c r="BY102" s="199">
        <v>57400</v>
      </c>
      <c r="BZ102" s="199">
        <v>246000</v>
      </c>
      <c r="CA102" s="199">
        <v>426400</v>
      </c>
      <c r="CB102" s="199">
        <v>90200</v>
      </c>
      <c r="CC102" s="199"/>
      <c r="CD102" s="199"/>
      <c r="CE102" s="199"/>
      <c r="CF102" s="199"/>
      <c r="CG102" s="199"/>
      <c r="CH102" s="199"/>
      <c r="CI102" s="199"/>
      <c r="CJ102" s="199"/>
      <c r="CK102" s="214" t="s">
        <v>368</v>
      </c>
      <c r="CL102" s="214" t="s">
        <v>276</v>
      </c>
      <c r="CM102" s="211">
        <v>185</v>
      </c>
      <c r="CN102" s="215"/>
      <c r="CO102" s="215"/>
      <c r="CP102" s="216"/>
      <c r="CQ102" s="217"/>
      <c r="CR102" s="211"/>
      <c r="CS102" s="218"/>
      <c r="CT102" s="218"/>
      <c r="CU102" s="218"/>
      <c r="CV102" s="211"/>
      <c r="CW102" s="211"/>
      <c r="CX102" s="211"/>
      <c r="CY102" s="211"/>
      <c r="CZ102" s="211"/>
      <c r="DA102" s="211"/>
      <c r="DB102" s="211"/>
      <c r="DC102" s="219"/>
      <c r="DD102" s="219"/>
      <c r="DE102" s="219"/>
      <c r="DF102" s="211"/>
      <c r="DG102" s="211"/>
      <c r="DH102" s="211"/>
      <c r="DI102" s="211"/>
      <c r="DJ102" s="211"/>
      <c r="DK102" s="220" t="s">
        <v>32</v>
      </c>
      <c r="DT102" s="222"/>
    </row>
    <row r="103" spans="1:124" s="176" customFormat="1" ht="63" x14ac:dyDescent="0.2">
      <c r="A103" s="195" t="s">
        <v>108</v>
      </c>
      <c r="B103" s="197" t="s">
        <v>369</v>
      </c>
      <c r="C103" s="198">
        <v>1</v>
      </c>
      <c r="D103" s="199">
        <v>450000</v>
      </c>
      <c r="E103" s="198" t="s">
        <v>288</v>
      </c>
      <c r="F103" s="198" t="s">
        <v>285</v>
      </c>
      <c r="G103" s="198" t="s">
        <v>98</v>
      </c>
      <c r="H103" s="200">
        <v>1</v>
      </c>
      <c r="I103" s="199">
        <f t="shared" si="127"/>
        <v>0</v>
      </c>
      <c r="J103" s="199">
        <f t="shared" si="128"/>
        <v>450000</v>
      </c>
      <c r="K103" s="199">
        <f t="shared" si="129"/>
        <v>450000</v>
      </c>
      <c r="L103" s="199"/>
      <c r="M103" s="199">
        <v>450000</v>
      </c>
      <c r="N103" s="199">
        <f t="shared" si="130"/>
        <v>450000</v>
      </c>
      <c r="O103" s="199"/>
      <c r="P103" s="201">
        <v>0</v>
      </c>
      <c r="Q103" s="202">
        <v>12</v>
      </c>
      <c r="R103" s="203">
        <v>45566</v>
      </c>
      <c r="S103" s="204"/>
      <c r="T103" s="204">
        <v>450000</v>
      </c>
      <c r="U103" s="204">
        <f t="shared" si="131"/>
        <v>450000</v>
      </c>
      <c r="V103" s="205"/>
      <c r="W103" s="200"/>
      <c r="X103" s="201"/>
      <c r="Y103" s="201"/>
      <c r="Z103" s="201">
        <f t="shared" si="132"/>
        <v>0</v>
      </c>
      <c r="AA103" s="198"/>
      <c r="AB103" s="206"/>
      <c r="AC103" s="207"/>
      <c r="AD103" s="201"/>
      <c r="AE103" s="204">
        <f t="shared" si="133"/>
        <v>0</v>
      </c>
      <c r="AF103" s="203">
        <f t="shared" si="134"/>
        <v>45566</v>
      </c>
      <c r="AG103" s="201">
        <f t="shared" si="135"/>
        <v>0</v>
      </c>
      <c r="AH103" s="199">
        <f t="shared" si="136"/>
        <v>450000</v>
      </c>
      <c r="AI103" s="199">
        <f t="shared" si="137"/>
        <v>450000</v>
      </c>
      <c r="AJ103" s="201">
        <f t="shared" si="164"/>
        <v>0</v>
      </c>
      <c r="AK103" s="201">
        <f t="shared" si="164"/>
        <v>450000</v>
      </c>
      <c r="AL103" s="201">
        <f t="shared" si="139"/>
        <v>450000</v>
      </c>
      <c r="AM103" s="198"/>
      <c r="AN103" s="203"/>
      <c r="AO103" s="208"/>
      <c r="AP103" s="201">
        <f t="shared" si="140"/>
        <v>0</v>
      </c>
      <c r="AQ103" s="201">
        <f t="shared" si="141"/>
        <v>269533.33</v>
      </c>
      <c r="AR103" s="201">
        <f t="shared" si="142"/>
        <v>269533.33</v>
      </c>
      <c r="AS103" s="201">
        <f t="shared" si="143"/>
        <v>59.896295555555554</v>
      </c>
      <c r="AT103" s="201"/>
      <c r="AU103" s="223">
        <v>269533.33</v>
      </c>
      <c r="AV103" s="201">
        <f t="shared" si="144"/>
        <v>269533.33</v>
      </c>
      <c r="AW103" s="201">
        <f t="shared" si="157"/>
        <v>0</v>
      </c>
      <c r="AX103" s="201">
        <f t="shared" si="145"/>
        <v>59.896295555555554</v>
      </c>
      <c r="AY103" s="208"/>
      <c r="AZ103" s="201">
        <f t="shared" si="146"/>
        <v>0</v>
      </c>
      <c r="BA103" s="201">
        <f t="shared" si="147"/>
        <v>0</v>
      </c>
      <c r="BB103" s="201">
        <f t="shared" si="148"/>
        <v>0</v>
      </c>
      <c r="BC103" s="201"/>
      <c r="BD103" s="223">
        <v>0</v>
      </c>
      <c r="BE103" s="201">
        <f t="shared" si="149"/>
        <v>0</v>
      </c>
      <c r="BF103" s="208"/>
      <c r="BG103" s="201">
        <f t="shared" si="165"/>
        <v>0</v>
      </c>
      <c r="BH103" s="201">
        <f t="shared" si="165"/>
        <v>269533.33</v>
      </c>
      <c r="BI103" s="201">
        <f t="shared" si="151"/>
        <v>269533.33</v>
      </c>
      <c r="BJ103" s="201">
        <f t="shared" si="163"/>
        <v>59.896295555555554</v>
      </c>
      <c r="BK103" s="210">
        <v>89</v>
      </c>
      <c r="BL103" s="210">
        <v>50</v>
      </c>
      <c r="BM103" s="211"/>
      <c r="BN103" s="211"/>
      <c r="BO103" s="212">
        <f t="shared" si="152"/>
        <v>0</v>
      </c>
      <c r="BP103" s="201">
        <f t="shared" si="153"/>
        <v>180466.66999999998</v>
      </c>
      <c r="BQ103" s="201">
        <f t="shared" si="158"/>
        <v>180466.66999999998</v>
      </c>
      <c r="BR103" s="201">
        <f t="shared" si="166"/>
        <v>0</v>
      </c>
      <c r="BS103" s="201">
        <f t="shared" si="166"/>
        <v>180466.66999999998</v>
      </c>
      <c r="BT103" s="201">
        <f t="shared" si="160"/>
        <v>180466.66999999998</v>
      </c>
      <c r="BU103" s="213">
        <f t="shared" si="161"/>
        <v>0</v>
      </c>
      <c r="BV103" s="201"/>
      <c r="BW103" s="201"/>
      <c r="BX103" s="201">
        <f t="shared" si="162"/>
        <v>0</v>
      </c>
      <c r="BY103" s="199">
        <v>31500</v>
      </c>
      <c r="BZ103" s="199">
        <v>135000</v>
      </c>
      <c r="CA103" s="199">
        <v>234000</v>
      </c>
      <c r="CB103" s="199">
        <v>49500</v>
      </c>
      <c r="CC103" s="199">
        <v>0</v>
      </c>
      <c r="CD103" s="199">
        <v>0</v>
      </c>
      <c r="CE103" s="199">
        <v>0</v>
      </c>
      <c r="CF103" s="199">
        <v>0</v>
      </c>
      <c r="CG103" s="199">
        <v>0</v>
      </c>
      <c r="CH103" s="199">
        <v>0</v>
      </c>
      <c r="CI103" s="199">
        <v>0</v>
      </c>
      <c r="CJ103" s="199">
        <v>0</v>
      </c>
      <c r="CK103" s="214" t="s">
        <v>370</v>
      </c>
      <c r="CL103" s="214" t="s">
        <v>276</v>
      </c>
      <c r="CM103" s="211">
        <v>185</v>
      </c>
      <c r="CN103" s="215"/>
      <c r="CO103" s="215"/>
      <c r="CP103" s="216"/>
      <c r="CQ103" s="217"/>
      <c r="CR103" s="211"/>
      <c r="CS103" s="218"/>
      <c r="CT103" s="218"/>
      <c r="CU103" s="218"/>
      <c r="CV103" s="211"/>
      <c r="CW103" s="211"/>
      <c r="CX103" s="211"/>
      <c r="CY103" s="211"/>
      <c r="CZ103" s="211"/>
      <c r="DA103" s="211"/>
      <c r="DB103" s="211"/>
      <c r="DC103" s="219"/>
      <c r="DD103" s="219"/>
      <c r="DE103" s="219"/>
      <c r="DF103" s="211"/>
      <c r="DG103" s="211"/>
      <c r="DH103" s="211"/>
      <c r="DI103" s="211"/>
      <c r="DJ103" s="211"/>
      <c r="DK103" s="220" t="s">
        <v>32</v>
      </c>
      <c r="DT103" s="222"/>
    </row>
    <row r="104" spans="1:124" s="176" customFormat="1" ht="63" x14ac:dyDescent="0.2">
      <c r="A104" s="195" t="s">
        <v>119</v>
      </c>
      <c r="B104" s="197" t="s">
        <v>371</v>
      </c>
      <c r="C104" s="198">
        <v>1</v>
      </c>
      <c r="D104" s="199">
        <v>4000000</v>
      </c>
      <c r="E104" s="198" t="s">
        <v>372</v>
      </c>
      <c r="F104" s="198" t="s">
        <v>373</v>
      </c>
      <c r="G104" s="198" t="s">
        <v>123</v>
      </c>
      <c r="H104" s="200">
        <v>1</v>
      </c>
      <c r="I104" s="199">
        <f t="shared" si="127"/>
        <v>0</v>
      </c>
      <c r="J104" s="199">
        <f t="shared" si="128"/>
        <v>4000000</v>
      </c>
      <c r="K104" s="199">
        <f t="shared" si="129"/>
        <v>4000000</v>
      </c>
      <c r="L104" s="199"/>
      <c r="M104" s="199">
        <v>4000000</v>
      </c>
      <c r="N104" s="199">
        <f t="shared" si="130"/>
        <v>4000000</v>
      </c>
      <c r="O104" s="199"/>
      <c r="P104" s="201">
        <v>0</v>
      </c>
      <c r="Q104" s="202">
        <v>12</v>
      </c>
      <c r="R104" s="203">
        <v>45566</v>
      </c>
      <c r="S104" s="204"/>
      <c r="T104" s="204">
        <v>4000000</v>
      </c>
      <c r="U104" s="204">
        <f t="shared" si="131"/>
        <v>4000000</v>
      </c>
      <c r="V104" s="205">
        <v>228</v>
      </c>
      <c r="W104" s="200">
        <v>45586</v>
      </c>
      <c r="X104" s="201"/>
      <c r="Y104" s="201">
        <v>-164100</v>
      </c>
      <c r="Z104" s="201">
        <f t="shared" si="132"/>
        <v>-164100</v>
      </c>
      <c r="AA104" s="198">
        <v>690</v>
      </c>
      <c r="AB104" s="206">
        <v>45622</v>
      </c>
      <c r="AC104" s="207"/>
      <c r="AD104" s="201">
        <v>-1605</v>
      </c>
      <c r="AE104" s="204">
        <f t="shared" si="133"/>
        <v>-1605</v>
      </c>
      <c r="AF104" s="203">
        <f t="shared" si="134"/>
        <v>45566</v>
      </c>
      <c r="AG104" s="201">
        <f t="shared" si="135"/>
        <v>0</v>
      </c>
      <c r="AH104" s="199">
        <f t="shared" si="136"/>
        <v>3998395</v>
      </c>
      <c r="AI104" s="199">
        <f t="shared" si="137"/>
        <v>3998395</v>
      </c>
      <c r="AJ104" s="201">
        <f t="shared" si="164"/>
        <v>0</v>
      </c>
      <c r="AK104" s="201">
        <f t="shared" si="164"/>
        <v>3834295</v>
      </c>
      <c r="AL104" s="201">
        <f t="shared" si="139"/>
        <v>3834295</v>
      </c>
      <c r="AM104" s="205">
        <v>229</v>
      </c>
      <c r="AN104" s="200">
        <v>45586</v>
      </c>
      <c r="AO104" s="208">
        <v>164100</v>
      </c>
      <c r="AP104" s="201">
        <f t="shared" si="140"/>
        <v>0</v>
      </c>
      <c r="AQ104" s="201">
        <f t="shared" si="141"/>
        <v>3971941.26</v>
      </c>
      <c r="AR104" s="201">
        <f t="shared" si="142"/>
        <v>3971941.26</v>
      </c>
      <c r="AS104" s="201">
        <f t="shared" si="143"/>
        <v>99.33839102940054</v>
      </c>
      <c r="AT104" s="201"/>
      <c r="AU104" s="209">
        <v>3827670.71</v>
      </c>
      <c r="AV104" s="201">
        <f t="shared" si="144"/>
        <v>3827670.71</v>
      </c>
      <c r="AW104" s="201">
        <f t="shared" si="157"/>
        <v>10.432165495873427</v>
      </c>
      <c r="AX104" s="201">
        <f t="shared" si="145"/>
        <v>99.827235776068349</v>
      </c>
      <c r="AY104" s="208">
        <v>144270.54999999999</v>
      </c>
      <c r="AZ104" s="201">
        <f t="shared" si="146"/>
        <v>0</v>
      </c>
      <c r="BA104" s="201">
        <f t="shared" si="147"/>
        <v>0</v>
      </c>
      <c r="BB104" s="201">
        <f t="shared" si="148"/>
        <v>0</v>
      </c>
      <c r="BC104" s="201"/>
      <c r="BD104" s="223">
        <v>0</v>
      </c>
      <c r="BE104" s="201">
        <f t="shared" si="149"/>
        <v>0</v>
      </c>
      <c r="BF104" s="208"/>
      <c r="BG104" s="201">
        <f t="shared" si="165"/>
        <v>0</v>
      </c>
      <c r="BH104" s="201">
        <f t="shared" si="165"/>
        <v>3971941.26</v>
      </c>
      <c r="BI104" s="201">
        <f t="shared" si="151"/>
        <v>3971941.26</v>
      </c>
      <c r="BJ104" s="201">
        <f t="shared" si="163"/>
        <v>99.33839102940054</v>
      </c>
      <c r="BK104" s="210">
        <v>15</v>
      </c>
      <c r="BL104" s="210">
        <v>90</v>
      </c>
      <c r="BM104" s="211"/>
      <c r="BN104" s="211"/>
      <c r="BO104" s="212">
        <f t="shared" si="152"/>
        <v>0</v>
      </c>
      <c r="BP104" s="201">
        <f t="shared" si="153"/>
        <v>26453.740000000049</v>
      </c>
      <c r="BQ104" s="201">
        <f t="shared" si="158"/>
        <v>26453.740000000049</v>
      </c>
      <c r="BR104" s="201">
        <f t="shared" si="166"/>
        <v>0</v>
      </c>
      <c r="BS104" s="201">
        <f t="shared" si="166"/>
        <v>6624.2900000000373</v>
      </c>
      <c r="BT104" s="201">
        <f t="shared" si="160"/>
        <v>6624.2900000000373</v>
      </c>
      <c r="BU104" s="213">
        <f t="shared" si="161"/>
        <v>19829.450000000012</v>
      </c>
      <c r="BV104" s="201">
        <f>164100+1605</f>
        <v>165705</v>
      </c>
      <c r="BW104" s="201"/>
      <c r="BX104" s="201">
        <f t="shared" si="162"/>
        <v>165705</v>
      </c>
      <c r="BY104" s="199">
        <v>600000</v>
      </c>
      <c r="BZ104" s="199">
        <v>600000</v>
      </c>
      <c r="CA104" s="199">
        <v>500000</v>
      </c>
      <c r="CB104" s="199">
        <v>500000</v>
      </c>
      <c r="CC104" s="199">
        <v>500000</v>
      </c>
      <c r="CD104" s="199">
        <v>500000</v>
      </c>
      <c r="CE104" s="199">
        <v>400000</v>
      </c>
      <c r="CF104" s="199">
        <v>400000</v>
      </c>
      <c r="CG104" s="199">
        <v>0</v>
      </c>
      <c r="CH104" s="199">
        <v>0</v>
      </c>
      <c r="CI104" s="199">
        <v>0</v>
      </c>
      <c r="CJ104" s="199">
        <v>0</v>
      </c>
      <c r="CK104" s="214" t="s">
        <v>374</v>
      </c>
      <c r="CL104" s="214" t="s">
        <v>276</v>
      </c>
      <c r="CM104" s="211">
        <v>185</v>
      </c>
      <c r="CN104" s="215">
        <v>200</v>
      </c>
      <c r="CO104" s="215"/>
      <c r="CP104" s="216">
        <v>80</v>
      </c>
      <c r="CQ104" s="217"/>
      <c r="CR104" s="211"/>
      <c r="CS104" s="218"/>
      <c r="CT104" s="218"/>
      <c r="CU104" s="218"/>
      <c r="CV104" s="211"/>
      <c r="CW104" s="211"/>
      <c r="CX104" s="211"/>
      <c r="CY104" s="211"/>
      <c r="CZ104" s="211"/>
      <c r="DA104" s="211"/>
      <c r="DB104" s="211"/>
      <c r="DC104" s="219"/>
      <c r="DD104" s="219"/>
      <c r="DE104" s="219"/>
      <c r="DF104" s="211"/>
      <c r="DG104" s="211"/>
      <c r="DH104" s="211"/>
      <c r="DI104" s="211"/>
      <c r="DJ104" s="211"/>
      <c r="DK104" s="220" t="s">
        <v>32</v>
      </c>
      <c r="DT104" s="222"/>
    </row>
    <row r="105" spans="1:124" s="176" customFormat="1" ht="42" x14ac:dyDescent="0.2">
      <c r="A105" s="195" t="s">
        <v>119</v>
      </c>
      <c r="B105" s="197" t="s">
        <v>375</v>
      </c>
      <c r="C105" s="198">
        <v>1</v>
      </c>
      <c r="D105" s="199">
        <v>6000000</v>
      </c>
      <c r="E105" s="198" t="s">
        <v>376</v>
      </c>
      <c r="F105" s="198" t="s">
        <v>377</v>
      </c>
      <c r="G105" s="198" t="s">
        <v>123</v>
      </c>
      <c r="H105" s="200">
        <v>1</v>
      </c>
      <c r="I105" s="199">
        <f t="shared" si="127"/>
        <v>0</v>
      </c>
      <c r="J105" s="199">
        <f t="shared" si="128"/>
        <v>6000000</v>
      </c>
      <c r="K105" s="199">
        <f t="shared" si="129"/>
        <v>6000000</v>
      </c>
      <c r="L105" s="199"/>
      <c r="M105" s="199">
        <v>6000000</v>
      </c>
      <c r="N105" s="199">
        <f t="shared" si="130"/>
        <v>6000000</v>
      </c>
      <c r="O105" s="199"/>
      <c r="P105" s="201">
        <v>0</v>
      </c>
      <c r="Q105" s="202">
        <v>12</v>
      </c>
      <c r="R105" s="203">
        <v>45566</v>
      </c>
      <c r="S105" s="204"/>
      <c r="T105" s="204">
        <v>6000000</v>
      </c>
      <c r="U105" s="204">
        <f t="shared" si="131"/>
        <v>6000000</v>
      </c>
      <c r="V105" s="205">
        <v>228</v>
      </c>
      <c r="W105" s="200">
        <v>45586</v>
      </c>
      <c r="X105" s="201"/>
      <c r="Y105" s="201">
        <v>-168000</v>
      </c>
      <c r="Z105" s="201">
        <f t="shared" si="132"/>
        <v>-168000</v>
      </c>
      <c r="AA105" s="198"/>
      <c r="AB105" s="206"/>
      <c r="AC105" s="207"/>
      <c r="AD105" s="201"/>
      <c r="AE105" s="204">
        <f t="shared" si="133"/>
        <v>0</v>
      </c>
      <c r="AF105" s="203">
        <f t="shared" si="134"/>
        <v>45566</v>
      </c>
      <c r="AG105" s="201">
        <f t="shared" si="135"/>
        <v>0</v>
      </c>
      <c r="AH105" s="199">
        <f t="shared" si="136"/>
        <v>6000000</v>
      </c>
      <c r="AI105" s="199">
        <f t="shared" si="137"/>
        <v>6000000</v>
      </c>
      <c r="AJ105" s="201">
        <f t="shared" si="164"/>
        <v>0</v>
      </c>
      <c r="AK105" s="201">
        <f t="shared" si="164"/>
        <v>5832000</v>
      </c>
      <c r="AL105" s="201">
        <f t="shared" si="139"/>
        <v>5832000</v>
      </c>
      <c r="AM105" s="205">
        <v>229</v>
      </c>
      <c r="AN105" s="200">
        <v>45586</v>
      </c>
      <c r="AO105" s="208">
        <v>168000</v>
      </c>
      <c r="AP105" s="201">
        <f t="shared" si="140"/>
        <v>0</v>
      </c>
      <c r="AQ105" s="201">
        <f t="shared" si="141"/>
        <v>5651889.8700000001</v>
      </c>
      <c r="AR105" s="201">
        <f t="shared" si="142"/>
        <v>5651889.8700000001</v>
      </c>
      <c r="AS105" s="201">
        <f t="shared" si="143"/>
        <v>94.198164500000004</v>
      </c>
      <c r="AT105" s="201"/>
      <c r="AU105" s="209">
        <v>5504061.6200000001</v>
      </c>
      <c r="AV105" s="201">
        <f t="shared" si="144"/>
        <v>5504061.6200000001</v>
      </c>
      <c r="AW105" s="201">
        <f t="shared" si="157"/>
        <v>10.699588477366255</v>
      </c>
      <c r="AX105" s="201">
        <f t="shared" si="145"/>
        <v>94.376913923182443</v>
      </c>
      <c r="AY105" s="208">
        <v>147828.25</v>
      </c>
      <c r="AZ105" s="201">
        <f t="shared" si="146"/>
        <v>0</v>
      </c>
      <c r="BA105" s="201">
        <f t="shared" si="147"/>
        <v>0</v>
      </c>
      <c r="BB105" s="201">
        <f t="shared" si="148"/>
        <v>0</v>
      </c>
      <c r="BC105" s="201"/>
      <c r="BD105" s="223">
        <v>0</v>
      </c>
      <c r="BE105" s="201">
        <f t="shared" si="149"/>
        <v>0</v>
      </c>
      <c r="BF105" s="208"/>
      <c r="BG105" s="201">
        <f t="shared" si="165"/>
        <v>0</v>
      </c>
      <c r="BH105" s="201">
        <f t="shared" si="165"/>
        <v>5651889.8700000001</v>
      </c>
      <c r="BI105" s="201">
        <f t="shared" si="151"/>
        <v>5651889.8700000001</v>
      </c>
      <c r="BJ105" s="201">
        <f t="shared" si="163"/>
        <v>94.198164500000004</v>
      </c>
      <c r="BK105" s="210">
        <v>5</v>
      </c>
      <c r="BL105" s="210">
        <v>80</v>
      </c>
      <c r="BM105" s="211"/>
      <c r="BN105" s="211"/>
      <c r="BO105" s="212">
        <f t="shared" si="152"/>
        <v>0</v>
      </c>
      <c r="BP105" s="201">
        <f t="shared" si="153"/>
        <v>348110.12999999989</v>
      </c>
      <c r="BQ105" s="201">
        <f t="shared" si="158"/>
        <v>348110.12999999989</v>
      </c>
      <c r="BR105" s="201">
        <f t="shared" si="166"/>
        <v>0</v>
      </c>
      <c r="BS105" s="201">
        <f t="shared" si="166"/>
        <v>327938.37999999989</v>
      </c>
      <c r="BT105" s="201">
        <f t="shared" si="160"/>
        <v>327938.37999999989</v>
      </c>
      <c r="BU105" s="213">
        <f t="shared" si="161"/>
        <v>20171.75</v>
      </c>
      <c r="BV105" s="201">
        <v>168000</v>
      </c>
      <c r="BW105" s="201"/>
      <c r="BX105" s="201">
        <f t="shared" si="162"/>
        <v>168000</v>
      </c>
      <c r="BY105" s="199">
        <v>0</v>
      </c>
      <c r="BZ105" s="199">
        <v>81000</v>
      </c>
      <c r="CA105" s="199">
        <v>432000</v>
      </c>
      <c r="CB105" s="199">
        <v>2111000</v>
      </c>
      <c r="CC105" s="199">
        <v>844000</v>
      </c>
      <c r="CD105" s="199">
        <v>1076000</v>
      </c>
      <c r="CE105" s="199">
        <v>618000</v>
      </c>
      <c r="CF105" s="199">
        <v>624000</v>
      </c>
      <c r="CG105" s="199">
        <v>87000</v>
      </c>
      <c r="CH105" s="199">
        <v>79000</v>
      </c>
      <c r="CI105" s="199">
        <v>27000</v>
      </c>
      <c r="CJ105" s="199">
        <v>21000</v>
      </c>
      <c r="CK105" s="214" t="s">
        <v>378</v>
      </c>
      <c r="CL105" s="214" t="s">
        <v>276</v>
      </c>
      <c r="CM105" s="211">
        <v>185</v>
      </c>
      <c r="CN105" s="215"/>
      <c r="CO105" s="215">
        <v>300</v>
      </c>
      <c r="CP105" s="216">
        <v>30</v>
      </c>
      <c r="CQ105" s="217"/>
      <c r="CR105" s="211"/>
      <c r="CS105" s="218"/>
      <c r="CT105" s="218"/>
      <c r="CU105" s="218"/>
      <c r="CV105" s="211"/>
      <c r="CW105" s="211"/>
      <c r="CX105" s="211"/>
      <c r="CY105" s="211"/>
      <c r="CZ105" s="211"/>
      <c r="DA105" s="211"/>
      <c r="DB105" s="211"/>
      <c r="DC105" s="219"/>
      <c r="DD105" s="219"/>
      <c r="DE105" s="219"/>
      <c r="DF105" s="211"/>
      <c r="DG105" s="211"/>
      <c r="DH105" s="211"/>
      <c r="DI105" s="211"/>
      <c r="DJ105" s="211"/>
      <c r="DK105" s="220" t="s">
        <v>32</v>
      </c>
      <c r="DT105" s="222"/>
    </row>
    <row r="106" spans="1:124" s="176" customFormat="1" ht="42" x14ac:dyDescent="0.2">
      <c r="A106" s="195" t="s">
        <v>379</v>
      </c>
      <c r="B106" s="197" t="s">
        <v>380</v>
      </c>
      <c r="C106" s="198">
        <v>1</v>
      </c>
      <c r="D106" s="199">
        <v>900000</v>
      </c>
      <c r="E106" s="198" t="s">
        <v>381</v>
      </c>
      <c r="F106" s="198" t="s">
        <v>377</v>
      </c>
      <c r="G106" s="198" t="s">
        <v>123</v>
      </c>
      <c r="H106" s="200">
        <v>1</v>
      </c>
      <c r="I106" s="199">
        <f t="shared" si="127"/>
        <v>0</v>
      </c>
      <c r="J106" s="199">
        <f t="shared" si="128"/>
        <v>900000</v>
      </c>
      <c r="K106" s="199">
        <f t="shared" si="129"/>
        <v>900000</v>
      </c>
      <c r="L106" s="199"/>
      <c r="M106" s="199">
        <v>900000</v>
      </c>
      <c r="N106" s="199">
        <f t="shared" si="130"/>
        <v>900000</v>
      </c>
      <c r="O106" s="199"/>
      <c r="P106" s="201">
        <v>0</v>
      </c>
      <c r="Q106" s="202">
        <v>12</v>
      </c>
      <c r="R106" s="203">
        <v>45566</v>
      </c>
      <c r="S106" s="204"/>
      <c r="T106" s="204">
        <v>900000</v>
      </c>
      <c r="U106" s="204">
        <f t="shared" si="131"/>
        <v>900000</v>
      </c>
      <c r="V106" s="205"/>
      <c r="W106" s="200"/>
      <c r="X106" s="201"/>
      <c r="Y106" s="201">
        <v>-384.8</v>
      </c>
      <c r="Z106" s="201">
        <f t="shared" si="132"/>
        <v>-384.8</v>
      </c>
      <c r="AA106" s="198"/>
      <c r="AB106" s="206"/>
      <c r="AC106" s="207"/>
      <c r="AD106" s="201"/>
      <c r="AE106" s="204">
        <f t="shared" si="133"/>
        <v>0</v>
      </c>
      <c r="AF106" s="203">
        <f t="shared" si="134"/>
        <v>45566</v>
      </c>
      <c r="AG106" s="201">
        <f t="shared" si="135"/>
        <v>0</v>
      </c>
      <c r="AH106" s="199">
        <f t="shared" si="136"/>
        <v>899615.2</v>
      </c>
      <c r="AI106" s="199">
        <f t="shared" si="137"/>
        <v>899615.2</v>
      </c>
      <c r="AJ106" s="201">
        <f t="shared" si="164"/>
        <v>0</v>
      </c>
      <c r="AK106" s="201">
        <f t="shared" si="164"/>
        <v>899615.2</v>
      </c>
      <c r="AL106" s="201">
        <f t="shared" si="139"/>
        <v>899615.2</v>
      </c>
      <c r="AM106" s="198"/>
      <c r="AN106" s="203"/>
      <c r="AO106" s="208"/>
      <c r="AP106" s="201">
        <f t="shared" si="140"/>
        <v>0</v>
      </c>
      <c r="AQ106" s="201">
        <f t="shared" si="141"/>
        <v>898214.2</v>
      </c>
      <c r="AR106" s="201">
        <f t="shared" si="142"/>
        <v>898214.2</v>
      </c>
      <c r="AS106" s="201">
        <f t="shared" si="143"/>
        <v>99.844266748716564</v>
      </c>
      <c r="AT106" s="201"/>
      <c r="AU106" s="209">
        <v>898214.2</v>
      </c>
      <c r="AV106" s="201">
        <f t="shared" si="144"/>
        <v>898214.2</v>
      </c>
      <c r="AW106" s="201">
        <f t="shared" si="157"/>
        <v>0</v>
      </c>
      <c r="AX106" s="201">
        <f t="shared" si="145"/>
        <v>99.844266748716564</v>
      </c>
      <c r="AY106" s="208"/>
      <c r="AZ106" s="201">
        <f t="shared" si="146"/>
        <v>0</v>
      </c>
      <c r="BA106" s="201">
        <f t="shared" si="147"/>
        <v>0</v>
      </c>
      <c r="BB106" s="201">
        <f t="shared" si="148"/>
        <v>0</v>
      </c>
      <c r="BC106" s="201"/>
      <c r="BD106" s="223">
        <v>0</v>
      </c>
      <c r="BE106" s="201">
        <f t="shared" si="149"/>
        <v>0</v>
      </c>
      <c r="BF106" s="208"/>
      <c r="BG106" s="201">
        <f t="shared" si="165"/>
        <v>0</v>
      </c>
      <c r="BH106" s="201">
        <f t="shared" si="165"/>
        <v>898214.2</v>
      </c>
      <c r="BI106" s="201">
        <f t="shared" si="151"/>
        <v>898214.2</v>
      </c>
      <c r="BJ106" s="201">
        <f t="shared" si="163"/>
        <v>99.844266748716564</v>
      </c>
      <c r="BK106" s="210">
        <v>35</v>
      </c>
      <c r="BL106" s="210">
        <v>100</v>
      </c>
      <c r="BM106" s="211"/>
      <c r="BN106" s="211"/>
      <c r="BO106" s="212">
        <f t="shared" si="152"/>
        <v>0</v>
      </c>
      <c r="BP106" s="201">
        <f t="shared" si="153"/>
        <v>1401</v>
      </c>
      <c r="BQ106" s="201">
        <f t="shared" si="158"/>
        <v>1401</v>
      </c>
      <c r="BR106" s="201">
        <f t="shared" si="166"/>
        <v>0</v>
      </c>
      <c r="BS106" s="201">
        <f t="shared" si="166"/>
        <v>1401</v>
      </c>
      <c r="BT106" s="201">
        <f t="shared" si="160"/>
        <v>1401</v>
      </c>
      <c r="BU106" s="213">
        <f t="shared" si="161"/>
        <v>0</v>
      </c>
      <c r="BV106" s="201">
        <v>384.8</v>
      </c>
      <c r="BW106" s="201"/>
      <c r="BX106" s="201">
        <f t="shared" si="162"/>
        <v>384.8</v>
      </c>
      <c r="BY106" s="199">
        <v>300000</v>
      </c>
      <c r="BZ106" s="199">
        <v>300000</v>
      </c>
      <c r="CA106" s="199">
        <v>300000</v>
      </c>
      <c r="CB106" s="199">
        <v>0</v>
      </c>
      <c r="CC106" s="199">
        <v>0</v>
      </c>
      <c r="CD106" s="199">
        <v>0</v>
      </c>
      <c r="CE106" s="199">
        <v>0</v>
      </c>
      <c r="CF106" s="199">
        <v>0</v>
      </c>
      <c r="CG106" s="199">
        <v>0</v>
      </c>
      <c r="CH106" s="199">
        <v>0</v>
      </c>
      <c r="CI106" s="199">
        <v>0</v>
      </c>
      <c r="CJ106" s="199">
        <v>0</v>
      </c>
      <c r="CK106" s="214" t="s">
        <v>382</v>
      </c>
      <c r="CL106" s="214"/>
      <c r="CM106" s="211">
        <v>183</v>
      </c>
      <c r="CN106" s="215"/>
      <c r="CO106" s="215"/>
      <c r="CP106" s="216"/>
      <c r="CQ106" s="217"/>
      <c r="CR106" s="211"/>
      <c r="CS106" s="218"/>
      <c r="CT106" s="218"/>
      <c r="CU106" s="218"/>
      <c r="CV106" s="211"/>
      <c r="CW106" s="211"/>
      <c r="CX106" s="211"/>
      <c r="CY106" s="211"/>
      <c r="CZ106" s="211"/>
      <c r="DA106" s="211"/>
      <c r="DB106" s="211"/>
      <c r="DC106" s="219"/>
      <c r="DD106" s="219"/>
      <c r="DE106" s="219"/>
      <c r="DF106" s="211"/>
      <c r="DG106" s="211"/>
      <c r="DH106" s="211"/>
      <c r="DI106" s="211"/>
      <c r="DJ106" s="211"/>
      <c r="DK106" s="220" t="s">
        <v>32</v>
      </c>
      <c r="DT106" s="222"/>
    </row>
    <row r="107" spans="1:124" s="176" customFormat="1" ht="42" x14ac:dyDescent="0.2">
      <c r="A107" s="195" t="s">
        <v>379</v>
      </c>
      <c r="B107" s="197" t="s">
        <v>383</v>
      </c>
      <c r="C107" s="198">
        <v>1</v>
      </c>
      <c r="D107" s="199">
        <v>840000</v>
      </c>
      <c r="E107" s="198" t="s">
        <v>381</v>
      </c>
      <c r="F107" s="198" t="s">
        <v>377</v>
      </c>
      <c r="G107" s="198" t="s">
        <v>123</v>
      </c>
      <c r="H107" s="200">
        <v>1</v>
      </c>
      <c r="I107" s="199">
        <f t="shared" si="127"/>
        <v>0</v>
      </c>
      <c r="J107" s="199">
        <f t="shared" si="128"/>
        <v>840000</v>
      </c>
      <c r="K107" s="199">
        <f t="shared" si="129"/>
        <v>840000</v>
      </c>
      <c r="L107" s="199"/>
      <c r="M107" s="199">
        <v>840000</v>
      </c>
      <c r="N107" s="199">
        <f t="shared" si="130"/>
        <v>840000</v>
      </c>
      <c r="O107" s="199"/>
      <c r="P107" s="201">
        <v>0</v>
      </c>
      <c r="Q107" s="202">
        <v>12</v>
      </c>
      <c r="R107" s="203">
        <v>45566</v>
      </c>
      <c r="S107" s="204"/>
      <c r="T107" s="204">
        <v>840000</v>
      </c>
      <c r="U107" s="204">
        <f t="shared" si="131"/>
        <v>840000</v>
      </c>
      <c r="V107" s="205"/>
      <c r="W107" s="200"/>
      <c r="X107" s="201"/>
      <c r="Y107" s="201">
        <v>-154.91</v>
      </c>
      <c r="Z107" s="201">
        <f t="shared" si="132"/>
        <v>-154.91</v>
      </c>
      <c r="AA107" s="198"/>
      <c r="AB107" s="206"/>
      <c r="AC107" s="207"/>
      <c r="AD107" s="201"/>
      <c r="AE107" s="204">
        <f t="shared" si="133"/>
        <v>0</v>
      </c>
      <c r="AF107" s="203">
        <f t="shared" si="134"/>
        <v>45566</v>
      </c>
      <c r="AG107" s="201">
        <f t="shared" si="135"/>
        <v>0</v>
      </c>
      <c r="AH107" s="199">
        <f t="shared" si="136"/>
        <v>839845.09</v>
      </c>
      <c r="AI107" s="199">
        <f t="shared" si="137"/>
        <v>839845.09</v>
      </c>
      <c r="AJ107" s="201">
        <f t="shared" si="164"/>
        <v>0</v>
      </c>
      <c r="AK107" s="201">
        <f t="shared" si="164"/>
        <v>839845.09</v>
      </c>
      <c r="AL107" s="201">
        <f t="shared" si="139"/>
        <v>839845.09</v>
      </c>
      <c r="AM107" s="198"/>
      <c r="AN107" s="203"/>
      <c r="AO107" s="208"/>
      <c r="AP107" s="201">
        <f t="shared" si="140"/>
        <v>0</v>
      </c>
      <c r="AQ107" s="201">
        <f t="shared" si="141"/>
        <v>837436.09</v>
      </c>
      <c r="AR107" s="201">
        <f t="shared" si="142"/>
        <v>837436.09</v>
      </c>
      <c r="AS107" s="201">
        <f t="shared" si="143"/>
        <v>99.713161387893578</v>
      </c>
      <c r="AT107" s="201"/>
      <c r="AU107" s="209">
        <v>837436.09</v>
      </c>
      <c r="AV107" s="201">
        <f t="shared" si="144"/>
        <v>837436.09</v>
      </c>
      <c r="AW107" s="201">
        <f t="shared" si="157"/>
        <v>0</v>
      </c>
      <c r="AX107" s="201">
        <f t="shared" si="145"/>
        <v>99.713161387893578</v>
      </c>
      <c r="AY107" s="208"/>
      <c r="AZ107" s="201">
        <f t="shared" si="146"/>
        <v>0</v>
      </c>
      <c r="BA107" s="201">
        <f t="shared" si="147"/>
        <v>0</v>
      </c>
      <c r="BB107" s="201">
        <f t="shared" si="148"/>
        <v>0</v>
      </c>
      <c r="BC107" s="201"/>
      <c r="BD107" s="223">
        <v>0</v>
      </c>
      <c r="BE107" s="201">
        <f t="shared" si="149"/>
        <v>0</v>
      </c>
      <c r="BF107" s="208"/>
      <c r="BG107" s="201">
        <f t="shared" si="165"/>
        <v>0</v>
      </c>
      <c r="BH107" s="201">
        <f t="shared" si="165"/>
        <v>837436.09</v>
      </c>
      <c r="BI107" s="201">
        <f t="shared" si="151"/>
        <v>837436.09</v>
      </c>
      <c r="BJ107" s="201">
        <f t="shared" si="163"/>
        <v>99.713161387893578</v>
      </c>
      <c r="BK107" s="210">
        <v>35</v>
      </c>
      <c r="BL107" s="210">
        <v>100</v>
      </c>
      <c r="BM107" s="211"/>
      <c r="BN107" s="211"/>
      <c r="BO107" s="212">
        <f t="shared" si="152"/>
        <v>0</v>
      </c>
      <c r="BP107" s="201">
        <f t="shared" si="153"/>
        <v>2409</v>
      </c>
      <c r="BQ107" s="201">
        <f t="shared" si="158"/>
        <v>2409</v>
      </c>
      <c r="BR107" s="201">
        <f t="shared" si="166"/>
        <v>0</v>
      </c>
      <c r="BS107" s="201">
        <f t="shared" si="166"/>
        <v>2409</v>
      </c>
      <c r="BT107" s="201">
        <f t="shared" si="160"/>
        <v>2409</v>
      </c>
      <c r="BU107" s="213">
        <f t="shared" si="161"/>
        <v>0</v>
      </c>
      <c r="BV107" s="201">
        <v>154.91</v>
      </c>
      <c r="BW107" s="201"/>
      <c r="BX107" s="201">
        <f t="shared" si="162"/>
        <v>154.91</v>
      </c>
      <c r="BY107" s="199">
        <v>280000</v>
      </c>
      <c r="BZ107" s="199">
        <v>280000</v>
      </c>
      <c r="CA107" s="199">
        <v>280000</v>
      </c>
      <c r="CB107" s="199">
        <v>0</v>
      </c>
      <c r="CC107" s="199">
        <v>0</v>
      </c>
      <c r="CD107" s="199">
        <v>0</v>
      </c>
      <c r="CE107" s="199">
        <v>0</v>
      </c>
      <c r="CF107" s="199">
        <v>0</v>
      </c>
      <c r="CG107" s="199">
        <v>0</v>
      </c>
      <c r="CH107" s="199">
        <v>0</v>
      </c>
      <c r="CI107" s="199">
        <v>0</v>
      </c>
      <c r="CJ107" s="199">
        <v>0</v>
      </c>
      <c r="CK107" s="214" t="s">
        <v>384</v>
      </c>
      <c r="CL107" s="214"/>
      <c r="CM107" s="211">
        <v>183</v>
      </c>
      <c r="CN107" s="215"/>
      <c r="CO107" s="215"/>
      <c r="CP107" s="216"/>
      <c r="CQ107" s="217"/>
      <c r="CR107" s="211"/>
      <c r="CS107" s="218"/>
      <c r="CT107" s="218"/>
      <c r="CU107" s="218"/>
      <c r="CV107" s="211"/>
      <c r="CW107" s="211"/>
      <c r="CX107" s="211"/>
      <c r="CY107" s="211"/>
      <c r="CZ107" s="211"/>
      <c r="DA107" s="211"/>
      <c r="DB107" s="211"/>
      <c r="DC107" s="219"/>
      <c r="DD107" s="219"/>
      <c r="DE107" s="219"/>
      <c r="DF107" s="211"/>
      <c r="DG107" s="211"/>
      <c r="DH107" s="211"/>
      <c r="DI107" s="211"/>
      <c r="DJ107" s="211"/>
      <c r="DK107" s="220" t="s">
        <v>32</v>
      </c>
      <c r="DT107" s="222"/>
    </row>
    <row r="108" spans="1:124" s="176" customFormat="1" ht="42" x14ac:dyDescent="0.2">
      <c r="A108" s="195" t="s">
        <v>379</v>
      </c>
      <c r="B108" s="197" t="s">
        <v>385</v>
      </c>
      <c r="C108" s="198">
        <v>1</v>
      </c>
      <c r="D108" s="199">
        <v>970000</v>
      </c>
      <c r="E108" s="198" t="s">
        <v>386</v>
      </c>
      <c r="F108" s="198" t="s">
        <v>377</v>
      </c>
      <c r="G108" s="198" t="s">
        <v>123</v>
      </c>
      <c r="H108" s="200">
        <v>1</v>
      </c>
      <c r="I108" s="199">
        <f t="shared" si="127"/>
        <v>0</v>
      </c>
      <c r="J108" s="199">
        <f t="shared" si="128"/>
        <v>970000</v>
      </c>
      <c r="K108" s="199">
        <f t="shared" si="129"/>
        <v>970000</v>
      </c>
      <c r="L108" s="199"/>
      <c r="M108" s="199">
        <v>970000</v>
      </c>
      <c r="N108" s="199">
        <f t="shared" si="130"/>
        <v>970000</v>
      </c>
      <c r="O108" s="199"/>
      <c r="P108" s="201">
        <v>0</v>
      </c>
      <c r="Q108" s="202">
        <v>12</v>
      </c>
      <c r="R108" s="203">
        <v>45566</v>
      </c>
      <c r="S108" s="204"/>
      <c r="T108" s="204">
        <v>970000</v>
      </c>
      <c r="U108" s="204">
        <f t="shared" si="131"/>
        <v>970000</v>
      </c>
      <c r="V108" s="205"/>
      <c r="W108" s="200"/>
      <c r="X108" s="201"/>
      <c r="Y108" s="201">
        <v>-6.92</v>
      </c>
      <c r="Z108" s="201">
        <f t="shared" si="132"/>
        <v>-6.92</v>
      </c>
      <c r="AA108" s="198"/>
      <c r="AB108" s="206"/>
      <c r="AC108" s="207"/>
      <c r="AD108" s="201"/>
      <c r="AE108" s="204">
        <f t="shared" si="133"/>
        <v>0</v>
      </c>
      <c r="AF108" s="203">
        <f t="shared" si="134"/>
        <v>45566</v>
      </c>
      <c r="AG108" s="201">
        <f t="shared" si="135"/>
        <v>0</v>
      </c>
      <c r="AH108" s="199">
        <f t="shared" si="136"/>
        <v>969993.08</v>
      </c>
      <c r="AI108" s="199">
        <f t="shared" si="137"/>
        <v>969993.08</v>
      </c>
      <c r="AJ108" s="201">
        <f t="shared" si="164"/>
        <v>0</v>
      </c>
      <c r="AK108" s="201">
        <f t="shared" si="164"/>
        <v>969993.08</v>
      </c>
      <c r="AL108" s="201">
        <f t="shared" si="139"/>
        <v>969993.08</v>
      </c>
      <c r="AM108" s="198"/>
      <c r="AN108" s="203"/>
      <c r="AO108" s="208"/>
      <c r="AP108" s="201">
        <f t="shared" si="140"/>
        <v>0</v>
      </c>
      <c r="AQ108" s="201">
        <f t="shared" si="141"/>
        <v>969390.07999999996</v>
      </c>
      <c r="AR108" s="201">
        <f t="shared" si="142"/>
        <v>969390.07999999996</v>
      </c>
      <c r="AS108" s="201">
        <f t="shared" si="143"/>
        <v>99.937834608057202</v>
      </c>
      <c r="AT108" s="201"/>
      <c r="AU108" s="209">
        <v>969390.07999999996</v>
      </c>
      <c r="AV108" s="201">
        <f t="shared" si="144"/>
        <v>969390.07999999996</v>
      </c>
      <c r="AW108" s="201">
        <f t="shared" si="157"/>
        <v>0</v>
      </c>
      <c r="AX108" s="201">
        <f t="shared" si="145"/>
        <v>99.937834608057202</v>
      </c>
      <c r="AY108" s="208"/>
      <c r="AZ108" s="201">
        <f t="shared" si="146"/>
        <v>0</v>
      </c>
      <c r="BA108" s="201">
        <f t="shared" si="147"/>
        <v>0</v>
      </c>
      <c r="BB108" s="201">
        <f t="shared" si="148"/>
        <v>0</v>
      </c>
      <c r="BC108" s="201"/>
      <c r="BD108" s="223">
        <v>0</v>
      </c>
      <c r="BE108" s="201">
        <f t="shared" si="149"/>
        <v>0</v>
      </c>
      <c r="BF108" s="208"/>
      <c r="BG108" s="201">
        <f t="shared" si="165"/>
        <v>0</v>
      </c>
      <c r="BH108" s="201">
        <f t="shared" si="165"/>
        <v>969390.07999999996</v>
      </c>
      <c r="BI108" s="201">
        <f t="shared" si="151"/>
        <v>969390.07999999996</v>
      </c>
      <c r="BJ108" s="201">
        <f t="shared" si="163"/>
        <v>99.937834608057202</v>
      </c>
      <c r="BK108" s="210">
        <v>35</v>
      </c>
      <c r="BL108" s="210">
        <v>100</v>
      </c>
      <c r="BM108" s="211"/>
      <c r="BN108" s="211"/>
      <c r="BO108" s="212">
        <f t="shared" si="152"/>
        <v>0</v>
      </c>
      <c r="BP108" s="201">
        <f t="shared" si="153"/>
        <v>603</v>
      </c>
      <c r="BQ108" s="201">
        <f t="shared" si="158"/>
        <v>603</v>
      </c>
      <c r="BR108" s="201">
        <f t="shared" si="166"/>
        <v>0</v>
      </c>
      <c r="BS108" s="201">
        <f t="shared" si="166"/>
        <v>603</v>
      </c>
      <c r="BT108" s="201">
        <f t="shared" si="160"/>
        <v>603</v>
      </c>
      <c r="BU108" s="213">
        <f t="shared" si="161"/>
        <v>0</v>
      </c>
      <c r="BV108" s="201">
        <v>6.92</v>
      </c>
      <c r="BW108" s="201"/>
      <c r="BX108" s="201">
        <f t="shared" si="162"/>
        <v>6.92</v>
      </c>
      <c r="BY108" s="199">
        <v>323400</v>
      </c>
      <c r="BZ108" s="199">
        <v>323300</v>
      </c>
      <c r="CA108" s="199">
        <v>323300</v>
      </c>
      <c r="CB108" s="199">
        <v>0</v>
      </c>
      <c r="CC108" s="199">
        <v>0</v>
      </c>
      <c r="CD108" s="199">
        <v>0</v>
      </c>
      <c r="CE108" s="199">
        <v>0</v>
      </c>
      <c r="CF108" s="199">
        <v>0</v>
      </c>
      <c r="CG108" s="199">
        <v>0</v>
      </c>
      <c r="CH108" s="199">
        <v>0</v>
      </c>
      <c r="CI108" s="199">
        <v>0</v>
      </c>
      <c r="CJ108" s="199">
        <v>0</v>
      </c>
      <c r="CK108" s="214" t="s">
        <v>387</v>
      </c>
      <c r="CL108" s="214"/>
      <c r="CM108" s="211">
        <v>183</v>
      </c>
      <c r="CN108" s="215"/>
      <c r="CO108" s="215"/>
      <c r="CP108" s="216"/>
      <c r="CQ108" s="217"/>
      <c r="CR108" s="211"/>
      <c r="CS108" s="218"/>
      <c r="CT108" s="218"/>
      <c r="CU108" s="218"/>
      <c r="CV108" s="211"/>
      <c r="CW108" s="211"/>
      <c r="CX108" s="211"/>
      <c r="CY108" s="211"/>
      <c r="CZ108" s="211"/>
      <c r="DA108" s="211"/>
      <c r="DB108" s="211"/>
      <c r="DC108" s="219"/>
      <c r="DD108" s="219"/>
      <c r="DE108" s="219"/>
      <c r="DF108" s="211"/>
      <c r="DG108" s="211"/>
      <c r="DH108" s="211"/>
      <c r="DI108" s="211"/>
      <c r="DJ108" s="211"/>
      <c r="DK108" s="220" t="s">
        <v>32</v>
      </c>
      <c r="DT108" s="222"/>
    </row>
    <row r="109" spans="1:124" s="176" customFormat="1" ht="42" x14ac:dyDescent="0.2">
      <c r="A109" s="195" t="s">
        <v>379</v>
      </c>
      <c r="B109" s="197" t="s">
        <v>388</v>
      </c>
      <c r="C109" s="198">
        <v>1</v>
      </c>
      <c r="D109" s="199">
        <v>950000</v>
      </c>
      <c r="E109" s="198" t="s">
        <v>386</v>
      </c>
      <c r="F109" s="198" t="s">
        <v>377</v>
      </c>
      <c r="G109" s="198" t="s">
        <v>123</v>
      </c>
      <c r="H109" s="200">
        <v>1</v>
      </c>
      <c r="I109" s="199">
        <f t="shared" si="127"/>
        <v>0</v>
      </c>
      <c r="J109" s="199">
        <f t="shared" si="128"/>
        <v>950000</v>
      </c>
      <c r="K109" s="199">
        <f t="shared" si="129"/>
        <v>950000</v>
      </c>
      <c r="L109" s="199"/>
      <c r="M109" s="199">
        <v>950000</v>
      </c>
      <c r="N109" s="199">
        <f t="shared" si="130"/>
        <v>950000</v>
      </c>
      <c r="O109" s="199"/>
      <c r="P109" s="201">
        <v>0</v>
      </c>
      <c r="Q109" s="202">
        <v>12</v>
      </c>
      <c r="R109" s="203">
        <v>45566</v>
      </c>
      <c r="S109" s="204"/>
      <c r="T109" s="204">
        <v>950000</v>
      </c>
      <c r="U109" s="204">
        <f t="shared" si="131"/>
        <v>950000</v>
      </c>
      <c r="V109" s="205"/>
      <c r="W109" s="200"/>
      <c r="X109" s="201"/>
      <c r="Y109" s="201">
        <v>-247.38</v>
      </c>
      <c r="Z109" s="201">
        <f t="shared" si="132"/>
        <v>-247.38</v>
      </c>
      <c r="AA109" s="198"/>
      <c r="AB109" s="206"/>
      <c r="AC109" s="207"/>
      <c r="AD109" s="201"/>
      <c r="AE109" s="204">
        <f t="shared" si="133"/>
        <v>0</v>
      </c>
      <c r="AF109" s="203">
        <f t="shared" si="134"/>
        <v>45566</v>
      </c>
      <c r="AG109" s="201">
        <f t="shared" si="135"/>
        <v>0</v>
      </c>
      <c r="AH109" s="199">
        <f t="shared" si="136"/>
        <v>949752.62</v>
      </c>
      <c r="AI109" s="199">
        <f t="shared" si="137"/>
        <v>949752.62</v>
      </c>
      <c r="AJ109" s="201">
        <f t="shared" si="164"/>
        <v>0</v>
      </c>
      <c r="AK109" s="201">
        <f t="shared" si="164"/>
        <v>949752.62</v>
      </c>
      <c r="AL109" s="201">
        <f t="shared" si="139"/>
        <v>949752.62</v>
      </c>
      <c r="AM109" s="198"/>
      <c r="AN109" s="203"/>
      <c r="AO109" s="208"/>
      <c r="AP109" s="201">
        <f t="shared" si="140"/>
        <v>0</v>
      </c>
      <c r="AQ109" s="201">
        <f t="shared" si="141"/>
        <v>949321.62</v>
      </c>
      <c r="AR109" s="201">
        <f t="shared" si="142"/>
        <v>949321.62</v>
      </c>
      <c r="AS109" s="201">
        <f t="shared" si="143"/>
        <v>99.954619761933373</v>
      </c>
      <c r="AT109" s="201"/>
      <c r="AU109" s="209">
        <v>949321.62</v>
      </c>
      <c r="AV109" s="201">
        <f t="shared" si="144"/>
        <v>949321.62</v>
      </c>
      <c r="AW109" s="201">
        <f t="shared" si="157"/>
        <v>0</v>
      </c>
      <c r="AX109" s="201">
        <f t="shared" si="145"/>
        <v>99.954619761933373</v>
      </c>
      <c r="AY109" s="208"/>
      <c r="AZ109" s="201">
        <f t="shared" si="146"/>
        <v>0</v>
      </c>
      <c r="BA109" s="201">
        <f t="shared" si="147"/>
        <v>0</v>
      </c>
      <c r="BB109" s="201">
        <f t="shared" si="148"/>
        <v>0</v>
      </c>
      <c r="BC109" s="201"/>
      <c r="BD109" s="223">
        <v>0</v>
      </c>
      <c r="BE109" s="201">
        <f t="shared" si="149"/>
        <v>0</v>
      </c>
      <c r="BF109" s="208"/>
      <c r="BG109" s="201">
        <f t="shared" si="165"/>
        <v>0</v>
      </c>
      <c r="BH109" s="201">
        <f t="shared" si="165"/>
        <v>949321.62</v>
      </c>
      <c r="BI109" s="201">
        <f t="shared" si="151"/>
        <v>949321.62</v>
      </c>
      <c r="BJ109" s="201">
        <f t="shared" si="163"/>
        <v>99.954619761933373</v>
      </c>
      <c r="BK109" s="210">
        <v>35</v>
      </c>
      <c r="BL109" s="210">
        <v>100</v>
      </c>
      <c r="BM109" s="211"/>
      <c r="BN109" s="211"/>
      <c r="BO109" s="212">
        <f t="shared" si="152"/>
        <v>0</v>
      </c>
      <c r="BP109" s="201">
        <f t="shared" si="153"/>
        <v>431</v>
      </c>
      <c r="BQ109" s="201">
        <f t="shared" si="158"/>
        <v>431</v>
      </c>
      <c r="BR109" s="201">
        <f t="shared" si="166"/>
        <v>0</v>
      </c>
      <c r="BS109" s="201">
        <f t="shared" si="166"/>
        <v>431</v>
      </c>
      <c r="BT109" s="201">
        <f t="shared" si="160"/>
        <v>431</v>
      </c>
      <c r="BU109" s="213">
        <f t="shared" si="161"/>
        <v>0</v>
      </c>
      <c r="BV109" s="201">
        <v>247.38</v>
      </c>
      <c r="BW109" s="201"/>
      <c r="BX109" s="201">
        <f t="shared" si="162"/>
        <v>247.38</v>
      </c>
      <c r="BY109" s="199">
        <v>316700</v>
      </c>
      <c r="BZ109" s="199">
        <v>316700</v>
      </c>
      <c r="CA109" s="199">
        <v>316600</v>
      </c>
      <c r="CB109" s="199">
        <v>0</v>
      </c>
      <c r="CC109" s="199">
        <v>0</v>
      </c>
      <c r="CD109" s="199">
        <v>0</v>
      </c>
      <c r="CE109" s="199">
        <v>0</v>
      </c>
      <c r="CF109" s="199">
        <v>0</v>
      </c>
      <c r="CG109" s="199">
        <v>0</v>
      </c>
      <c r="CH109" s="199"/>
      <c r="CI109" s="199"/>
      <c r="CJ109" s="199"/>
      <c r="CK109" s="214" t="s">
        <v>389</v>
      </c>
      <c r="CL109" s="214"/>
      <c r="CM109" s="211">
        <v>183</v>
      </c>
      <c r="CN109" s="215"/>
      <c r="CO109" s="215"/>
      <c r="CP109" s="216"/>
      <c r="CQ109" s="217"/>
      <c r="CR109" s="211"/>
      <c r="CS109" s="218"/>
      <c r="CT109" s="218"/>
      <c r="CU109" s="218"/>
      <c r="CV109" s="211"/>
      <c r="CW109" s="211"/>
      <c r="CX109" s="211"/>
      <c r="CY109" s="211"/>
      <c r="CZ109" s="211"/>
      <c r="DA109" s="211"/>
      <c r="DB109" s="211"/>
      <c r="DC109" s="219"/>
      <c r="DD109" s="219"/>
      <c r="DE109" s="219"/>
      <c r="DF109" s="211"/>
      <c r="DG109" s="211"/>
      <c r="DH109" s="211"/>
      <c r="DI109" s="211"/>
      <c r="DJ109" s="211"/>
      <c r="DK109" s="220" t="s">
        <v>32</v>
      </c>
      <c r="DT109" s="222"/>
    </row>
    <row r="110" spans="1:124" s="176" customFormat="1" ht="42" x14ac:dyDescent="0.2">
      <c r="A110" s="195" t="s">
        <v>379</v>
      </c>
      <c r="B110" s="197" t="s">
        <v>390</v>
      </c>
      <c r="C110" s="198">
        <v>1</v>
      </c>
      <c r="D110" s="199">
        <v>790000</v>
      </c>
      <c r="E110" s="198" t="s">
        <v>386</v>
      </c>
      <c r="F110" s="198" t="s">
        <v>377</v>
      </c>
      <c r="G110" s="198" t="s">
        <v>123</v>
      </c>
      <c r="H110" s="200">
        <v>1</v>
      </c>
      <c r="I110" s="199">
        <f t="shared" si="127"/>
        <v>0</v>
      </c>
      <c r="J110" s="199">
        <f t="shared" si="128"/>
        <v>790000</v>
      </c>
      <c r="K110" s="199">
        <f t="shared" si="129"/>
        <v>790000</v>
      </c>
      <c r="L110" s="199"/>
      <c r="M110" s="199">
        <v>790000</v>
      </c>
      <c r="N110" s="199">
        <f t="shared" si="130"/>
        <v>790000</v>
      </c>
      <c r="O110" s="199"/>
      <c r="P110" s="201">
        <v>0</v>
      </c>
      <c r="Q110" s="202">
        <v>12</v>
      </c>
      <c r="R110" s="203">
        <v>45566</v>
      </c>
      <c r="S110" s="204"/>
      <c r="T110" s="204">
        <v>790000</v>
      </c>
      <c r="U110" s="204">
        <f t="shared" si="131"/>
        <v>790000</v>
      </c>
      <c r="V110" s="205"/>
      <c r="W110" s="200"/>
      <c r="X110" s="201"/>
      <c r="Y110" s="201">
        <v>-211.28</v>
      </c>
      <c r="Z110" s="201">
        <f t="shared" si="132"/>
        <v>-211.28</v>
      </c>
      <c r="AA110" s="198"/>
      <c r="AB110" s="206"/>
      <c r="AC110" s="207"/>
      <c r="AD110" s="201"/>
      <c r="AE110" s="204">
        <f t="shared" si="133"/>
        <v>0</v>
      </c>
      <c r="AF110" s="203">
        <f t="shared" si="134"/>
        <v>45566</v>
      </c>
      <c r="AG110" s="201">
        <f t="shared" si="135"/>
        <v>0</v>
      </c>
      <c r="AH110" s="199">
        <f t="shared" si="136"/>
        <v>789788.72</v>
      </c>
      <c r="AI110" s="199">
        <f t="shared" si="137"/>
        <v>789788.72</v>
      </c>
      <c r="AJ110" s="201">
        <f t="shared" si="164"/>
        <v>0</v>
      </c>
      <c r="AK110" s="201">
        <f t="shared" si="164"/>
        <v>789788.72</v>
      </c>
      <c r="AL110" s="201">
        <f t="shared" si="139"/>
        <v>789788.72</v>
      </c>
      <c r="AM110" s="198"/>
      <c r="AN110" s="203"/>
      <c r="AO110" s="208"/>
      <c r="AP110" s="201">
        <f t="shared" si="140"/>
        <v>0</v>
      </c>
      <c r="AQ110" s="201">
        <f t="shared" si="141"/>
        <v>789185.72</v>
      </c>
      <c r="AR110" s="201">
        <f t="shared" si="142"/>
        <v>789185.72</v>
      </c>
      <c r="AS110" s="201">
        <f t="shared" si="143"/>
        <v>99.923650466924883</v>
      </c>
      <c r="AT110" s="201"/>
      <c r="AU110" s="209">
        <v>789185.72</v>
      </c>
      <c r="AV110" s="201">
        <f t="shared" si="144"/>
        <v>789185.72</v>
      </c>
      <c r="AW110" s="201">
        <f t="shared" si="157"/>
        <v>0</v>
      </c>
      <c r="AX110" s="201">
        <f t="shared" si="145"/>
        <v>99.923650466924883</v>
      </c>
      <c r="AY110" s="208"/>
      <c r="AZ110" s="201">
        <f t="shared" si="146"/>
        <v>0</v>
      </c>
      <c r="BA110" s="201">
        <f t="shared" si="147"/>
        <v>0</v>
      </c>
      <c r="BB110" s="201">
        <f t="shared" si="148"/>
        <v>0</v>
      </c>
      <c r="BC110" s="201"/>
      <c r="BD110" s="223">
        <v>0</v>
      </c>
      <c r="BE110" s="201">
        <f t="shared" si="149"/>
        <v>0</v>
      </c>
      <c r="BF110" s="208"/>
      <c r="BG110" s="201">
        <f t="shared" si="165"/>
        <v>0</v>
      </c>
      <c r="BH110" s="201">
        <f t="shared" si="165"/>
        <v>789185.72</v>
      </c>
      <c r="BI110" s="201">
        <f t="shared" si="151"/>
        <v>789185.72</v>
      </c>
      <c r="BJ110" s="201">
        <f t="shared" si="163"/>
        <v>99.923650466924883</v>
      </c>
      <c r="BK110" s="210">
        <v>35</v>
      </c>
      <c r="BL110" s="210">
        <v>100</v>
      </c>
      <c r="BM110" s="211"/>
      <c r="BN110" s="211"/>
      <c r="BO110" s="212">
        <f t="shared" si="152"/>
        <v>0</v>
      </c>
      <c r="BP110" s="201">
        <f t="shared" si="153"/>
        <v>603</v>
      </c>
      <c r="BQ110" s="201">
        <f t="shared" si="158"/>
        <v>603</v>
      </c>
      <c r="BR110" s="201">
        <f t="shared" si="166"/>
        <v>0</v>
      </c>
      <c r="BS110" s="201">
        <f t="shared" si="166"/>
        <v>603</v>
      </c>
      <c r="BT110" s="201">
        <f t="shared" si="160"/>
        <v>603</v>
      </c>
      <c r="BU110" s="213">
        <f t="shared" si="161"/>
        <v>0</v>
      </c>
      <c r="BV110" s="201">
        <v>211.28</v>
      </c>
      <c r="BW110" s="201"/>
      <c r="BX110" s="201">
        <f t="shared" si="162"/>
        <v>211.28</v>
      </c>
      <c r="BY110" s="199">
        <v>263400</v>
      </c>
      <c r="BZ110" s="199">
        <v>263300</v>
      </c>
      <c r="CA110" s="199">
        <v>263300</v>
      </c>
      <c r="CB110" s="199">
        <v>0</v>
      </c>
      <c r="CC110" s="199">
        <v>0</v>
      </c>
      <c r="CD110" s="199">
        <v>0</v>
      </c>
      <c r="CE110" s="199">
        <v>0</v>
      </c>
      <c r="CF110" s="199">
        <v>0</v>
      </c>
      <c r="CG110" s="199">
        <v>0</v>
      </c>
      <c r="CH110" s="199"/>
      <c r="CI110" s="199"/>
      <c r="CJ110" s="199"/>
      <c r="CK110" s="214" t="s">
        <v>391</v>
      </c>
      <c r="CL110" s="214"/>
      <c r="CM110" s="211">
        <v>183</v>
      </c>
      <c r="CN110" s="215"/>
      <c r="CO110" s="215"/>
      <c r="CP110" s="216"/>
      <c r="CQ110" s="217"/>
      <c r="CR110" s="211"/>
      <c r="CS110" s="218"/>
      <c r="CT110" s="218"/>
      <c r="CU110" s="218"/>
      <c r="CV110" s="211"/>
      <c r="CW110" s="211"/>
      <c r="CX110" s="211"/>
      <c r="CY110" s="211"/>
      <c r="CZ110" s="211"/>
      <c r="DA110" s="211"/>
      <c r="DB110" s="211"/>
      <c r="DC110" s="219"/>
      <c r="DD110" s="219"/>
      <c r="DE110" s="219"/>
      <c r="DF110" s="211"/>
      <c r="DG110" s="211"/>
      <c r="DH110" s="211"/>
      <c r="DI110" s="211"/>
      <c r="DJ110" s="211"/>
      <c r="DK110" s="220" t="s">
        <v>32</v>
      </c>
      <c r="DT110" s="222"/>
    </row>
    <row r="111" spans="1:124" s="176" customFormat="1" ht="42" x14ac:dyDescent="0.2">
      <c r="A111" s="195" t="s">
        <v>379</v>
      </c>
      <c r="B111" s="197" t="s">
        <v>392</v>
      </c>
      <c r="C111" s="198">
        <v>1</v>
      </c>
      <c r="D111" s="199">
        <v>950000</v>
      </c>
      <c r="E111" s="198" t="s">
        <v>381</v>
      </c>
      <c r="F111" s="198" t="s">
        <v>377</v>
      </c>
      <c r="G111" s="198" t="s">
        <v>123</v>
      </c>
      <c r="H111" s="200">
        <v>1</v>
      </c>
      <c r="I111" s="199">
        <f t="shared" si="127"/>
        <v>0</v>
      </c>
      <c r="J111" s="199">
        <f t="shared" si="128"/>
        <v>950000</v>
      </c>
      <c r="K111" s="199">
        <f t="shared" si="129"/>
        <v>950000</v>
      </c>
      <c r="L111" s="199"/>
      <c r="M111" s="199">
        <v>950000</v>
      </c>
      <c r="N111" s="199">
        <f t="shared" si="130"/>
        <v>950000</v>
      </c>
      <c r="O111" s="199"/>
      <c r="P111" s="201">
        <v>0</v>
      </c>
      <c r="Q111" s="202">
        <v>12</v>
      </c>
      <c r="R111" s="203">
        <v>45566</v>
      </c>
      <c r="S111" s="204"/>
      <c r="T111" s="204">
        <v>950000</v>
      </c>
      <c r="U111" s="204">
        <f t="shared" si="131"/>
        <v>950000</v>
      </c>
      <c r="V111" s="205"/>
      <c r="W111" s="200"/>
      <c r="X111" s="201"/>
      <c r="Y111" s="201">
        <v>-496.03</v>
      </c>
      <c r="Z111" s="201">
        <f t="shared" si="132"/>
        <v>-496.03</v>
      </c>
      <c r="AA111" s="198"/>
      <c r="AB111" s="206"/>
      <c r="AC111" s="207"/>
      <c r="AD111" s="201"/>
      <c r="AE111" s="204">
        <f t="shared" si="133"/>
        <v>0</v>
      </c>
      <c r="AF111" s="203">
        <f t="shared" si="134"/>
        <v>45566</v>
      </c>
      <c r="AG111" s="201">
        <f t="shared" si="135"/>
        <v>0</v>
      </c>
      <c r="AH111" s="199">
        <f t="shared" si="136"/>
        <v>949503.97</v>
      </c>
      <c r="AI111" s="199">
        <f t="shared" si="137"/>
        <v>949503.97</v>
      </c>
      <c r="AJ111" s="201">
        <f t="shared" si="164"/>
        <v>0</v>
      </c>
      <c r="AK111" s="201">
        <f t="shared" si="164"/>
        <v>949503.97</v>
      </c>
      <c r="AL111" s="201">
        <f t="shared" si="139"/>
        <v>949503.97</v>
      </c>
      <c r="AM111" s="198"/>
      <c r="AN111" s="203"/>
      <c r="AO111" s="208"/>
      <c r="AP111" s="201">
        <f t="shared" si="140"/>
        <v>0</v>
      </c>
      <c r="AQ111" s="201">
        <f t="shared" si="141"/>
        <v>948867.97</v>
      </c>
      <c r="AR111" s="201">
        <f t="shared" si="142"/>
        <v>948867.97</v>
      </c>
      <c r="AS111" s="201">
        <f t="shared" si="143"/>
        <v>99.933017657630231</v>
      </c>
      <c r="AT111" s="201"/>
      <c r="AU111" s="209">
        <v>948867.97</v>
      </c>
      <c r="AV111" s="201">
        <f t="shared" si="144"/>
        <v>948867.97</v>
      </c>
      <c r="AW111" s="201">
        <f t="shared" si="157"/>
        <v>0</v>
      </c>
      <c r="AX111" s="201">
        <f t="shared" si="145"/>
        <v>99.933017657630231</v>
      </c>
      <c r="AY111" s="208"/>
      <c r="AZ111" s="201">
        <f t="shared" si="146"/>
        <v>0</v>
      </c>
      <c r="BA111" s="201">
        <f t="shared" si="147"/>
        <v>0</v>
      </c>
      <c r="BB111" s="201">
        <f t="shared" si="148"/>
        <v>0</v>
      </c>
      <c r="BC111" s="201"/>
      <c r="BD111" s="223">
        <v>0</v>
      </c>
      <c r="BE111" s="201">
        <f t="shared" si="149"/>
        <v>0</v>
      </c>
      <c r="BF111" s="208"/>
      <c r="BG111" s="201">
        <f t="shared" si="165"/>
        <v>0</v>
      </c>
      <c r="BH111" s="201">
        <f t="shared" si="165"/>
        <v>948867.97</v>
      </c>
      <c r="BI111" s="201">
        <f t="shared" si="151"/>
        <v>948867.97</v>
      </c>
      <c r="BJ111" s="201">
        <f t="shared" si="163"/>
        <v>99.933017657630231</v>
      </c>
      <c r="BK111" s="210">
        <v>50</v>
      </c>
      <c r="BL111" s="210">
        <v>100</v>
      </c>
      <c r="BM111" s="211"/>
      <c r="BN111" s="211"/>
      <c r="BO111" s="212">
        <f t="shared" si="152"/>
        <v>0</v>
      </c>
      <c r="BP111" s="201">
        <f t="shared" si="153"/>
        <v>636</v>
      </c>
      <c r="BQ111" s="201">
        <f t="shared" si="158"/>
        <v>636</v>
      </c>
      <c r="BR111" s="201">
        <f t="shared" si="166"/>
        <v>0</v>
      </c>
      <c r="BS111" s="201">
        <f t="shared" si="166"/>
        <v>636</v>
      </c>
      <c r="BT111" s="201">
        <f t="shared" si="160"/>
        <v>636</v>
      </c>
      <c r="BU111" s="213">
        <f t="shared" si="161"/>
        <v>0</v>
      </c>
      <c r="BV111" s="201">
        <v>496.03</v>
      </c>
      <c r="BW111" s="201"/>
      <c r="BX111" s="201">
        <f t="shared" si="162"/>
        <v>496.03</v>
      </c>
      <c r="BY111" s="199">
        <v>316700</v>
      </c>
      <c r="BZ111" s="199">
        <v>316700</v>
      </c>
      <c r="CA111" s="199">
        <v>316600</v>
      </c>
      <c r="CB111" s="199">
        <v>0</v>
      </c>
      <c r="CC111" s="199">
        <v>0</v>
      </c>
      <c r="CD111" s="199">
        <v>0</v>
      </c>
      <c r="CE111" s="199">
        <v>0</v>
      </c>
      <c r="CF111" s="199">
        <v>0</v>
      </c>
      <c r="CG111" s="199">
        <v>0</v>
      </c>
      <c r="CH111" s="199"/>
      <c r="CI111" s="199"/>
      <c r="CJ111" s="199"/>
      <c r="CK111" s="214" t="s">
        <v>393</v>
      </c>
      <c r="CL111" s="214"/>
      <c r="CM111" s="211">
        <v>183</v>
      </c>
      <c r="CN111" s="215"/>
      <c r="CO111" s="215"/>
      <c r="CP111" s="216"/>
      <c r="CQ111" s="217"/>
      <c r="CR111" s="211"/>
      <c r="CS111" s="218"/>
      <c r="CT111" s="218"/>
      <c r="CU111" s="218"/>
      <c r="CV111" s="211"/>
      <c r="CW111" s="211"/>
      <c r="CX111" s="211"/>
      <c r="CY111" s="211"/>
      <c r="CZ111" s="211"/>
      <c r="DA111" s="211"/>
      <c r="DB111" s="211"/>
      <c r="DC111" s="219"/>
      <c r="DD111" s="219"/>
      <c r="DE111" s="219"/>
      <c r="DF111" s="211"/>
      <c r="DG111" s="211"/>
      <c r="DH111" s="211"/>
      <c r="DI111" s="211"/>
      <c r="DJ111" s="211"/>
      <c r="DK111" s="220" t="s">
        <v>32</v>
      </c>
      <c r="DT111" s="222"/>
    </row>
    <row r="112" spans="1:124" s="176" customFormat="1" ht="42" x14ac:dyDescent="0.2">
      <c r="A112" s="195" t="s">
        <v>379</v>
      </c>
      <c r="B112" s="197" t="s">
        <v>394</v>
      </c>
      <c r="C112" s="198">
        <v>1</v>
      </c>
      <c r="D112" s="199">
        <v>550000</v>
      </c>
      <c r="E112" s="198" t="s">
        <v>386</v>
      </c>
      <c r="F112" s="198" t="s">
        <v>377</v>
      </c>
      <c r="G112" s="198" t="s">
        <v>123</v>
      </c>
      <c r="H112" s="200">
        <v>1</v>
      </c>
      <c r="I112" s="199">
        <f t="shared" si="127"/>
        <v>0</v>
      </c>
      <c r="J112" s="199">
        <f t="shared" si="128"/>
        <v>550000</v>
      </c>
      <c r="K112" s="199">
        <f t="shared" si="129"/>
        <v>550000</v>
      </c>
      <c r="L112" s="199"/>
      <c r="M112" s="199">
        <v>550000</v>
      </c>
      <c r="N112" s="199">
        <f t="shared" si="130"/>
        <v>550000</v>
      </c>
      <c r="O112" s="199"/>
      <c r="P112" s="201">
        <v>0</v>
      </c>
      <c r="Q112" s="202">
        <v>12</v>
      </c>
      <c r="R112" s="203">
        <v>45566</v>
      </c>
      <c r="S112" s="204"/>
      <c r="T112" s="204">
        <v>550000</v>
      </c>
      <c r="U112" s="204">
        <f t="shared" si="131"/>
        <v>550000</v>
      </c>
      <c r="V112" s="205"/>
      <c r="W112" s="200"/>
      <c r="X112" s="201"/>
      <c r="Y112" s="201">
        <v>-2735.79</v>
      </c>
      <c r="Z112" s="201">
        <f t="shared" si="132"/>
        <v>-2735.79</v>
      </c>
      <c r="AA112" s="198"/>
      <c r="AB112" s="206"/>
      <c r="AC112" s="207"/>
      <c r="AD112" s="201"/>
      <c r="AE112" s="204">
        <f t="shared" si="133"/>
        <v>0</v>
      </c>
      <c r="AF112" s="203">
        <f t="shared" si="134"/>
        <v>45566</v>
      </c>
      <c r="AG112" s="201">
        <f t="shared" si="135"/>
        <v>0</v>
      </c>
      <c r="AH112" s="199">
        <f t="shared" si="136"/>
        <v>547264.21</v>
      </c>
      <c r="AI112" s="199">
        <f t="shared" si="137"/>
        <v>547264.21</v>
      </c>
      <c r="AJ112" s="201">
        <f t="shared" si="164"/>
        <v>0</v>
      </c>
      <c r="AK112" s="201">
        <f t="shared" si="164"/>
        <v>547264.21</v>
      </c>
      <c r="AL112" s="201">
        <f t="shared" si="139"/>
        <v>547264.21</v>
      </c>
      <c r="AM112" s="198"/>
      <c r="AN112" s="203"/>
      <c r="AO112" s="208"/>
      <c r="AP112" s="201">
        <f t="shared" si="140"/>
        <v>0</v>
      </c>
      <c r="AQ112" s="201">
        <f t="shared" si="141"/>
        <v>546833.21</v>
      </c>
      <c r="AR112" s="201">
        <f t="shared" si="142"/>
        <v>546833.21</v>
      </c>
      <c r="AS112" s="201">
        <f t="shared" si="143"/>
        <v>99.921244621496456</v>
      </c>
      <c r="AT112" s="201"/>
      <c r="AU112" s="209">
        <v>546833.21</v>
      </c>
      <c r="AV112" s="201">
        <f t="shared" si="144"/>
        <v>546833.21</v>
      </c>
      <c r="AW112" s="201">
        <f t="shared" si="157"/>
        <v>0</v>
      </c>
      <c r="AX112" s="201">
        <f t="shared" si="145"/>
        <v>99.921244621496456</v>
      </c>
      <c r="AY112" s="208"/>
      <c r="AZ112" s="201">
        <f t="shared" si="146"/>
        <v>0</v>
      </c>
      <c r="BA112" s="201">
        <f t="shared" si="147"/>
        <v>0</v>
      </c>
      <c r="BB112" s="201">
        <f t="shared" si="148"/>
        <v>0</v>
      </c>
      <c r="BC112" s="201"/>
      <c r="BD112" s="223">
        <v>0</v>
      </c>
      <c r="BE112" s="201">
        <f t="shared" si="149"/>
        <v>0</v>
      </c>
      <c r="BF112" s="208"/>
      <c r="BG112" s="201">
        <f t="shared" si="165"/>
        <v>0</v>
      </c>
      <c r="BH112" s="201">
        <f t="shared" si="165"/>
        <v>546833.21</v>
      </c>
      <c r="BI112" s="201">
        <f t="shared" si="151"/>
        <v>546833.21</v>
      </c>
      <c r="BJ112" s="201">
        <f t="shared" si="163"/>
        <v>99.921244621496456</v>
      </c>
      <c r="BK112" s="210">
        <v>50</v>
      </c>
      <c r="BL112" s="210">
        <v>100</v>
      </c>
      <c r="BM112" s="211"/>
      <c r="BN112" s="211"/>
      <c r="BO112" s="212">
        <f t="shared" si="152"/>
        <v>0</v>
      </c>
      <c r="BP112" s="201">
        <f t="shared" si="153"/>
        <v>431</v>
      </c>
      <c r="BQ112" s="201">
        <f t="shared" si="158"/>
        <v>431</v>
      </c>
      <c r="BR112" s="201">
        <f t="shared" si="166"/>
        <v>0</v>
      </c>
      <c r="BS112" s="201">
        <f t="shared" si="166"/>
        <v>431</v>
      </c>
      <c r="BT112" s="201">
        <f t="shared" si="160"/>
        <v>431</v>
      </c>
      <c r="BU112" s="213">
        <f t="shared" si="161"/>
        <v>0</v>
      </c>
      <c r="BV112" s="201">
        <v>2735.79</v>
      </c>
      <c r="BW112" s="201"/>
      <c r="BX112" s="201">
        <f t="shared" si="162"/>
        <v>2735.79</v>
      </c>
      <c r="BY112" s="199">
        <v>183400</v>
      </c>
      <c r="BZ112" s="199">
        <v>183300</v>
      </c>
      <c r="CA112" s="199">
        <v>183300</v>
      </c>
      <c r="CB112" s="199">
        <v>0</v>
      </c>
      <c r="CC112" s="199">
        <v>0</v>
      </c>
      <c r="CD112" s="199">
        <v>0</v>
      </c>
      <c r="CE112" s="199">
        <v>0</v>
      </c>
      <c r="CF112" s="199">
        <v>0</v>
      </c>
      <c r="CG112" s="199">
        <v>0</v>
      </c>
      <c r="CH112" s="199"/>
      <c r="CI112" s="199"/>
      <c r="CJ112" s="199"/>
      <c r="CK112" s="214" t="s">
        <v>395</v>
      </c>
      <c r="CL112" s="214"/>
      <c r="CM112" s="211">
        <v>183</v>
      </c>
      <c r="CN112" s="215"/>
      <c r="CO112" s="215"/>
      <c r="CP112" s="216"/>
      <c r="CQ112" s="217"/>
      <c r="CR112" s="211"/>
      <c r="CS112" s="218"/>
      <c r="CT112" s="218"/>
      <c r="CU112" s="218"/>
      <c r="CV112" s="211"/>
      <c r="CW112" s="211"/>
      <c r="CX112" s="211"/>
      <c r="CY112" s="211"/>
      <c r="CZ112" s="211"/>
      <c r="DA112" s="211"/>
      <c r="DB112" s="211"/>
      <c r="DC112" s="219"/>
      <c r="DD112" s="219"/>
      <c r="DE112" s="219"/>
      <c r="DF112" s="211"/>
      <c r="DG112" s="211"/>
      <c r="DH112" s="211"/>
      <c r="DI112" s="211"/>
      <c r="DJ112" s="211"/>
      <c r="DK112" s="220" t="s">
        <v>32</v>
      </c>
      <c r="DT112" s="222"/>
    </row>
    <row r="113" spans="1:124" s="176" customFormat="1" ht="42" x14ac:dyDescent="0.2">
      <c r="A113" s="195" t="s">
        <v>379</v>
      </c>
      <c r="B113" s="197" t="s">
        <v>396</v>
      </c>
      <c r="C113" s="198">
        <v>1</v>
      </c>
      <c r="D113" s="199">
        <v>900000</v>
      </c>
      <c r="E113" s="198" t="s">
        <v>372</v>
      </c>
      <c r="F113" s="198" t="s">
        <v>373</v>
      </c>
      <c r="G113" s="198" t="s">
        <v>123</v>
      </c>
      <c r="H113" s="200">
        <v>1</v>
      </c>
      <c r="I113" s="199">
        <f t="shared" si="127"/>
        <v>0</v>
      </c>
      <c r="J113" s="199">
        <f t="shared" si="128"/>
        <v>900000</v>
      </c>
      <c r="K113" s="199">
        <f t="shared" si="129"/>
        <v>900000</v>
      </c>
      <c r="L113" s="199"/>
      <c r="M113" s="199">
        <v>900000</v>
      </c>
      <c r="N113" s="199">
        <f t="shared" si="130"/>
        <v>900000</v>
      </c>
      <c r="O113" s="199"/>
      <c r="P113" s="201">
        <v>0</v>
      </c>
      <c r="Q113" s="202">
        <v>12</v>
      </c>
      <c r="R113" s="203">
        <v>45566</v>
      </c>
      <c r="S113" s="204"/>
      <c r="T113" s="204">
        <v>900000</v>
      </c>
      <c r="U113" s="204">
        <f t="shared" si="131"/>
        <v>900000</v>
      </c>
      <c r="V113" s="205"/>
      <c r="W113" s="200"/>
      <c r="X113" s="201"/>
      <c r="Y113" s="201">
        <v>-273.3</v>
      </c>
      <c r="Z113" s="201">
        <f t="shared" si="132"/>
        <v>-273.3</v>
      </c>
      <c r="AA113" s="198"/>
      <c r="AB113" s="206"/>
      <c r="AC113" s="207"/>
      <c r="AD113" s="201"/>
      <c r="AE113" s="204">
        <f t="shared" si="133"/>
        <v>0</v>
      </c>
      <c r="AF113" s="203">
        <f t="shared" si="134"/>
        <v>45566</v>
      </c>
      <c r="AG113" s="201">
        <f t="shared" si="135"/>
        <v>0</v>
      </c>
      <c r="AH113" s="199">
        <f t="shared" si="136"/>
        <v>899726.7</v>
      </c>
      <c r="AI113" s="199">
        <f t="shared" si="137"/>
        <v>899726.7</v>
      </c>
      <c r="AJ113" s="201">
        <f t="shared" si="164"/>
        <v>0</v>
      </c>
      <c r="AK113" s="201">
        <f t="shared" si="164"/>
        <v>899726.7</v>
      </c>
      <c r="AL113" s="201">
        <f t="shared" si="139"/>
        <v>899726.7</v>
      </c>
      <c r="AM113" s="198"/>
      <c r="AN113" s="203"/>
      <c r="AO113" s="208"/>
      <c r="AP113" s="201">
        <f t="shared" si="140"/>
        <v>0</v>
      </c>
      <c r="AQ113" s="201">
        <f t="shared" si="141"/>
        <v>897789.7</v>
      </c>
      <c r="AR113" s="201">
        <f t="shared" si="142"/>
        <v>897789.7</v>
      </c>
      <c r="AS113" s="201">
        <f t="shared" si="143"/>
        <v>99.784712402110557</v>
      </c>
      <c r="AT113" s="201"/>
      <c r="AU113" s="209">
        <v>897789.7</v>
      </c>
      <c r="AV113" s="201">
        <f t="shared" si="144"/>
        <v>897789.7</v>
      </c>
      <c r="AW113" s="201">
        <f t="shared" si="157"/>
        <v>0</v>
      </c>
      <c r="AX113" s="201">
        <f t="shared" si="145"/>
        <v>99.784712402110557</v>
      </c>
      <c r="AY113" s="208"/>
      <c r="AZ113" s="201">
        <f t="shared" si="146"/>
        <v>0</v>
      </c>
      <c r="BA113" s="201">
        <f t="shared" si="147"/>
        <v>0</v>
      </c>
      <c r="BB113" s="201">
        <f t="shared" si="148"/>
        <v>0</v>
      </c>
      <c r="BC113" s="201"/>
      <c r="BD113" s="223">
        <v>0</v>
      </c>
      <c r="BE113" s="201">
        <f t="shared" si="149"/>
        <v>0</v>
      </c>
      <c r="BF113" s="208"/>
      <c r="BG113" s="201">
        <f t="shared" si="165"/>
        <v>0</v>
      </c>
      <c r="BH113" s="201">
        <f t="shared" si="165"/>
        <v>897789.7</v>
      </c>
      <c r="BI113" s="201">
        <f t="shared" si="151"/>
        <v>897789.7</v>
      </c>
      <c r="BJ113" s="201">
        <f t="shared" si="163"/>
        <v>99.784712402110557</v>
      </c>
      <c r="BK113" s="210">
        <v>5</v>
      </c>
      <c r="BL113" s="210">
        <v>100</v>
      </c>
      <c r="BM113" s="211"/>
      <c r="BN113" s="211"/>
      <c r="BO113" s="212">
        <f t="shared" si="152"/>
        <v>0</v>
      </c>
      <c r="BP113" s="201">
        <f t="shared" si="153"/>
        <v>1937</v>
      </c>
      <c r="BQ113" s="201">
        <f t="shared" si="158"/>
        <v>1937</v>
      </c>
      <c r="BR113" s="201">
        <f t="shared" si="166"/>
        <v>0</v>
      </c>
      <c r="BS113" s="201">
        <f t="shared" si="166"/>
        <v>1937</v>
      </c>
      <c r="BT113" s="201">
        <f t="shared" si="160"/>
        <v>1937</v>
      </c>
      <c r="BU113" s="213">
        <f t="shared" si="161"/>
        <v>0</v>
      </c>
      <c r="BV113" s="201">
        <v>273.3</v>
      </c>
      <c r="BW113" s="201"/>
      <c r="BX113" s="201">
        <f t="shared" si="162"/>
        <v>273.3</v>
      </c>
      <c r="BY113" s="199">
        <v>300000</v>
      </c>
      <c r="BZ113" s="199">
        <v>300000</v>
      </c>
      <c r="CA113" s="199">
        <v>300000</v>
      </c>
      <c r="CB113" s="199">
        <v>0</v>
      </c>
      <c r="CC113" s="199">
        <v>0</v>
      </c>
      <c r="CD113" s="199">
        <v>0</v>
      </c>
      <c r="CE113" s="199">
        <v>0</v>
      </c>
      <c r="CF113" s="199">
        <v>0</v>
      </c>
      <c r="CG113" s="199">
        <v>0</v>
      </c>
      <c r="CH113" s="199"/>
      <c r="CI113" s="199"/>
      <c r="CJ113" s="199"/>
      <c r="CK113" s="214" t="s">
        <v>397</v>
      </c>
      <c r="CL113" s="214"/>
      <c r="CM113" s="211">
        <v>183</v>
      </c>
      <c r="CN113" s="215"/>
      <c r="CO113" s="215"/>
      <c r="CP113" s="216"/>
      <c r="CQ113" s="217"/>
      <c r="CR113" s="211"/>
      <c r="CS113" s="218"/>
      <c r="CT113" s="218"/>
      <c r="CU113" s="218"/>
      <c r="CV113" s="211"/>
      <c r="CW113" s="211"/>
      <c r="CX113" s="211"/>
      <c r="CY113" s="211"/>
      <c r="CZ113" s="211"/>
      <c r="DA113" s="211"/>
      <c r="DB113" s="211"/>
      <c r="DC113" s="219"/>
      <c r="DD113" s="219"/>
      <c r="DE113" s="219"/>
      <c r="DF113" s="211"/>
      <c r="DG113" s="211"/>
      <c r="DH113" s="211"/>
      <c r="DI113" s="211"/>
      <c r="DJ113" s="211"/>
      <c r="DK113" s="220" t="s">
        <v>32</v>
      </c>
      <c r="DT113" s="222"/>
    </row>
    <row r="114" spans="1:124" s="176" customFormat="1" ht="42" x14ac:dyDescent="0.2">
      <c r="A114" s="195" t="s">
        <v>119</v>
      </c>
      <c r="B114" s="197" t="s">
        <v>398</v>
      </c>
      <c r="C114" s="198">
        <v>1</v>
      </c>
      <c r="D114" s="199">
        <v>1950000</v>
      </c>
      <c r="E114" s="198"/>
      <c r="F114" s="198"/>
      <c r="G114" s="198" t="s">
        <v>123</v>
      </c>
      <c r="H114" s="200">
        <v>1</v>
      </c>
      <c r="I114" s="199">
        <f t="shared" si="127"/>
        <v>0</v>
      </c>
      <c r="J114" s="199">
        <f t="shared" si="128"/>
        <v>1950000</v>
      </c>
      <c r="K114" s="199">
        <f t="shared" si="129"/>
        <v>1950000</v>
      </c>
      <c r="L114" s="199"/>
      <c r="M114" s="199">
        <v>1950000</v>
      </c>
      <c r="N114" s="199">
        <f t="shared" si="130"/>
        <v>1950000</v>
      </c>
      <c r="O114" s="199"/>
      <c r="P114" s="201">
        <v>0</v>
      </c>
      <c r="Q114" s="202">
        <v>12</v>
      </c>
      <c r="R114" s="203">
        <v>45566</v>
      </c>
      <c r="S114" s="204"/>
      <c r="T114" s="204">
        <v>1950000</v>
      </c>
      <c r="U114" s="204">
        <f t="shared" si="131"/>
        <v>1950000</v>
      </c>
      <c r="V114" s="205"/>
      <c r="W114" s="200"/>
      <c r="X114" s="201"/>
      <c r="Y114" s="201"/>
      <c r="Z114" s="201">
        <f t="shared" si="132"/>
        <v>0</v>
      </c>
      <c r="AA114" s="198"/>
      <c r="AB114" s="206"/>
      <c r="AC114" s="207"/>
      <c r="AD114" s="201"/>
      <c r="AE114" s="204">
        <f t="shared" si="133"/>
        <v>0</v>
      </c>
      <c r="AF114" s="203">
        <f t="shared" si="134"/>
        <v>45566</v>
      </c>
      <c r="AG114" s="201">
        <f t="shared" si="135"/>
        <v>0</v>
      </c>
      <c r="AH114" s="199">
        <f t="shared" si="136"/>
        <v>1950000</v>
      </c>
      <c r="AI114" s="199">
        <f t="shared" si="137"/>
        <v>1950000</v>
      </c>
      <c r="AJ114" s="201">
        <f t="shared" si="164"/>
        <v>0</v>
      </c>
      <c r="AK114" s="201">
        <f t="shared" si="164"/>
        <v>1950000</v>
      </c>
      <c r="AL114" s="201">
        <f t="shared" si="139"/>
        <v>1950000</v>
      </c>
      <c r="AM114" s="198"/>
      <c r="AN114" s="203"/>
      <c r="AO114" s="208"/>
      <c r="AP114" s="201">
        <f t="shared" si="140"/>
        <v>0</v>
      </c>
      <c r="AQ114" s="201">
        <f t="shared" si="141"/>
        <v>770072.86</v>
      </c>
      <c r="AR114" s="201">
        <f t="shared" si="142"/>
        <v>770072.86</v>
      </c>
      <c r="AS114" s="201">
        <f t="shared" si="143"/>
        <v>39.490915897435897</v>
      </c>
      <c r="AT114" s="201"/>
      <c r="AU114" s="209">
        <v>770072.86</v>
      </c>
      <c r="AV114" s="201">
        <f t="shared" si="144"/>
        <v>770072.86</v>
      </c>
      <c r="AW114" s="201">
        <f t="shared" si="157"/>
        <v>0</v>
      </c>
      <c r="AX114" s="201">
        <f t="shared" si="145"/>
        <v>39.490915897435897</v>
      </c>
      <c r="AY114" s="208"/>
      <c r="AZ114" s="201">
        <f t="shared" si="146"/>
        <v>0</v>
      </c>
      <c r="BA114" s="201">
        <f t="shared" si="147"/>
        <v>49597.41</v>
      </c>
      <c r="BB114" s="201">
        <f t="shared" si="148"/>
        <v>49597.41</v>
      </c>
      <c r="BC114" s="201"/>
      <c r="BD114" s="223">
        <v>49597.41</v>
      </c>
      <c r="BE114" s="201">
        <f t="shared" si="149"/>
        <v>49597.41</v>
      </c>
      <c r="BF114" s="208"/>
      <c r="BG114" s="201">
        <f t="shared" si="165"/>
        <v>0</v>
      </c>
      <c r="BH114" s="201">
        <f t="shared" si="165"/>
        <v>819670.27</v>
      </c>
      <c r="BI114" s="201">
        <f t="shared" si="151"/>
        <v>819670.27</v>
      </c>
      <c r="BJ114" s="201">
        <f t="shared" si="163"/>
        <v>42.034372820512822</v>
      </c>
      <c r="BK114" s="210">
        <v>0</v>
      </c>
      <c r="BL114" s="210">
        <v>20</v>
      </c>
      <c r="BM114" s="211"/>
      <c r="BN114" s="211"/>
      <c r="BO114" s="212">
        <f t="shared" si="152"/>
        <v>0</v>
      </c>
      <c r="BP114" s="201">
        <f t="shared" si="153"/>
        <v>1179927.1400000001</v>
      </c>
      <c r="BQ114" s="201">
        <f t="shared" si="158"/>
        <v>1179927.1400000001</v>
      </c>
      <c r="BR114" s="201">
        <f t="shared" si="166"/>
        <v>0</v>
      </c>
      <c r="BS114" s="201">
        <f t="shared" si="166"/>
        <v>1179927.1400000001</v>
      </c>
      <c r="BT114" s="201">
        <f t="shared" si="160"/>
        <v>1179927.1400000001</v>
      </c>
      <c r="BU114" s="213">
        <f t="shared" si="161"/>
        <v>0</v>
      </c>
      <c r="BV114" s="201"/>
      <c r="BW114" s="201"/>
      <c r="BX114" s="201">
        <f t="shared" si="162"/>
        <v>0</v>
      </c>
      <c r="BY114" s="199">
        <v>305700</v>
      </c>
      <c r="BZ114" s="199">
        <v>215700</v>
      </c>
      <c r="CA114" s="199">
        <v>275700</v>
      </c>
      <c r="CB114" s="199">
        <v>305700</v>
      </c>
      <c r="CC114" s="199">
        <v>355800</v>
      </c>
      <c r="CD114" s="199">
        <v>215700</v>
      </c>
      <c r="CE114" s="199">
        <v>275700</v>
      </c>
      <c r="CF114" s="199"/>
      <c r="CG114" s="199">
        <v>0</v>
      </c>
      <c r="CH114" s="199"/>
      <c r="CI114" s="199"/>
      <c r="CJ114" s="199"/>
      <c r="CK114" s="214" t="s">
        <v>399</v>
      </c>
      <c r="CL114" s="214" t="s">
        <v>276</v>
      </c>
      <c r="CM114" s="211">
        <v>185</v>
      </c>
      <c r="CN114" s="215"/>
      <c r="CO114" s="215"/>
      <c r="CP114" s="216"/>
      <c r="CQ114" s="217"/>
      <c r="CR114" s="211"/>
      <c r="CS114" s="218"/>
      <c r="CT114" s="218"/>
      <c r="CU114" s="218"/>
      <c r="CV114" s="211"/>
      <c r="CW114" s="211"/>
      <c r="CX114" s="211"/>
      <c r="CY114" s="211"/>
      <c r="CZ114" s="211"/>
      <c r="DA114" s="211"/>
      <c r="DB114" s="211"/>
      <c r="DC114" s="219"/>
      <c r="DD114" s="219"/>
      <c r="DE114" s="219"/>
      <c r="DF114" s="211"/>
      <c r="DG114" s="211"/>
      <c r="DH114" s="211"/>
      <c r="DI114" s="211"/>
      <c r="DJ114" s="211"/>
      <c r="DK114" s="220" t="s">
        <v>32</v>
      </c>
      <c r="DT114" s="222"/>
    </row>
    <row r="115" spans="1:124" s="176" customFormat="1" ht="42" x14ac:dyDescent="0.2">
      <c r="A115" s="195" t="s">
        <v>119</v>
      </c>
      <c r="B115" s="197" t="s">
        <v>400</v>
      </c>
      <c r="C115" s="198">
        <v>1</v>
      </c>
      <c r="D115" s="199">
        <v>1500000</v>
      </c>
      <c r="E115" s="198" t="s">
        <v>401</v>
      </c>
      <c r="F115" s="198" t="s">
        <v>127</v>
      </c>
      <c r="G115" s="198" t="s">
        <v>123</v>
      </c>
      <c r="H115" s="200">
        <v>1</v>
      </c>
      <c r="I115" s="199">
        <f t="shared" si="127"/>
        <v>0</v>
      </c>
      <c r="J115" s="199">
        <f t="shared" si="128"/>
        <v>1500000</v>
      </c>
      <c r="K115" s="199">
        <f t="shared" si="129"/>
        <v>1500000</v>
      </c>
      <c r="L115" s="199"/>
      <c r="M115" s="199">
        <v>1500000</v>
      </c>
      <c r="N115" s="199">
        <f t="shared" si="130"/>
        <v>1500000</v>
      </c>
      <c r="O115" s="199"/>
      <c r="P115" s="201">
        <v>0</v>
      </c>
      <c r="Q115" s="202">
        <v>12</v>
      </c>
      <c r="R115" s="203">
        <v>45566</v>
      </c>
      <c r="S115" s="204"/>
      <c r="T115" s="204">
        <v>1500000</v>
      </c>
      <c r="U115" s="204">
        <f t="shared" si="131"/>
        <v>1500000</v>
      </c>
      <c r="V115" s="205"/>
      <c r="W115" s="200"/>
      <c r="X115" s="201"/>
      <c r="Y115" s="201"/>
      <c r="Z115" s="201">
        <f t="shared" si="132"/>
        <v>0</v>
      </c>
      <c r="AA115" s="198"/>
      <c r="AB115" s="206"/>
      <c r="AC115" s="207"/>
      <c r="AD115" s="201"/>
      <c r="AE115" s="204">
        <f t="shared" si="133"/>
        <v>0</v>
      </c>
      <c r="AF115" s="203">
        <f t="shared" si="134"/>
        <v>45566</v>
      </c>
      <c r="AG115" s="201">
        <f t="shared" si="135"/>
        <v>0</v>
      </c>
      <c r="AH115" s="199">
        <f t="shared" si="136"/>
        <v>1500000</v>
      </c>
      <c r="AI115" s="199">
        <f t="shared" si="137"/>
        <v>1500000</v>
      </c>
      <c r="AJ115" s="201">
        <f t="shared" si="164"/>
        <v>0</v>
      </c>
      <c r="AK115" s="201">
        <f t="shared" si="164"/>
        <v>1500000</v>
      </c>
      <c r="AL115" s="201">
        <f t="shared" si="139"/>
        <v>1500000</v>
      </c>
      <c r="AM115" s="198"/>
      <c r="AN115" s="203"/>
      <c r="AO115" s="208"/>
      <c r="AP115" s="201">
        <f t="shared" si="140"/>
        <v>0</v>
      </c>
      <c r="AQ115" s="201">
        <f t="shared" si="141"/>
        <v>1453877.51</v>
      </c>
      <c r="AR115" s="201">
        <f t="shared" si="142"/>
        <v>1453877.51</v>
      </c>
      <c r="AS115" s="201">
        <f t="shared" si="143"/>
        <v>96.925167333333334</v>
      </c>
      <c r="AT115" s="201"/>
      <c r="AU115" s="209">
        <v>1453877.51</v>
      </c>
      <c r="AV115" s="201">
        <f t="shared" si="144"/>
        <v>1453877.51</v>
      </c>
      <c r="AW115" s="201">
        <f t="shared" si="157"/>
        <v>0</v>
      </c>
      <c r="AX115" s="201">
        <f t="shared" si="145"/>
        <v>96.925167333333334</v>
      </c>
      <c r="AY115" s="208"/>
      <c r="AZ115" s="201">
        <f t="shared" si="146"/>
        <v>0</v>
      </c>
      <c r="BA115" s="201">
        <f t="shared" si="147"/>
        <v>0</v>
      </c>
      <c r="BB115" s="201">
        <f t="shared" si="148"/>
        <v>0</v>
      </c>
      <c r="BC115" s="201"/>
      <c r="BD115" s="223">
        <v>0</v>
      </c>
      <c r="BE115" s="201">
        <f t="shared" si="149"/>
        <v>0</v>
      </c>
      <c r="BF115" s="208"/>
      <c r="BG115" s="201">
        <f t="shared" si="165"/>
        <v>0</v>
      </c>
      <c r="BH115" s="201">
        <f t="shared" si="165"/>
        <v>1453877.51</v>
      </c>
      <c r="BI115" s="201">
        <f t="shared" si="151"/>
        <v>1453877.51</v>
      </c>
      <c r="BJ115" s="201">
        <f t="shared" si="163"/>
        <v>96.925167333333334</v>
      </c>
      <c r="BK115" s="210">
        <v>0</v>
      </c>
      <c r="BL115" s="210">
        <v>100</v>
      </c>
      <c r="BM115" s="211"/>
      <c r="BN115" s="211"/>
      <c r="BO115" s="212">
        <f t="shared" si="152"/>
        <v>0</v>
      </c>
      <c r="BP115" s="201">
        <f t="shared" si="153"/>
        <v>46122.489999999991</v>
      </c>
      <c r="BQ115" s="201">
        <f t="shared" si="158"/>
        <v>46122.489999999991</v>
      </c>
      <c r="BR115" s="201">
        <f t="shared" si="166"/>
        <v>0</v>
      </c>
      <c r="BS115" s="201">
        <f t="shared" si="166"/>
        <v>46122.489999999991</v>
      </c>
      <c r="BT115" s="201">
        <f t="shared" si="160"/>
        <v>46122.489999999991</v>
      </c>
      <c r="BU115" s="213">
        <f t="shared" si="161"/>
        <v>0</v>
      </c>
      <c r="BV115" s="201"/>
      <c r="BW115" s="201"/>
      <c r="BX115" s="201">
        <f t="shared" si="162"/>
        <v>0</v>
      </c>
      <c r="BY115" s="199">
        <v>0</v>
      </c>
      <c r="BZ115" s="199">
        <v>0</v>
      </c>
      <c r="CA115" s="199">
        <v>0</v>
      </c>
      <c r="CB115" s="199">
        <v>450000</v>
      </c>
      <c r="CC115" s="199">
        <v>600000</v>
      </c>
      <c r="CD115" s="199">
        <v>450000</v>
      </c>
      <c r="CE115" s="199">
        <v>0</v>
      </c>
      <c r="CF115" s="199">
        <v>0</v>
      </c>
      <c r="CG115" s="199">
        <v>0</v>
      </c>
      <c r="CH115" s="199">
        <v>0</v>
      </c>
      <c r="CI115" s="199">
        <v>0</v>
      </c>
      <c r="CJ115" s="199">
        <v>0</v>
      </c>
      <c r="CK115" s="214" t="s">
        <v>402</v>
      </c>
      <c r="CL115" s="214" t="s">
        <v>276</v>
      </c>
      <c r="CM115" s="211">
        <v>185</v>
      </c>
      <c r="CN115" s="215"/>
      <c r="CO115" s="215"/>
      <c r="CP115" s="216"/>
      <c r="CQ115" s="217"/>
      <c r="CR115" s="211"/>
      <c r="CS115" s="218"/>
      <c r="CT115" s="218"/>
      <c r="CU115" s="218"/>
      <c r="CV115" s="211"/>
      <c r="CW115" s="211"/>
      <c r="CX115" s="211"/>
      <c r="CY115" s="211"/>
      <c r="CZ115" s="211"/>
      <c r="DA115" s="211"/>
      <c r="DB115" s="211"/>
      <c r="DC115" s="219"/>
      <c r="DD115" s="219"/>
      <c r="DE115" s="219"/>
      <c r="DF115" s="211"/>
      <c r="DG115" s="211"/>
      <c r="DH115" s="211"/>
      <c r="DI115" s="211"/>
      <c r="DJ115" s="211"/>
      <c r="DK115" s="220" t="s">
        <v>32</v>
      </c>
      <c r="DT115" s="222"/>
    </row>
    <row r="116" spans="1:124" s="176" customFormat="1" ht="42" x14ac:dyDescent="0.2">
      <c r="A116" s="195" t="s">
        <v>119</v>
      </c>
      <c r="B116" s="197" t="s">
        <v>403</v>
      </c>
      <c r="C116" s="198">
        <v>1</v>
      </c>
      <c r="D116" s="199">
        <v>580000</v>
      </c>
      <c r="E116" s="198" t="s">
        <v>404</v>
      </c>
      <c r="F116" s="198" t="s">
        <v>405</v>
      </c>
      <c r="G116" s="198" t="s">
        <v>123</v>
      </c>
      <c r="H116" s="200">
        <v>1</v>
      </c>
      <c r="I116" s="199">
        <f t="shared" si="127"/>
        <v>0</v>
      </c>
      <c r="J116" s="199">
        <f t="shared" si="128"/>
        <v>580000</v>
      </c>
      <c r="K116" s="199">
        <f t="shared" si="129"/>
        <v>580000</v>
      </c>
      <c r="L116" s="199"/>
      <c r="M116" s="199">
        <v>580000</v>
      </c>
      <c r="N116" s="199">
        <f t="shared" si="130"/>
        <v>580000</v>
      </c>
      <c r="O116" s="199"/>
      <c r="P116" s="201">
        <v>0</v>
      </c>
      <c r="Q116" s="202">
        <v>12</v>
      </c>
      <c r="R116" s="203">
        <v>45566</v>
      </c>
      <c r="S116" s="204"/>
      <c r="T116" s="204">
        <v>580000</v>
      </c>
      <c r="U116" s="204">
        <f t="shared" si="131"/>
        <v>580000</v>
      </c>
      <c r="V116" s="205"/>
      <c r="W116" s="200"/>
      <c r="X116" s="201"/>
      <c r="Y116" s="201"/>
      <c r="Z116" s="201">
        <f t="shared" si="132"/>
        <v>0</v>
      </c>
      <c r="AA116" s="198"/>
      <c r="AB116" s="206"/>
      <c r="AC116" s="207"/>
      <c r="AD116" s="201"/>
      <c r="AE116" s="204">
        <f t="shared" si="133"/>
        <v>0</v>
      </c>
      <c r="AF116" s="203">
        <f t="shared" si="134"/>
        <v>45566</v>
      </c>
      <c r="AG116" s="201">
        <f t="shared" si="135"/>
        <v>0</v>
      </c>
      <c r="AH116" s="199">
        <f t="shared" si="136"/>
        <v>580000</v>
      </c>
      <c r="AI116" s="199">
        <f t="shared" si="137"/>
        <v>580000</v>
      </c>
      <c r="AJ116" s="201">
        <f t="shared" si="164"/>
        <v>0</v>
      </c>
      <c r="AK116" s="201">
        <f t="shared" si="164"/>
        <v>580000</v>
      </c>
      <c r="AL116" s="201">
        <f t="shared" si="139"/>
        <v>580000</v>
      </c>
      <c r="AM116" s="198"/>
      <c r="AN116" s="203"/>
      <c r="AO116" s="208"/>
      <c r="AP116" s="201">
        <f t="shared" si="140"/>
        <v>0</v>
      </c>
      <c r="AQ116" s="201">
        <f t="shared" si="141"/>
        <v>579861.55000000005</v>
      </c>
      <c r="AR116" s="201">
        <f t="shared" si="142"/>
        <v>579861.55000000005</v>
      </c>
      <c r="AS116" s="201">
        <f t="shared" si="143"/>
        <v>99.976129310344845</v>
      </c>
      <c r="AT116" s="201"/>
      <c r="AU116" s="209">
        <v>579861.55000000005</v>
      </c>
      <c r="AV116" s="201">
        <f t="shared" si="144"/>
        <v>579861.55000000005</v>
      </c>
      <c r="AW116" s="201">
        <f t="shared" si="157"/>
        <v>60</v>
      </c>
      <c r="AX116" s="201">
        <f t="shared" si="145"/>
        <v>99.976129310344845</v>
      </c>
      <c r="AY116" s="208"/>
      <c r="AZ116" s="201">
        <f t="shared" si="146"/>
        <v>0</v>
      </c>
      <c r="BA116" s="201">
        <f t="shared" si="147"/>
        <v>0</v>
      </c>
      <c r="BB116" s="201">
        <f t="shared" si="148"/>
        <v>0</v>
      </c>
      <c r="BC116" s="201"/>
      <c r="BD116" s="223">
        <v>0</v>
      </c>
      <c r="BE116" s="201">
        <f t="shared" si="149"/>
        <v>0</v>
      </c>
      <c r="BF116" s="208"/>
      <c r="BG116" s="201">
        <f t="shared" si="165"/>
        <v>0</v>
      </c>
      <c r="BH116" s="201">
        <f t="shared" si="165"/>
        <v>579861.55000000005</v>
      </c>
      <c r="BI116" s="201">
        <f t="shared" si="151"/>
        <v>579861.55000000005</v>
      </c>
      <c r="BJ116" s="201">
        <f t="shared" si="163"/>
        <v>99.976129310344845</v>
      </c>
      <c r="BK116" s="210">
        <v>0</v>
      </c>
      <c r="BL116" s="210">
        <v>70</v>
      </c>
      <c r="BM116" s="211"/>
      <c r="BN116" s="211"/>
      <c r="BO116" s="212">
        <f t="shared" si="152"/>
        <v>0</v>
      </c>
      <c r="BP116" s="201">
        <f t="shared" si="153"/>
        <v>138.44999999995343</v>
      </c>
      <c r="BQ116" s="201">
        <f t="shared" si="158"/>
        <v>138.44999999995343</v>
      </c>
      <c r="BR116" s="201">
        <f t="shared" si="166"/>
        <v>0</v>
      </c>
      <c r="BS116" s="201">
        <f t="shared" si="166"/>
        <v>138.44999999995343</v>
      </c>
      <c r="BT116" s="201">
        <f t="shared" si="160"/>
        <v>138.44999999995343</v>
      </c>
      <c r="BU116" s="213">
        <f t="shared" si="161"/>
        <v>0</v>
      </c>
      <c r="BV116" s="201"/>
      <c r="BW116" s="201"/>
      <c r="BX116" s="201">
        <f t="shared" si="162"/>
        <v>0</v>
      </c>
      <c r="BY116" s="199">
        <v>0</v>
      </c>
      <c r="BZ116" s="199">
        <v>0</v>
      </c>
      <c r="CA116" s="199">
        <v>0</v>
      </c>
      <c r="CB116" s="199">
        <v>0</v>
      </c>
      <c r="CC116" s="199">
        <v>0</v>
      </c>
      <c r="CD116" s="199">
        <v>0</v>
      </c>
      <c r="CE116" s="199">
        <v>232000</v>
      </c>
      <c r="CF116" s="199">
        <v>348000</v>
      </c>
      <c r="CG116" s="199">
        <v>0</v>
      </c>
      <c r="CH116" s="199">
        <v>0</v>
      </c>
      <c r="CI116" s="199">
        <v>0</v>
      </c>
      <c r="CJ116" s="199">
        <v>0</v>
      </c>
      <c r="CK116" s="214" t="s">
        <v>406</v>
      </c>
      <c r="CL116" s="214" t="s">
        <v>276</v>
      </c>
      <c r="CM116" s="211">
        <v>185</v>
      </c>
      <c r="CN116" s="215"/>
      <c r="CO116" s="215"/>
      <c r="CP116" s="216"/>
      <c r="CQ116" s="217"/>
      <c r="CR116" s="211"/>
      <c r="CS116" s="218"/>
      <c r="CT116" s="218"/>
      <c r="CU116" s="218"/>
      <c r="CV116" s="211"/>
      <c r="CW116" s="211"/>
      <c r="CX116" s="211"/>
      <c r="CY116" s="211"/>
      <c r="CZ116" s="211"/>
      <c r="DA116" s="211"/>
      <c r="DB116" s="211"/>
      <c r="DC116" s="219"/>
      <c r="DD116" s="219"/>
      <c r="DE116" s="219"/>
      <c r="DF116" s="211"/>
      <c r="DG116" s="211"/>
      <c r="DH116" s="211"/>
      <c r="DI116" s="211"/>
      <c r="DJ116" s="211"/>
      <c r="DK116" s="220" t="s">
        <v>32</v>
      </c>
      <c r="DT116" s="222"/>
    </row>
    <row r="117" spans="1:124" s="176" customFormat="1" ht="42" x14ac:dyDescent="0.2">
      <c r="A117" s="195" t="s">
        <v>119</v>
      </c>
      <c r="B117" s="197" t="s">
        <v>407</v>
      </c>
      <c r="C117" s="198">
        <v>1</v>
      </c>
      <c r="D117" s="199">
        <v>1500000</v>
      </c>
      <c r="E117" s="198" t="s">
        <v>408</v>
      </c>
      <c r="F117" s="198" t="s">
        <v>409</v>
      </c>
      <c r="G117" s="198" t="s">
        <v>123</v>
      </c>
      <c r="H117" s="200">
        <v>1</v>
      </c>
      <c r="I117" s="199">
        <f t="shared" si="127"/>
        <v>0</v>
      </c>
      <c r="J117" s="199">
        <f t="shared" si="128"/>
        <v>1500000</v>
      </c>
      <c r="K117" s="199">
        <f t="shared" si="129"/>
        <v>1500000</v>
      </c>
      <c r="L117" s="199"/>
      <c r="M117" s="199">
        <v>1500000</v>
      </c>
      <c r="N117" s="199">
        <f t="shared" si="130"/>
        <v>1500000</v>
      </c>
      <c r="O117" s="199"/>
      <c r="P117" s="201">
        <v>0</v>
      </c>
      <c r="Q117" s="202">
        <v>12</v>
      </c>
      <c r="R117" s="203">
        <v>45566</v>
      </c>
      <c r="S117" s="204"/>
      <c r="T117" s="204">
        <v>1500000</v>
      </c>
      <c r="U117" s="204">
        <f t="shared" si="131"/>
        <v>1500000</v>
      </c>
      <c r="V117" s="205"/>
      <c r="W117" s="200"/>
      <c r="X117" s="201"/>
      <c r="Y117" s="201"/>
      <c r="Z117" s="201">
        <f t="shared" si="132"/>
        <v>0</v>
      </c>
      <c r="AA117" s="198"/>
      <c r="AB117" s="206"/>
      <c r="AC117" s="207"/>
      <c r="AD117" s="201"/>
      <c r="AE117" s="204">
        <f t="shared" si="133"/>
        <v>0</v>
      </c>
      <c r="AF117" s="203">
        <f t="shared" si="134"/>
        <v>45566</v>
      </c>
      <c r="AG117" s="201">
        <f t="shared" si="135"/>
        <v>0</v>
      </c>
      <c r="AH117" s="199">
        <f t="shared" si="136"/>
        <v>1500000</v>
      </c>
      <c r="AI117" s="199">
        <f t="shared" si="137"/>
        <v>1500000</v>
      </c>
      <c r="AJ117" s="201">
        <f t="shared" si="164"/>
        <v>0</v>
      </c>
      <c r="AK117" s="201">
        <f t="shared" si="164"/>
        <v>1500000</v>
      </c>
      <c r="AL117" s="201">
        <f t="shared" si="139"/>
        <v>1500000</v>
      </c>
      <c r="AM117" s="198"/>
      <c r="AN117" s="203"/>
      <c r="AO117" s="208"/>
      <c r="AP117" s="201">
        <f t="shared" si="140"/>
        <v>0</v>
      </c>
      <c r="AQ117" s="201">
        <f t="shared" si="141"/>
        <v>1495106.79</v>
      </c>
      <c r="AR117" s="201">
        <f t="shared" si="142"/>
        <v>1495106.79</v>
      </c>
      <c r="AS117" s="201">
        <f t="shared" si="143"/>
        <v>99.673786000000007</v>
      </c>
      <c r="AT117" s="201"/>
      <c r="AU117" s="209">
        <v>1495106.79</v>
      </c>
      <c r="AV117" s="201">
        <f t="shared" si="144"/>
        <v>1495106.79</v>
      </c>
      <c r="AW117" s="201">
        <f t="shared" si="157"/>
        <v>0</v>
      </c>
      <c r="AX117" s="201">
        <f t="shared" si="145"/>
        <v>99.673786000000007</v>
      </c>
      <c r="AY117" s="208"/>
      <c r="AZ117" s="201">
        <f t="shared" si="146"/>
        <v>0</v>
      </c>
      <c r="BA117" s="201">
        <f t="shared" si="147"/>
        <v>0</v>
      </c>
      <c r="BB117" s="201">
        <f t="shared" si="148"/>
        <v>0</v>
      </c>
      <c r="BC117" s="201"/>
      <c r="BD117" s="223">
        <v>0</v>
      </c>
      <c r="BE117" s="201">
        <f t="shared" si="149"/>
        <v>0</v>
      </c>
      <c r="BF117" s="208"/>
      <c r="BG117" s="201">
        <f t="shared" si="165"/>
        <v>0</v>
      </c>
      <c r="BH117" s="201">
        <f t="shared" si="165"/>
        <v>1495106.79</v>
      </c>
      <c r="BI117" s="201">
        <f t="shared" si="151"/>
        <v>1495106.79</v>
      </c>
      <c r="BJ117" s="201">
        <f t="shared" si="163"/>
        <v>99.673786000000007</v>
      </c>
      <c r="BK117" s="210">
        <v>0</v>
      </c>
      <c r="BL117" s="210">
        <v>80</v>
      </c>
      <c r="BM117" s="211"/>
      <c r="BN117" s="211"/>
      <c r="BO117" s="212">
        <f t="shared" si="152"/>
        <v>0</v>
      </c>
      <c r="BP117" s="201">
        <f t="shared" si="153"/>
        <v>4893.2099999999627</v>
      </c>
      <c r="BQ117" s="201">
        <f t="shared" si="158"/>
        <v>4893.2099999999627</v>
      </c>
      <c r="BR117" s="201">
        <f t="shared" si="166"/>
        <v>0</v>
      </c>
      <c r="BS117" s="201">
        <f t="shared" si="166"/>
        <v>4893.2099999999627</v>
      </c>
      <c r="BT117" s="201">
        <f t="shared" si="160"/>
        <v>4893.2099999999627</v>
      </c>
      <c r="BU117" s="213">
        <f t="shared" si="161"/>
        <v>0</v>
      </c>
      <c r="BV117" s="201"/>
      <c r="BW117" s="201"/>
      <c r="BX117" s="201">
        <f t="shared" si="162"/>
        <v>0</v>
      </c>
      <c r="BY117" s="199"/>
      <c r="BZ117" s="199">
        <v>250000</v>
      </c>
      <c r="CA117" s="199">
        <v>250000</v>
      </c>
      <c r="CB117" s="199">
        <v>250000</v>
      </c>
      <c r="CC117" s="199">
        <v>250000</v>
      </c>
      <c r="CD117" s="199">
        <v>250000</v>
      </c>
      <c r="CE117" s="199">
        <v>250000</v>
      </c>
      <c r="CF117" s="199"/>
      <c r="CG117" s="199"/>
      <c r="CH117" s="199"/>
      <c r="CI117" s="199"/>
      <c r="CJ117" s="199"/>
      <c r="CK117" s="214" t="s">
        <v>410</v>
      </c>
      <c r="CL117" s="214" t="s">
        <v>276</v>
      </c>
      <c r="CM117" s="211">
        <v>185</v>
      </c>
      <c r="CN117" s="215"/>
      <c r="CO117" s="215"/>
      <c r="CP117" s="216"/>
      <c r="CQ117" s="217"/>
      <c r="CR117" s="211"/>
      <c r="CS117" s="218"/>
      <c r="CT117" s="218"/>
      <c r="CU117" s="218"/>
      <c r="CV117" s="211"/>
      <c r="CW117" s="211"/>
      <c r="CX117" s="211"/>
      <c r="CY117" s="211"/>
      <c r="CZ117" s="211"/>
      <c r="DA117" s="211"/>
      <c r="DB117" s="211"/>
      <c r="DC117" s="219"/>
      <c r="DD117" s="219"/>
      <c r="DE117" s="219"/>
      <c r="DF117" s="211"/>
      <c r="DG117" s="211"/>
      <c r="DH117" s="211"/>
      <c r="DI117" s="211"/>
      <c r="DJ117" s="211"/>
      <c r="DK117" s="220" t="s">
        <v>32</v>
      </c>
      <c r="DT117" s="222"/>
    </row>
    <row r="118" spans="1:124" s="176" customFormat="1" ht="42" x14ac:dyDescent="0.2">
      <c r="A118" s="195" t="s">
        <v>119</v>
      </c>
      <c r="B118" s="197" t="s">
        <v>411</v>
      </c>
      <c r="C118" s="198">
        <v>1</v>
      </c>
      <c r="D118" s="199">
        <v>980000</v>
      </c>
      <c r="E118" s="198" t="s">
        <v>401</v>
      </c>
      <c r="F118" s="198" t="s">
        <v>127</v>
      </c>
      <c r="G118" s="198" t="s">
        <v>123</v>
      </c>
      <c r="H118" s="200">
        <v>1</v>
      </c>
      <c r="I118" s="199">
        <f t="shared" si="127"/>
        <v>0</v>
      </c>
      <c r="J118" s="199">
        <f t="shared" si="128"/>
        <v>980000</v>
      </c>
      <c r="K118" s="199">
        <f t="shared" si="129"/>
        <v>980000</v>
      </c>
      <c r="L118" s="199"/>
      <c r="M118" s="199">
        <v>980000</v>
      </c>
      <c r="N118" s="199">
        <f t="shared" si="130"/>
        <v>980000</v>
      </c>
      <c r="O118" s="199"/>
      <c r="P118" s="201">
        <v>0</v>
      </c>
      <c r="Q118" s="202">
        <v>12</v>
      </c>
      <c r="R118" s="203">
        <v>45566</v>
      </c>
      <c r="S118" s="204"/>
      <c r="T118" s="204">
        <v>980000</v>
      </c>
      <c r="U118" s="204">
        <f t="shared" si="131"/>
        <v>980000</v>
      </c>
      <c r="V118" s="205"/>
      <c r="W118" s="200"/>
      <c r="X118" s="201"/>
      <c r="Y118" s="201"/>
      <c r="Z118" s="201">
        <f t="shared" si="132"/>
        <v>0</v>
      </c>
      <c r="AA118" s="198"/>
      <c r="AB118" s="206"/>
      <c r="AC118" s="207"/>
      <c r="AD118" s="201"/>
      <c r="AE118" s="204">
        <f t="shared" si="133"/>
        <v>0</v>
      </c>
      <c r="AF118" s="203">
        <f t="shared" si="134"/>
        <v>45566</v>
      </c>
      <c r="AG118" s="201">
        <f t="shared" si="135"/>
        <v>0</v>
      </c>
      <c r="AH118" s="199">
        <f t="shared" si="136"/>
        <v>980000</v>
      </c>
      <c r="AI118" s="199">
        <f t="shared" si="137"/>
        <v>980000</v>
      </c>
      <c r="AJ118" s="201">
        <f t="shared" si="164"/>
        <v>0</v>
      </c>
      <c r="AK118" s="201">
        <f t="shared" si="164"/>
        <v>980000</v>
      </c>
      <c r="AL118" s="201">
        <f t="shared" si="139"/>
        <v>980000</v>
      </c>
      <c r="AM118" s="198"/>
      <c r="AN118" s="203"/>
      <c r="AO118" s="208"/>
      <c r="AP118" s="201">
        <f t="shared" si="140"/>
        <v>0</v>
      </c>
      <c r="AQ118" s="201">
        <f t="shared" si="141"/>
        <v>977502.55</v>
      </c>
      <c r="AR118" s="201">
        <f t="shared" si="142"/>
        <v>977502.55</v>
      </c>
      <c r="AS118" s="201">
        <f t="shared" si="143"/>
        <v>99.745158163265302</v>
      </c>
      <c r="AT118" s="201"/>
      <c r="AU118" s="209">
        <v>977502.55</v>
      </c>
      <c r="AV118" s="201">
        <f t="shared" si="144"/>
        <v>977502.55</v>
      </c>
      <c r="AW118" s="201">
        <f t="shared" si="157"/>
        <v>0</v>
      </c>
      <c r="AX118" s="201">
        <f t="shared" si="145"/>
        <v>99.745158163265302</v>
      </c>
      <c r="AY118" s="208"/>
      <c r="AZ118" s="201">
        <f t="shared" si="146"/>
        <v>0</v>
      </c>
      <c r="BA118" s="201">
        <f t="shared" si="147"/>
        <v>0</v>
      </c>
      <c r="BB118" s="201">
        <f t="shared" si="148"/>
        <v>0</v>
      </c>
      <c r="BC118" s="201"/>
      <c r="BD118" s="223">
        <v>0</v>
      </c>
      <c r="BE118" s="201">
        <f t="shared" si="149"/>
        <v>0</v>
      </c>
      <c r="BF118" s="208"/>
      <c r="BG118" s="201">
        <f t="shared" si="165"/>
        <v>0</v>
      </c>
      <c r="BH118" s="201">
        <f t="shared" si="165"/>
        <v>977502.55</v>
      </c>
      <c r="BI118" s="201">
        <f t="shared" si="151"/>
        <v>977502.55</v>
      </c>
      <c r="BJ118" s="201">
        <f t="shared" si="163"/>
        <v>99.745158163265302</v>
      </c>
      <c r="BK118" s="210">
        <v>0</v>
      </c>
      <c r="BL118" s="210">
        <v>85</v>
      </c>
      <c r="BM118" s="211"/>
      <c r="BN118" s="211"/>
      <c r="BO118" s="212">
        <f t="shared" si="152"/>
        <v>0</v>
      </c>
      <c r="BP118" s="201">
        <f t="shared" si="153"/>
        <v>2497.4499999999534</v>
      </c>
      <c r="BQ118" s="201">
        <f t="shared" si="158"/>
        <v>2497.4499999999534</v>
      </c>
      <c r="BR118" s="201">
        <f t="shared" si="166"/>
        <v>0</v>
      </c>
      <c r="BS118" s="201">
        <f t="shared" si="166"/>
        <v>2497.4499999999534</v>
      </c>
      <c r="BT118" s="201">
        <f t="shared" si="160"/>
        <v>2497.4499999999534</v>
      </c>
      <c r="BU118" s="213">
        <f t="shared" si="161"/>
        <v>0</v>
      </c>
      <c r="BV118" s="201"/>
      <c r="BW118" s="201"/>
      <c r="BX118" s="201">
        <f t="shared" si="162"/>
        <v>0</v>
      </c>
      <c r="BY118" s="199">
        <v>0</v>
      </c>
      <c r="BZ118" s="199">
        <v>0</v>
      </c>
      <c r="CA118" s="199"/>
      <c r="CB118" s="199">
        <v>294000</v>
      </c>
      <c r="CC118" s="199">
        <v>392000</v>
      </c>
      <c r="CD118" s="199">
        <v>294000</v>
      </c>
      <c r="CE118" s="199">
        <v>0</v>
      </c>
      <c r="CF118" s="199">
        <v>0</v>
      </c>
      <c r="CG118" s="199">
        <v>0</v>
      </c>
      <c r="CH118" s="199">
        <v>0</v>
      </c>
      <c r="CI118" s="199">
        <v>0</v>
      </c>
      <c r="CJ118" s="199">
        <v>0</v>
      </c>
      <c r="CK118" s="214" t="s">
        <v>412</v>
      </c>
      <c r="CL118" s="214" t="s">
        <v>276</v>
      </c>
      <c r="CM118" s="211">
        <v>185</v>
      </c>
      <c r="CN118" s="215"/>
      <c r="CO118" s="215"/>
      <c r="CP118" s="216"/>
      <c r="CQ118" s="217"/>
      <c r="CR118" s="211"/>
      <c r="CS118" s="218"/>
      <c r="CT118" s="218"/>
      <c r="CU118" s="218"/>
      <c r="CV118" s="211"/>
      <c r="CW118" s="211"/>
      <c r="CX118" s="211"/>
      <c r="CY118" s="211"/>
      <c r="CZ118" s="211"/>
      <c r="DA118" s="211"/>
      <c r="DB118" s="211"/>
      <c r="DC118" s="219"/>
      <c r="DD118" s="219"/>
      <c r="DE118" s="219"/>
      <c r="DF118" s="211"/>
      <c r="DG118" s="211"/>
      <c r="DH118" s="211"/>
      <c r="DI118" s="211"/>
      <c r="DJ118" s="211"/>
      <c r="DK118" s="220" t="s">
        <v>32</v>
      </c>
      <c r="DT118" s="222"/>
    </row>
    <row r="119" spans="1:124" s="176" customFormat="1" ht="42" x14ac:dyDescent="0.2">
      <c r="A119" s="195" t="s">
        <v>119</v>
      </c>
      <c r="B119" s="197" t="s">
        <v>413</v>
      </c>
      <c r="C119" s="198">
        <v>1</v>
      </c>
      <c r="D119" s="199">
        <v>47000</v>
      </c>
      <c r="E119" s="198" t="s">
        <v>405</v>
      </c>
      <c r="F119" s="198" t="s">
        <v>405</v>
      </c>
      <c r="G119" s="198" t="s">
        <v>123</v>
      </c>
      <c r="H119" s="200">
        <v>1</v>
      </c>
      <c r="I119" s="199">
        <f t="shared" si="127"/>
        <v>0</v>
      </c>
      <c r="J119" s="199">
        <f t="shared" si="128"/>
        <v>47000</v>
      </c>
      <c r="K119" s="199">
        <f t="shared" si="129"/>
        <v>47000</v>
      </c>
      <c r="L119" s="199"/>
      <c r="M119" s="199">
        <v>47000</v>
      </c>
      <c r="N119" s="199">
        <f t="shared" si="130"/>
        <v>47000</v>
      </c>
      <c r="O119" s="199"/>
      <c r="P119" s="201">
        <v>0</v>
      </c>
      <c r="Q119" s="202">
        <v>12</v>
      </c>
      <c r="R119" s="203">
        <v>45566</v>
      </c>
      <c r="S119" s="204"/>
      <c r="T119" s="204">
        <v>47000</v>
      </c>
      <c r="U119" s="204">
        <f t="shared" si="131"/>
        <v>47000</v>
      </c>
      <c r="V119" s="205"/>
      <c r="W119" s="200"/>
      <c r="X119" s="201"/>
      <c r="Y119" s="201"/>
      <c r="Z119" s="201">
        <f t="shared" si="132"/>
        <v>0</v>
      </c>
      <c r="AA119" s="198"/>
      <c r="AB119" s="206"/>
      <c r="AC119" s="207"/>
      <c r="AD119" s="201"/>
      <c r="AE119" s="204">
        <f t="shared" si="133"/>
        <v>0</v>
      </c>
      <c r="AF119" s="203">
        <f t="shared" si="134"/>
        <v>45566</v>
      </c>
      <c r="AG119" s="201">
        <f t="shared" si="135"/>
        <v>0</v>
      </c>
      <c r="AH119" s="199">
        <f t="shared" si="136"/>
        <v>47000</v>
      </c>
      <c r="AI119" s="199">
        <f t="shared" si="137"/>
        <v>47000</v>
      </c>
      <c r="AJ119" s="201">
        <f t="shared" si="164"/>
        <v>0</v>
      </c>
      <c r="AK119" s="201">
        <f t="shared" si="164"/>
        <v>47000</v>
      </c>
      <c r="AL119" s="201">
        <f t="shared" si="139"/>
        <v>47000</v>
      </c>
      <c r="AM119" s="198"/>
      <c r="AN119" s="203"/>
      <c r="AO119" s="208"/>
      <c r="AP119" s="201">
        <f t="shared" si="140"/>
        <v>0</v>
      </c>
      <c r="AQ119" s="201">
        <f t="shared" si="141"/>
        <v>46992.45</v>
      </c>
      <c r="AR119" s="201">
        <f t="shared" si="142"/>
        <v>46992.45</v>
      </c>
      <c r="AS119" s="201">
        <f t="shared" si="143"/>
        <v>99.983936170212772</v>
      </c>
      <c r="AT119" s="201"/>
      <c r="AU119" s="209">
        <v>46992.45</v>
      </c>
      <c r="AV119" s="201">
        <f t="shared" si="144"/>
        <v>46992.45</v>
      </c>
      <c r="AW119" s="201">
        <f t="shared" si="157"/>
        <v>0</v>
      </c>
      <c r="AX119" s="201">
        <f t="shared" si="145"/>
        <v>99.983936170212772</v>
      </c>
      <c r="AY119" s="208"/>
      <c r="AZ119" s="201">
        <f t="shared" si="146"/>
        <v>0</v>
      </c>
      <c r="BA119" s="201">
        <f t="shared" si="147"/>
        <v>0</v>
      </c>
      <c r="BB119" s="201">
        <f t="shared" si="148"/>
        <v>0</v>
      </c>
      <c r="BC119" s="201"/>
      <c r="BD119" s="223">
        <v>0</v>
      </c>
      <c r="BE119" s="201">
        <f t="shared" si="149"/>
        <v>0</v>
      </c>
      <c r="BF119" s="208"/>
      <c r="BG119" s="201">
        <f t="shared" si="165"/>
        <v>0</v>
      </c>
      <c r="BH119" s="201">
        <f t="shared" si="165"/>
        <v>46992.45</v>
      </c>
      <c r="BI119" s="201">
        <f t="shared" si="151"/>
        <v>46992.45</v>
      </c>
      <c r="BJ119" s="201">
        <f t="shared" si="163"/>
        <v>99.983936170212772</v>
      </c>
      <c r="BK119" s="210">
        <v>0</v>
      </c>
      <c r="BL119" s="210">
        <v>100</v>
      </c>
      <c r="BM119" s="211"/>
      <c r="BN119" s="211"/>
      <c r="BO119" s="212">
        <f t="shared" si="152"/>
        <v>0</v>
      </c>
      <c r="BP119" s="201">
        <f t="shared" si="153"/>
        <v>7.5500000000029104</v>
      </c>
      <c r="BQ119" s="201">
        <f t="shared" si="158"/>
        <v>7.5500000000029104</v>
      </c>
      <c r="BR119" s="201">
        <f t="shared" si="166"/>
        <v>0</v>
      </c>
      <c r="BS119" s="201">
        <f t="shared" si="166"/>
        <v>7.5500000000029104</v>
      </c>
      <c r="BT119" s="201">
        <f t="shared" si="160"/>
        <v>7.5500000000029104</v>
      </c>
      <c r="BU119" s="213">
        <f t="shared" si="161"/>
        <v>0</v>
      </c>
      <c r="BV119" s="201"/>
      <c r="BW119" s="201"/>
      <c r="BX119" s="201">
        <f t="shared" si="162"/>
        <v>0</v>
      </c>
      <c r="BY119" s="199">
        <v>0</v>
      </c>
      <c r="BZ119" s="199">
        <v>0</v>
      </c>
      <c r="CA119" s="199">
        <v>0</v>
      </c>
      <c r="CB119" s="199">
        <v>47000</v>
      </c>
      <c r="CC119" s="199">
        <v>0</v>
      </c>
      <c r="CD119" s="199">
        <v>0</v>
      </c>
      <c r="CE119" s="199">
        <v>0</v>
      </c>
      <c r="CF119" s="199">
        <v>0</v>
      </c>
      <c r="CG119" s="199">
        <v>0</v>
      </c>
      <c r="CH119" s="199">
        <v>0</v>
      </c>
      <c r="CI119" s="199">
        <v>0</v>
      </c>
      <c r="CJ119" s="199">
        <v>0</v>
      </c>
      <c r="CK119" s="214" t="s">
        <v>414</v>
      </c>
      <c r="CL119" s="214" t="s">
        <v>276</v>
      </c>
      <c r="CM119" s="211">
        <v>185</v>
      </c>
      <c r="CN119" s="215"/>
      <c r="CO119" s="215"/>
      <c r="CP119" s="216"/>
      <c r="CQ119" s="217"/>
      <c r="CR119" s="211"/>
      <c r="CS119" s="218"/>
      <c r="CT119" s="218"/>
      <c r="CU119" s="218"/>
      <c r="CV119" s="211"/>
      <c r="CW119" s="211"/>
      <c r="CX119" s="211"/>
      <c r="CY119" s="211"/>
      <c r="CZ119" s="211"/>
      <c r="DA119" s="211"/>
      <c r="DB119" s="211"/>
      <c r="DC119" s="219"/>
      <c r="DD119" s="219"/>
      <c r="DE119" s="219"/>
      <c r="DF119" s="211"/>
      <c r="DG119" s="211"/>
      <c r="DH119" s="211"/>
      <c r="DI119" s="211"/>
      <c r="DJ119" s="211"/>
      <c r="DK119" s="220" t="s">
        <v>32</v>
      </c>
      <c r="DT119" s="222"/>
    </row>
    <row r="120" spans="1:124" s="176" customFormat="1" ht="42" x14ac:dyDescent="0.2">
      <c r="A120" s="195" t="s">
        <v>119</v>
      </c>
      <c r="B120" s="197" t="s">
        <v>415</v>
      </c>
      <c r="C120" s="198">
        <v>1</v>
      </c>
      <c r="D120" s="199">
        <v>980000</v>
      </c>
      <c r="E120" s="198" t="s">
        <v>416</v>
      </c>
      <c r="F120" s="198" t="s">
        <v>416</v>
      </c>
      <c r="G120" s="198" t="s">
        <v>123</v>
      </c>
      <c r="H120" s="200">
        <v>1</v>
      </c>
      <c r="I120" s="199">
        <f t="shared" si="127"/>
        <v>0</v>
      </c>
      <c r="J120" s="199">
        <f t="shared" si="128"/>
        <v>980000</v>
      </c>
      <c r="K120" s="199">
        <f t="shared" si="129"/>
        <v>980000</v>
      </c>
      <c r="L120" s="199"/>
      <c r="M120" s="199">
        <v>980000</v>
      </c>
      <c r="N120" s="199">
        <f t="shared" si="130"/>
        <v>980000</v>
      </c>
      <c r="O120" s="199"/>
      <c r="P120" s="201">
        <v>0</v>
      </c>
      <c r="Q120" s="202">
        <v>12</v>
      </c>
      <c r="R120" s="203">
        <v>45566</v>
      </c>
      <c r="S120" s="204"/>
      <c r="T120" s="204">
        <v>980000</v>
      </c>
      <c r="U120" s="204">
        <f t="shared" si="131"/>
        <v>980000</v>
      </c>
      <c r="V120" s="205"/>
      <c r="W120" s="200"/>
      <c r="X120" s="201"/>
      <c r="Y120" s="201"/>
      <c r="Z120" s="201">
        <f t="shared" si="132"/>
        <v>0</v>
      </c>
      <c r="AA120" s="198"/>
      <c r="AB120" s="206"/>
      <c r="AC120" s="207"/>
      <c r="AD120" s="201"/>
      <c r="AE120" s="204">
        <f t="shared" si="133"/>
        <v>0</v>
      </c>
      <c r="AF120" s="203">
        <f t="shared" si="134"/>
        <v>45566</v>
      </c>
      <c r="AG120" s="201">
        <f t="shared" si="135"/>
        <v>0</v>
      </c>
      <c r="AH120" s="199">
        <f t="shared" si="136"/>
        <v>980000</v>
      </c>
      <c r="AI120" s="199">
        <f t="shared" si="137"/>
        <v>980000</v>
      </c>
      <c r="AJ120" s="201">
        <f t="shared" si="164"/>
        <v>0</v>
      </c>
      <c r="AK120" s="201">
        <f t="shared" si="164"/>
        <v>980000</v>
      </c>
      <c r="AL120" s="201">
        <f t="shared" si="139"/>
        <v>980000</v>
      </c>
      <c r="AM120" s="198"/>
      <c r="AN120" s="203"/>
      <c r="AO120" s="208"/>
      <c r="AP120" s="201">
        <f t="shared" si="140"/>
        <v>0</v>
      </c>
      <c r="AQ120" s="201">
        <f t="shared" si="141"/>
        <v>978158.7</v>
      </c>
      <c r="AR120" s="201">
        <f t="shared" si="142"/>
        <v>978158.7</v>
      </c>
      <c r="AS120" s="201">
        <f t="shared" si="143"/>
        <v>99.812112244897961</v>
      </c>
      <c r="AT120" s="201"/>
      <c r="AU120" s="209">
        <v>978158.7</v>
      </c>
      <c r="AV120" s="201">
        <f t="shared" si="144"/>
        <v>978158.7</v>
      </c>
      <c r="AW120" s="201">
        <f t="shared" si="157"/>
        <v>0</v>
      </c>
      <c r="AX120" s="201">
        <f t="shared" si="145"/>
        <v>99.812112244897961</v>
      </c>
      <c r="AY120" s="208"/>
      <c r="AZ120" s="201">
        <f t="shared" si="146"/>
        <v>0</v>
      </c>
      <c r="BA120" s="201">
        <f t="shared" si="147"/>
        <v>0</v>
      </c>
      <c r="BB120" s="201">
        <f t="shared" si="148"/>
        <v>0</v>
      </c>
      <c r="BC120" s="201"/>
      <c r="BD120" s="223">
        <v>0</v>
      </c>
      <c r="BE120" s="201">
        <f t="shared" si="149"/>
        <v>0</v>
      </c>
      <c r="BF120" s="208"/>
      <c r="BG120" s="201">
        <f t="shared" si="165"/>
        <v>0</v>
      </c>
      <c r="BH120" s="201">
        <f t="shared" si="165"/>
        <v>978158.7</v>
      </c>
      <c r="BI120" s="201">
        <f t="shared" si="151"/>
        <v>978158.7</v>
      </c>
      <c r="BJ120" s="201">
        <f t="shared" si="163"/>
        <v>99.812112244897961</v>
      </c>
      <c r="BK120" s="210">
        <v>0</v>
      </c>
      <c r="BL120" s="210">
        <v>70</v>
      </c>
      <c r="BM120" s="211"/>
      <c r="BN120" s="211"/>
      <c r="BO120" s="212">
        <f t="shared" si="152"/>
        <v>0</v>
      </c>
      <c r="BP120" s="201">
        <f t="shared" si="153"/>
        <v>1841.3000000000466</v>
      </c>
      <c r="BQ120" s="201">
        <f t="shared" si="158"/>
        <v>1841.3000000000466</v>
      </c>
      <c r="BR120" s="201">
        <f t="shared" si="166"/>
        <v>0</v>
      </c>
      <c r="BS120" s="201">
        <f t="shared" si="166"/>
        <v>1841.3000000000466</v>
      </c>
      <c r="BT120" s="201">
        <f t="shared" si="160"/>
        <v>1841.3000000000466</v>
      </c>
      <c r="BU120" s="213">
        <f t="shared" si="161"/>
        <v>0</v>
      </c>
      <c r="BV120" s="201"/>
      <c r="BW120" s="201"/>
      <c r="BX120" s="201">
        <f t="shared" si="162"/>
        <v>0</v>
      </c>
      <c r="BY120" s="199"/>
      <c r="BZ120" s="199">
        <v>163400</v>
      </c>
      <c r="CA120" s="199">
        <v>163400</v>
      </c>
      <c r="CB120" s="199">
        <v>163300</v>
      </c>
      <c r="CC120" s="199">
        <v>163300</v>
      </c>
      <c r="CD120" s="199">
        <v>163300</v>
      </c>
      <c r="CE120" s="199">
        <v>163300</v>
      </c>
      <c r="CF120" s="199"/>
      <c r="CG120" s="199"/>
      <c r="CH120" s="199"/>
      <c r="CI120" s="199"/>
      <c r="CJ120" s="199"/>
      <c r="CK120" s="214" t="s">
        <v>417</v>
      </c>
      <c r="CL120" s="214" t="s">
        <v>276</v>
      </c>
      <c r="CM120" s="211">
        <v>185</v>
      </c>
      <c r="CN120" s="215"/>
      <c r="CO120" s="215"/>
      <c r="CP120" s="216"/>
      <c r="CQ120" s="217"/>
      <c r="CR120" s="211"/>
      <c r="CS120" s="218"/>
      <c r="CT120" s="218"/>
      <c r="CU120" s="218"/>
      <c r="CV120" s="211"/>
      <c r="CW120" s="211"/>
      <c r="CX120" s="211"/>
      <c r="CY120" s="211"/>
      <c r="CZ120" s="211"/>
      <c r="DA120" s="211"/>
      <c r="DB120" s="211"/>
      <c r="DC120" s="219"/>
      <c r="DD120" s="219"/>
      <c r="DE120" s="219"/>
      <c r="DF120" s="211"/>
      <c r="DG120" s="211"/>
      <c r="DH120" s="211"/>
      <c r="DI120" s="211"/>
      <c r="DJ120" s="211"/>
      <c r="DK120" s="220" t="s">
        <v>32</v>
      </c>
      <c r="DT120" s="222"/>
    </row>
    <row r="121" spans="1:124" s="176" customFormat="1" ht="42" x14ac:dyDescent="0.2">
      <c r="A121" s="195" t="s">
        <v>119</v>
      </c>
      <c r="B121" s="197" t="s">
        <v>418</v>
      </c>
      <c r="C121" s="198">
        <v>1</v>
      </c>
      <c r="D121" s="199">
        <v>1600000</v>
      </c>
      <c r="E121" s="198" t="s">
        <v>419</v>
      </c>
      <c r="F121" s="198" t="s">
        <v>134</v>
      </c>
      <c r="G121" s="198" t="s">
        <v>123</v>
      </c>
      <c r="H121" s="200">
        <v>1</v>
      </c>
      <c r="I121" s="199">
        <f t="shared" si="127"/>
        <v>0</v>
      </c>
      <c r="J121" s="199">
        <f t="shared" si="128"/>
        <v>1600000</v>
      </c>
      <c r="K121" s="199">
        <f t="shared" si="129"/>
        <v>1600000</v>
      </c>
      <c r="L121" s="199"/>
      <c r="M121" s="199">
        <v>1600000</v>
      </c>
      <c r="N121" s="199">
        <f t="shared" si="130"/>
        <v>1600000</v>
      </c>
      <c r="O121" s="199"/>
      <c r="P121" s="201">
        <v>0</v>
      </c>
      <c r="Q121" s="202">
        <v>12</v>
      </c>
      <c r="R121" s="203">
        <v>45566</v>
      </c>
      <c r="S121" s="204"/>
      <c r="T121" s="204">
        <v>1600000</v>
      </c>
      <c r="U121" s="204">
        <f t="shared" si="131"/>
        <v>1600000</v>
      </c>
      <c r="V121" s="205">
        <v>690</v>
      </c>
      <c r="W121" s="200">
        <v>45622</v>
      </c>
      <c r="X121" s="201"/>
      <c r="Y121" s="201">
        <v>-1339.03</v>
      </c>
      <c r="Z121" s="201">
        <f t="shared" si="132"/>
        <v>-1339.03</v>
      </c>
      <c r="AA121" s="198"/>
      <c r="AB121" s="206"/>
      <c r="AC121" s="207"/>
      <c r="AD121" s="201"/>
      <c r="AE121" s="204">
        <f t="shared" si="133"/>
        <v>0</v>
      </c>
      <c r="AF121" s="203">
        <f t="shared" si="134"/>
        <v>45566</v>
      </c>
      <c r="AG121" s="201">
        <f t="shared" si="135"/>
        <v>0</v>
      </c>
      <c r="AH121" s="199">
        <f t="shared" si="136"/>
        <v>1598660.97</v>
      </c>
      <c r="AI121" s="199">
        <f t="shared" si="137"/>
        <v>1598660.97</v>
      </c>
      <c r="AJ121" s="201">
        <f t="shared" si="164"/>
        <v>0</v>
      </c>
      <c r="AK121" s="201">
        <f t="shared" si="164"/>
        <v>1598660.97</v>
      </c>
      <c r="AL121" s="201">
        <f t="shared" si="139"/>
        <v>1598660.97</v>
      </c>
      <c r="AM121" s="198"/>
      <c r="AN121" s="203"/>
      <c r="AO121" s="208"/>
      <c r="AP121" s="201">
        <f t="shared" si="140"/>
        <v>0</v>
      </c>
      <c r="AQ121" s="201">
        <f t="shared" si="141"/>
        <v>1591544.58</v>
      </c>
      <c r="AR121" s="201">
        <f t="shared" si="142"/>
        <v>1591544.58</v>
      </c>
      <c r="AS121" s="201">
        <f t="shared" si="143"/>
        <v>99.554853084328442</v>
      </c>
      <c r="AT121" s="201"/>
      <c r="AU121" s="209">
        <v>1591544.58</v>
      </c>
      <c r="AV121" s="201">
        <f t="shared" si="144"/>
        <v>1591544.58</v>
      </c>
      <c r="AW121" s="201">
        <f t="shared" si="157"/>
        <v>0</v>
      </c>
      <c r="AX121" s="201">
        <f t="shared" si="145"/>
        <v>99.554853084328442</v>
      </c>
      <c r="AY121" s="208"/>
      <c r="AZ121" s="201">
        <f t="shared" si="146"/>
        <v>0</v>
      </c>
      <c r="BA121" s="201">
        <f t="shared" si="147"/>
        <v>0</v>
      </c>
      <c r="BB121" s="201">
        <f t="shared" si="148"/>
        <v>0</v>
      </c>
      <c r="BC121" s="201"/>
      <c r="BD121" s="223">
        <v>0</v>
      </c>
      <c r="BE121" s="201">
        <f t="shared" si="149"/>
        <v>0</v>
      </c>
      <c r="BF121" s="208"/>
      <c r="BG121" s="201">
        <f t="shared" si="165"/>
        <v>0</v>
      </c>
      <c r="BH121" s="201">
        <f t="shared" si="165"/>
        <v>1591544.58</v>
      </c>
      <c r="BI121" s="201">
        <f t="shared" si="151"/>
        <v>1591544.58</v>
      </c>
      <c r="BJ121" s="201">
        <f t="shared" si="163"/>
        <v>99.554853084328442</v>
      </c>
      <c r="BK121" s="210">
        <v>0</v>
      </c>
      <c r="BL121" s="210">
        <v>100</v>
      </c>
      <c r="BM121" s="211"/>
      <c r="BN121" s="211"/>
      <c r="BO121" s="212">
        <f t="shared" si="152"/>
        <v>0</v>
      </c>
      <c r="BP121" s="201">
        <f t="shared" si="153"/>
        <v>7116.3899999998976</v>
      </c>
      <c r="BQ121" s="201">
        <f t="shared" si="158"/>
        <v>7116.3899999998976</v>
      </c>
      <c r="BR121" s="201">
        <f t="shared" si="166"/>
        <v>0</v>
      </c>
      <c r="BS121" s="201">
        <f t="shared" si="166"/>
        <v>7116.3899999998976</v>
      </c>
      <c r="BT121" s="201">
        <f t="shared" si="160"/>
        <v>7116.3899999998976</v>
      </c>
      <c r="BU121" s="213">
        <f t="shared" si="161"/>
        <v>0</v>
      </c>
      <c r="BV121" s="201">
        <v>1339.03</v>
      </c>
      <c r="BW121" s="201"/>
      <c r="BX121" s="201">
        <f t="shared" si="162"/>
        <v>1339.03</v>
      </c>
      <c r="BY121" s="199">
        <v>0</v>
      </c>
      <c r="BZ121" s="199">
        <v>0</v>
      </c>
      <c r="CA121" s="199">
        <v>0</v>
      </c>
      <c r="CB121" s="199">
        <v>320000</v>
      </c>
      <c r="CC121" s="199">
        <v>400000</v>
      </c>
      <c r="CD121" s="199">
        <v>480000</v>
      </c>
      <c r="CE121" s="199">
        <v>400000</v>
      </c>
      <c r="CF121" s="199">
        <v>0</v>
      </c>
      <c r="CG121" s="199">
        <v>0</v>
      </c>
      <c r="CH121" s="199">
        <v>0</v>
      </c>
      <c r="CI121" s="199">
        <v>0</v>
      </c>
      <c r="CJ121" s="199">
        <v>0</v>
      </c>
      <c r="CK121" s="214" t="s">
        <v>420</v>
      </c>
      <c r="CL121" s="214" t="s">
        <v>276</v>
      </c>
      <c r="CM121" s="211">
        <v>185</v>
      </c>
      <c r="CN121" s="215"/>
      <c r="CO121" s="215"/>
      <c r="CP121" s="216"/>
      <c r="CQ121" s="217"/>
      <c r="CR121" s="211"/>
      <c r="CS121" s="218"/>
      <c r="CT121" s="218"/>
      <c r="CU121" s="218"/>
      <c r="CV121" s="211"/>
      <c r="CW121" s="211"/>
      <c r="CX121" s="211"/>
      <c r="CY121" s="211"/>
      <c r="CZ121" s="211"/>
      <c r="DA121" s="211"/>
      <c r="DB121" s="211"/>
      <c r="DC121" s="219"/>
      <c r="DD121" s="219"/>
      <c r="DE121" s="219"/>
      <c r="DF121" s="211"/>
      <c r="DG121" s="211"/>
      <c r="DH121" s="211"/>
      <c r="DI121" s="211"/>
      <c r="DJ121" s="211"/>
      <c r="DK121" s="220" t="s">
        <v>32</v>
      </c>
      <c r="DT121" s="222"/>
    </row>
    <row r="122" spans="1:124" s="176" customFormat="1" ht="42" x14ac:dyDescent="0.2">
      <c r="A122" s="195" t="s">
        <v>119</v>
      </c>
      <c r="B122" s="197" t="s">
        <v>421</v>
      </c>
      <c r="C122" s="198">
        <v>1</v>
      </c>
      <c r="D122" s="199">
        <v>610000</v>
      </c>
      <c r="E122" s="198" t="s">
        <v>405</v>
      </c>
      <c r="F122" s="198" t="s">
        <v>405</v>
      </c>
      <c r="G122" s="198" t="s">
        <v>123</v>
      </c>
      <c r="H122" s="200">
        <v>1</v>
      </c>
      <c r="I122" s="199">
        <f t="shared" si="127"/>
        <v>0</v>
      </c>
      <c r="J122" s="199">
        <f t="shared" si="128"/>
        <v>610000</v>
      </c>
      <c r="K122" s="199">
        <f t="shared" si="129"/>
        <v>610000</v>
      </c>
      <c r="L122" s="199"/>
      <c r="M122" s="199">
        <v>610000</v>
      </c>
      <c r="N122" s="199">
        <f t="shared" si="130"/>
        <v>610000</v>
      </c>
      <c r="O122" s="199"/>
      <c r="P122" s="201">
        <v>0</v>
      </c>
      <c r="Q122" s="202"/>
      <c r="R122" s="203"/>
      <c r="S122" s="204"/>
      <c r="T122" s="204"/>
      <c r="U122" s="204">
        <f t="shared" si="131"/>
        <v>0</v>
      </c>
      <c r="V122" s="205"/>
      <c r="W122" s="200"/>
      <c r="X122" s="201"/>
      <c r="Y122" s="201"/>
      <c r="Z122" s="201">
        <f t="shared" si="132"/>
        <v>0</v>
      </c>
      <c r="AA122" s="198"/>
      <c r="AB122" s="206"/>
      <c r="AC122" s="207"/>
      <c r="AD122" s="201"/>
      <c r="AE122" s="204">
        <f t="shared" si="133"/>
        <v>0</v>
      </c>
      <c r="AF122" s="203">
        <f t="shared" si="134"/>
        <v>0</v>
      </c>
      <c r="AG122" s="201">
        <f t="shared" si="135"/>
        <v>0</v>
      </c>
      <c r="AH122" s="199">
        <f t="shared" si="136"/>
        <v>0</v>
      </c>
      <c r="AI122" s="199">
        <f t="shared" si="137"/>
        <v>0</v>
      </c>
      <c r="AJ122" s="201">
        <f t="shared" si="164"/>
        <v>0</v>
      </c>
      <c r="AK122" s="201">
        <f t="shared" si="164"/>
        <v>0</v>
      </c>
      <c r="AL122" s="201">
        <f t="shared" si="139"/>
        <v>0</v>
      </c>
      <c r="AM122" s="198"/>
      <c r="AN122" s="203"/>
      <c r="AO122" s="208"/>
      <c r="AP122" s="201">
        <f t="shared" si="140"/>
        <v>0</v>
      </c>
      <c r="AQ122" s="201">
        <f t="shared" si="141"/>
        <v>0</v>
      </c>
      <c r="AR122" s="201">
        <f t="shared" si="142"/>
        <v>0</v>
      </c>
      <c r="AS122" s="201">
        <f t="shared" si="143"/>
        <v>0</v>
      </c>
      <c r="AT122" s="201"/>
      <c r="AU122" s="209"/>
      <c r="AV122" s="201">
        <f t="shared" si="144"/>
        <v>0</v>
      </c>
      <c r="AW122" s="201" t="e">
        <f t="shared" si="157"/>
        <v>#DIV/0!</v>
      </c>
      <c r="AX122" s="201">
        <f t="shared" si="145"/>
        <v>0</v>
      </c>
      <c r="AY122" s="208"/>
      <c r="AZ122" s="201">
        <f t="shared" si="146"/>
        <v>0</v>
      </c>
      <c r="BA122" s="201">
        <f t="shared" si="147"/>
        <v>0</v>
      </c>
      <c r="BB122" s="201">
        <f t="shared" si="148"/>
        <v>0</v>
      </c>
      <c r="BC122" s="201"/>
      <c r="BD122" s="209"/>
      <c r="BE122" s="201">
        <f t="shared" si="149"/>
        <v>0</v>
      </c>
      <c r="BF122" s="208"/>
      <c r="BG122" s="201">
        <f t="shared" si="165"/>
        <v>0</v>
      </c>
      <c r="BH122" s="201">
        <f t="shared" si="165"/>
        <v>0</v>
      </c>
      <c r="BI122" s="201">
        <f t="shared" si="151"/>
        <v>0</v>
      </c>
      <c r="BJ122" s="201" t="e">
        <f t="shared" si="163"/>
        <v>#DIV/0!</v>
      </c>
      <c r="BK122" s="210">
        <v>0</v>
      </c>
      <c r="BL122" s="210">
        <v>0</v>
      </c>
      <c r="BM122" s="211"/>
      <c r="BN122" s="211"/>
      <c r="BO122" s="212">
        <f t="shared" si="152"/>
        <v>0</v>
      </c>
      <c r="BP122" s="201">
        <f t="shared" si="153"/>
        <v>0</v>
      </c>
      <c r="BQ122" s="201">
        <f t="shared" si="158"/>
        <v>0</v>
      </c>
      <c r="BR122" s="201">
        <f t="shared" si="166"/>
        <v>0</v>
      </c>
      <c r="BS122" s="201">
        <f t="shared" si="166"/>
        <v>0</v>
      </c>
      <c r="BT122" s="201">
        <f t="shared" si="160"/>
        <v>0</v>
      </c>
      <c r="BU122" s="213">
        <f t="shared" si="161"/>
        <v>0</v>
      </c>
      <c r="BV122" s="201"/>
      <c r="BW122" s="201"/>
      <c r="BX122" s="201">
        <f t="shared" si="162"/>
        <v>0</v>
      </c>
      <c r="BY122" s="199">
        <v>0</v>
      </c>
      <c r="BZ122" s="199">
        <v>0</v>
      </c>
      <c r="CA122" s="199">
        <v>0</v>
      </c>
      <c r="CB122" s="199">
        <v>0</v>
      </c>
      <c r="CC122" s="199">
        <v>0</v>
      </c>
      <c r="CD122" s="199">
        <v>0</v>
      </c>
      <c r="CE122" s="199">
        <v>244000</v>
      </c>
      <c r="CF122" s="199">
        <v>366000</v>
      </c>
      <c r="CG122" s="199">
        <v>0</v>
      </c>
      <c r="CH122" s="199">
        <v>0</v>
      </c>
      <c r="CI122" s="199">
        <v>0</v>
      </c>
      <c r="CJ122" s="199">
        <v>0</v>
      </c>
      <c r="CK122" s="214"/>
      <c r="CL122" s="214"/>
      <c r="CM122" s="211">
        <v>183</v>
      </c>
      <c r="CN122" s="215"/>
      <c r="CO122" s="215"/>
      <c r="CP122" s="216"/>
      <c r="CQ122" s="217"/>
      <c r="CR122" s="211"/>
      <c r="CS122" s="218"/>
      <c r="CT122" s="218"/>
      <c r="CU122" s="218"/>
      <c r="CV122" s="211"/>
      <c r="CW122" s="211"/>
      <c r="CX122" s="211"/>
      <c r="CY122" s="211"/>
      <c r="CZ122" s="211"/>
      <c r="DA122" s="211"/>
      <c r="DB122" s="211"/>
      <c r="DC122" s="219"/>
      <c r="DD122" s="219"/>
      <c r="DE122" s="219"/>
      <c r="DF122" s="211"/>
      <c r="DG122" s="211"/>
      <c r="DH122" s="211"/>
      <c r="DI122" s="211"/>
      <c r="DJ122" s="211"/>
      <c r="DK122" s="220" t="s">
        <v>32</v>
      </c>
      <c r="DT122" s="222"/>
    </row>
    <row r="123" spans="1:124" s="176" customFormat="1" ht="42" x14ac:dyDescent="0.2">
      <c r="A123" s="195" t="s">
        <v>119</v>
      </c>
      <c r="B123" s="197" t="s">
        <v>422</v>
      </c>
      <c r="C123" s="198">
        <v>1</v>
      </c>
      <c r="D123" s="199">
        <v>1200000</v>
      </c>
      <c r="E123" s="198" t="s">
        <v>423</v>
      </c>
      <c r="F123" s="198" t="s">
        <v>424</v>
      </c>
      <c r="G123" s="198" t="s">
        <v>123</v>
      </c>
      <c r="H123" s="200">
        <v>1</v>
      </c>
      <c r="I123" s="199">
        <f t="shared" si="127"/>
        <v>0</v>
      </c>
      <c r="J123" s="199">
        <f t="shared" si="128"/>
        <v>1200000</v>
      </c>
      <c r="K123" s="199">
        <f t="shared" si="129"/>
        <v>1200000</v>
      </c>
      <c r="L123" s="199"/>
      <c r="M123" s="199">
        <v>1200000</v>
      </c>
      <c r="N123" s="199">
        <f t="shared" si="130"/>
        <v>1200000</v>
      </c>
      <c r="O123" s="199"/>
      <c r="P123" s="201">
        <v>0</v>
      </c>
      <c r="Q123" s="202">
        <v>12</v>
      </c>
      <c r="R123" s="203">
        <v>45566</v>
      </c>
      <c r="S123" s="204"/>
      <c r="T123" s="204">
        <v>1200000</v>
      </c>
      <c r="U123" s="204">
        <f t="shared" si="131"/>
        <v>1200000</v>
      </c>
      <c r="V123" s="205"/>
      <c r="W123" s="200"/>
      <c r="X123" s="201"/>
      <c r="Y123" s="201"/>
      <c r="Z123" s="201">
        <f t="shared" si="132"/>
        <v>0</v>
      </c>
      <c r="AA123" s="198"/>
      <c r="AB123" s="206"/>
      <c r="AC123" s="207"/>
      <c r="AD123" s="201"/>
      <c r="AE123" s="204">
        <f t="shared" si="133"/>
        <v>0</v>
      </c>
      <c r="AF123" s="203">
        <f t="shared" si="134"/>
        <v>45566</v>
      </c>
      <c r="AG123" s="201">
        <f t="shared" si="135"/>
        <v>0</v>
      </c>
      <c r="AH123" s="199">
        <f t="shared" si="136"/>
        <v>1200000</v>
      </c>
      <c r="AI123" s="199">
        <f t="shared" si="137"/>
        <v>1200000</v>
      </c>
      <c r="AJ123" s="201">
        <f t="shared" si="164"/>
        <v>0</v>
      </c>
      <c r="AK123" s="201">
        <f t="shared" si="164"/>
        <v>1200000</v>
      </c>
      <c r="AL123" s="201">
        <f t="shared" si="139"/>
        <v>1200000</v>
      </c>
      <c r="AM123" s="198"/>
      <c r="AN123" s="203"/>
      <c r="AO123" s="208"/>
      <c r="AP123" s="201">
        <f t="shared" si="140"/>
        <v>0</v>
      </c>
      <c r="AQ123" s="201">
        <f t="shared" si="141"/>
        <v>1180443.3799999999</v>
      </c>
      <c r="AR123" s="201">
        <f t="shared" si="142"/>
        <v>1180443.3799999999</v>
      </c>
      <c r="AS123" s="201">
        <f t="shared" si="143"/>
        <v>98.370281666666656</v>
      </c>
      <c r="AT123" s="201"/>
      <c r="AU123" s="209">
        <v>1180443.3799999999</v>
      </c>
      <c r="AV123" s="201">
        <f t="shared" si="144"/>
        <v>1180443.3799999999</v>
      </c>
      <c r="AW123" s="201">
        <f t="shared" si="157"/>
        <v>0</v>
      </c>
      <c r="AX123" s="201">
        <f t="shared" si="145"/>
        <v>98.370281666666656</v>
      </c>
      <c r="AY123" s="208"/>
      <c r="AZ123" s="201">
        <f t="shared" si="146"/>
        <v>0</v>
      </c>
      <c r="BA123" s="201">
        <f t="shared" si="147"/>
        <v>0</v>
      </c>
      <c r="BB123" s="201">
        <f t="shared" si="148"/>
        <v>0</v>
      </c>
      <c r="BC123" s="201"/>
      <c r="BD123" s="223">
        <v>0</v>
      </c>
      <c r="BE123" s="201">
        <f t="shared" si="149"/>
        <v>0</v>
      </c>
      <c r="BF123" s="208"/>
      <c r="BG123" s="201">
        <f t="shared" si="165"/>
        <v>0</v>
      </c>
      <c r="BH123" s="201">
        <f t="shared" si="165"/>
        <v>1180443.3799999999</v>
      </c>
      <c r="BI123" s="201">
        <f t="shared" si="151"/>
        <v>1180443.3799999999</v>
      </c>
      <c r="BJ123" s="201">
        <f t="shared" si="163"/>
        <v>98.370281666666656</v>
      </c>
      <c r="BK123" s="210">
        <v>35</v>
      </c>
      <c r="BL123" s="210">
        <v>97</v>
      </c>
      <c r="BM123" s="211"/>
      <c r="BN123" s="211"/>
      <c r="BO123" s="212">
        <f t="shared" si="152"/>
        <v>0</v>
      </c>
      <c r="BP123" s="201">
        <f t="shared" si="153"/>
        <v>19556.620000000112</v>
      </c>
      <c r="BQ123" s="201">
        <f t="shared" si="158"/>
        <v>19556.620000000112</v>
      </c>
      <c r="BR123" s="201">
        <f t="shared" si="166"/>
        <v>0</v>
      </c>
      <c r="BS123" s="201">
        <f t="shared" si="166"/>
        <v>19556.620000000112</v>
      </c>
      <c r="BT123" s="201">
        <f t="shared" si="160"/>
        <v>19556.620000000112</v>
      </c>
      <c r="BU123" s="213">
        <f t="shared" si="161"/>
        <v>0</v>
      </c>
      <c r="BV123" s="201"/>
      <c r="BW123" s="201"/>
      <c r="BX123" s="201">
        <f t="shared" si="162"/>
        <v>0</v>
      </c>
      <c r="BY123" s="199">
        <v>400000</v>
      </c>
      <c r="BZ123" s="199">
        <v>400000</v>
      </c>
      <c r="CA123" s="199">
        <v>400000</v>
      </c>
      <c r="CB123" s="199">
        <v>0</v>
      </c>
      <c r="CC123" s="199">
        <v>0</v>
      </c>
      <c r="CD123" s="199">
        <v>0</v>
      </c>
      <c r="CE123" s="199">
        <v>0</v>
      </c>
      <c r="CF123" s="199">
        <v>0</v>
      </c>
      <c r="CG123" s="199">
        <v>0</v>
      </c>
      <c r="CH123" s="199">
        <v>0</v>
      </c>
      <c r="CI123" s="199">
        <v>0</v>
      </c>
      <c r="CJ123" s="199">
        <v>0</v>
      </c>
      <c r="CK123" s="214" t="s">
        <v>425</v>
      </c>
      <c r="CL123" s="214" t="s">
        <v>276</v>
      </c>
      <c r="CM123" s="211">
        <v>185</v>
      </c>
      <c r="CN123" s="215"/>
      <c r="CO123" s="215"/>
      <c r="CP123" s="216"/>
      <c r="CQ123" s="217"/>
      <c r="CR123" s="211"/>
      <c r="CS123" s="218"/>
      <c r="CT123" s="218"/>
      <c r="CU123" s="218"/>
      <c r="CV123" s="211"/>
      <c r="CW123" s="211"/>
      <c r="CX123" s="211"/>
      <c r="CY123" s="211"/>
      <c r="CZ123" s="211"/>
      <c r="DA123" s="211"/>
      <c r="DB123" s="211"/>
      <c r="DC123" s="219"/>
      <c r="DD123" s="219"/>
      <c r="DE123" s="219"/>
      <c r="DF123" s="211"/>
      <c r="DG123" s="211"/>
      <c r="DH123" s="211"/>
      <c r="DI123" s="211"/>
      <c r="DJ123" s="211"/>
      <c r="DK123" s="220" t="s">
        <v>32</v>
      </c>
      <c r="DT123" s="222"/>
    </row>
    <row r="124" spans="1:124" s="176" customFormat="1" ht="42" x14ac:dyDescent="0.2">
      <c r="A124" s="195" t="s">
        <v>119</v>
      </c>
      <c r="B124" s="197" t="s">
        <v>426</v>
      </c>
      <c r="C124" s="198">
        <v>1</v>
      </c>
      <c r="D124" s="199">
        <v>130000</v>
      </c>
      <c r="E124" s="198" t="s">
        <v>405</v>
      </c>
      <c r="F124" s="198" t="s">
        <v>405</v>
      </c>
      <c r="G124" s="198" t="s">
        <v>123</v>
      </c>
      <c r="H124" s="200">
        <v>1</v>
      </c>
      <c r="I124" s="199">
        <f t="shared" si="127"/>
        <v>0</v>
      </c>
      <c r="J124" s="199">
        <f t="shared" si="128"/>
        <v>130000</v>
      </c>
      <c r="K124" s="199">
        <f t="shared" si="129"/>
        <v>130000</v>
      </c>
      <c r="L124" s="199"/>
      <c r="M124" s="199">
        <v>130000</v>
      </c>
      <c r="N124" s="199">
        <f t="shared" si="130"/>
        <v>130000</v>
      </c>
      <c r="O124" s="199"/>
      <c r="P124" s="201">
        <v>0</v>
      </c>
      <c r="Q124" s="202">
        <v>12</v>
      </c>
      <c r="R124" s="203">
        <v>45566</v>
      </c>
      <c r="S124" s="204"/>
      <c r="T124" s="204">
        <v>130000</v>
      </c>
      <c r="U124" s="204">
        <f t="shared" si="131"/>
        <v>130000</v>
      </c>
      <c r="V124" s="205"/>
      <c r="W124" s="200"/>
      <c r="X124" s="201"/>
      <c r="Y124" s="201"/>
      <c r="Z124" s="201">
        <f t="shared" si="132"/>
        <v>0</v>
      </c>
      <c r="AA124" s="198"/>
      <c r="AB124" s="206"/>
      <c r="AC124" s="207"/>
      <c r="AD124" s="201"/>
      <c r="AE124" s="204">
        <f t="shared" si="133"/>
        <v>0</v>
      </c>
      <c r="AF124" s="203">
        <f t="shared" si="134"/>
        <v>45566</v>
      </c>
      <c r="AG124" s="201">
        <f t="shared" si="135"/>
        <v>0</v>
      </c>
      <c r="AH124" s="199">
        <f t="shared" si="136"/>
        <v>130000</v>
      </c>
      <c r="AI124" s="199">
        <f t="shared" si="137"/>
        <v>130000</v>
      </c>
      <c r="AJ124" s="201">
        <f t="shared" ref="AJ124:AK177" si="167">+S124+X124+AC124</f>
        <v>0</v>
      </c>
      <c r="AK124" s="201">
        <f t="shared" si="167"/>
        <v>130000</v>
      </c>
      <c r="AL124" s="201">
        <f t="shared" si="139"/>
        <v>130000</v>
      </c>
      <c r="AM124" s="198"/>
      <c r="AN124" s="203"/>
      <c r="AO124" s="208"/>
      <c r="AP124" s="201">
        <f t="shared" si="140"/>
        <v>0</v>
      </c>
      <c r="AQ124" s="201">
        <f t="shared" si="141"/>
        <v>129560.75</v>
      </c>
      <c r="AR124" s="201">
        <f t="shared" si="142"/>
        <v>129560.75</v>
      </c>
      <c r="AS124" s="201">
        <f t="shared" si="143"/>
        <v>99.66211538461539</v>
      </c>
      <c r="AT124" s="201"/>
      <c r="AU124" s="209">
        <v>129560.75</v>
      </c>
      <c r="AV124" s="201">
        <f t="shared" si="144"/>
        <v>129560.75</v>
      </c>
      <c r="AW124" s="201">
        <f t="shared" si="157"/>
        <v>0</v>
      </c>
      <c r="AX124" s="201">
        <f t="shared" si="145"/>
        <v>99.66211538461539</v>
      </c>
      <c r="AY124" s="208"/>
      <c r="AZ124" s="201">
        <f t="shared" si="146"/>
        <v>0</v>
      </c>
      <c r="BA124" s="201">
        <f t="shared" si="147"/>
        <v>0</v>
      </c>
      <c r="BB124" s="201">
        <f t="shared" si="148"/>
        <v>0</v>
      </c>
      <c r="BC124" s="201"/>
      <c r="BD124" s="223">
        <v>0</v>
      </c>
      <c r="BE124" s="201">
        <f t="shared" si="149"/>
        <v>0</v>
      </c>
      <c r="BF124" s="208"/>
      <c r="BG124" s="201">
        <f t="shared" ref="BG124:BH177" si="168">+AP124+AZ124</f>
        <v>0</v>
      </c>
      <c r="BH124" s="201">
        <f t="shared" si="168"/>
        <v>129560.75</v>
      </c>
      <c r="BI124" s="201">
        <f t="shared" si="151"/>
        <v>129560.75</v>
      </c>
      <c r="BJ124" s="201">
        <f t="shared" si="163"/>
        <v>99.66211538461539</v>
      </c>
      <c r="BK124" s="210">
        <v>0</v>
      </c>
      <c r="BL124" s="210">
        <v>100</v>
      </c>
      <c r="BM124" s="211"/>
      <c r="BN124" s="211"/>
      <c r="BO124" s="212">
        <f t="shared" si="152"/>
        <v>0</v>
      </c>
      <c r="BP124" s="201">
        <f t="shared" si="153"/>
        <v>439.25</v>
      </c>
      <c r="BQ124" s="201">
        <f t="shared" si="158"/>
        <v>439.25</v>
      </c>
      <c r="BR124" s="201">
        <f t="shared" si="166"/>
        <v>0</v>
      </c>
      <c r="BS124" s="201">
        <f t="shared" si="166"/>
        <v>439.25</v>
      </c>
      <c r="BT124" s="201">
        <f t="shared" si="160"/>
        <v>439.25</v>
      </c>
      <c r="BU124" s="213">
        <f t="shared" si="161"/>
        <v>0</v>
      </c>
      <c r="BV124" s="201"/>
      <c r="BW124" s="201"/>
      <c r="BX124" s="201">
        <f t="shared" si="162"/>
        <v>0</v>
      </c>
      <c r="BY124" s="199">
        <v>0</v>
      </c>
      <c r="BZ124" s="199">
        <v>0</v>
      </c>
      <c r="CA124" s="199">
        <v>0</v>
      </c>
      <c r="CB124" s="199">
        <v>130000</v>
      </c>
      <c r="CC124" s="199">
        <v>0</v>
      </c>
      <c r="CD124" s="199">
        <v>0</v>
      </c>
      <c r="CE124" s="199">
        <v>0</v>
      </c>
      <c r="CF124" s="199">
        <v>0</v>
      </c>
      <c r="CG124" s="199">
        <v>0</v>
      </c>
      <c r="CH124" s="199">
        <v>0</v>
      </c>
      <c r="CI124" s="199">
        <v>0</v>
      </c>
      <c r="CJ124" s="199">
        <v>0</v>
      </c>
      <c r="CK124" s="214" t="s">
        <v>427</v>
      </c>
      <c r="CL124" s="214" t="s">
        <v>276</v>
      </c>
      <c r="CM124" s="211">
        <v>185</v>
      </c>
      <c r="CN124" s="215"/>
      <c r="CO124" s="215"/>
      <c r="CP124" s="216"/>
      <c r="CQ124" s="217"/>
      <c r="CR124" s="211"/>
      <c r="CS124" s="218"/>
      <c r="CT124" s="218"/>
      <c r="CU124" s="218"/>
      <c r="CV124" s="211"/>
      <c r="CW124" s="211"/>
      <c r="CX124" s="211"/>
      <c r="CY124" s="211"/>
      <c r="CZ124" s="211"/>
      <c r="DA124" s="211"/>
      <c r="DB124" s="211"/>
      <c r="DC124" s="219"/>
      <c r="DD124" s="219"/>
      <c r="DE124" s="219"/>
      <c r="DF124" s="211"/>
      <c r="DG124" s="211"/>
      <c r="DH124" s="211"/>
      <c r="DI124" s="211"/>
      <c r="DJ124" s="211"/>
      <c r="DK124" s="220" t="s">
        <v>32</v>
      </c>
      <c r="DT124" s="222"/>
    </row>
    <row r="125" spans="1:124" s="176" customFormat="1" ht="42" x14ac:dyDescent="0.2">
      <c r="A125" s="195" t="s">
        <v>119</v>
      </c>
      <c r="B125" s="197" t="s">
        <v>428</v>
      </c>
      <c r="C125" s="198">
        <v>1</v>
      </c>
      <c r="D125" s="199">
        <v>800000</v>
      </c>
      <c r="E125" s="198" t="s">
        <v>429</v>
      </c>
      <c r="F125" s="198" t="s">
        <v>430</v>
      </c>
      <c r="G125" s="198" t="s">
        <v>123</v>
      </c>
      <c r="H125" s="200">
        <v>1</v>
      </c>
      <c r="I125" s="199">
        <f t="shared" si="127"/>
        <v>0</v>
      </c>
      <c r="J125" s="199">
        <f t="shared" si="128"/>
        <v>800000</v>
      </c>
      <c r="K125" s="199">
        <f t="shared" si="129"/>
        <v>800000</v>
      </c>
      <c r="L125" s="199"/>
      <c r="M125" s="199">
        <v>800000</v>
      </c>
      <c r="N125" s="199">
        <f t="shared" si="130"/>
        <v>800000</v>
      </c>
      <c r="O125" s="199"/>
      <c r="P125" s="201">
        <v>0</v>
      </c>
      <c r="Q125" s="202">
        <v>12</v>
      </c>
      <c r="R125" s="203">
        <v>45566</v>
      </c>
      <c r="S125" s="204"/>
      <c r="T125" s="204">
        <v>800000</v>
      </c>
      <c r="U125" s="204">
        <f t="shared" si="131"/>
        <v>800000</v>
      </c>
      <c r="V125" s="205"/>
      <c r="W125" s="200"/>
      <c r="X125" s="201"/>
      <c r="Y125" s="201"/>
      <c r="Z125" s="201">
        <f t="shared" si="132"/>
        <v>0</v>
      </c>
      <c r="AA125" s="198"/>
      <c r="AB125" s="206"/>
      <c r="AC125" s="207"/>
      <c r="AD125" s="201"/>
      <c r="AE125" s="204">
        <f t="shared" si="133"/>
        <v>0</v>
      </c>
      <c r="AF125" s="203">
        <f t="shared" si="134"/>
        <v>45566</v>
      </c>
      <c r="AG125" s="201">
        <f t="shared" si="135"/>
        <v>0</v>
      </c>
      <c r="AH125" s="199">
        <f t="shared" si="136"/>
        <v>800000</v>
      </c>
      <c r="AI125" s="199">
        <f t="shared" si="137"/>
        <v>800000</v>
      </c>
      <c r="AJ125" s="201">
        <f t="shared" si="167"/>
        <v>0</v>
      </c>
      <c r="AK125" s="201">
        <f t="shared" si="167"/>
        <v>800000</v>
      </c>
      <c r="AL125" s="201">
        <f t="shared" si="139"/>
        <v>800000</v>
      </c>
      <c r="AM125" s="198"/>
      <c r="AN125" s="203"/>
      <c r="AO125" s="208"/>
      <c r="AP125" s="201">
        <f t="shared" si="140"/>
        <v>0</v>
      </c>
      <c r="AQ125" s="201">
        <f t="shared" si="141"/>
        <v>651145.98</v>
      </c>
      <c r="AR125" s="201">
        <f t="shared" si="142"/>
        <v>651145.98</v>
      </c>
      <c r="AS125" s="201">
        <f t="shared" si="143"/>
        <v>81.393247500000001</v>
      </c>
      <c r="AT125" s="201"/>
      <c r="AU125" s="209">
        <v>651145.98</v>
      </c>
      <c r="AV125" s="201">
        <f t="shared" si="144"/>
        <v>651145.98</v>
      </c>
      <c r="AW125" s="201">
        <f t="shared" si="157"/>
        <v>0</v>
      </c>
      <c r="AX125" s="201">
        <f t="shared" si="145"/>
        <v>81.393247500000001</v>
      </c>
      <c r="AY125" s="208"/>
      <c r="AZ125" s="201">
        <f t="shared" si="146"/>
        <v>0</v>
      </c>
      <c r="BA125" s="201">
        <f t="shared" si="147"/>
        <v>0</v>
      </c>
      <c r="BB125" s="201">
        <f t="shared" si="148"/>
        <v>0</v>
      </c>
      <c r="BC125" s="201"/>
      <c r="BD125" s="223">
        <v>0</v>
      </c>
      <c r="BE125" s="201">
        <f t="shared" si="149"/>
        <v>0</v>
      </c>
      <c r="BF125" s="208"/>
      <c r="BG125" s="201">
        <f t="shared" si="168"/>
        <v>0</v>
      </c>
      <c r="BH125" s="201">
        <f t="shared" si="168"/>
        <v>651145.98</v>
      </c>
      <c r="BI125" s="201">
        <f t="shared" si="151"/>
        <v>651145.98</v>
      </c>
      <c r="BJ125" s="201">
        <f t="shared" si="163"/>
        <v>81.393247500000001</v>
      </c>
      <c r="BK125" s="210">
        <v>35</v>
      </c>
      <c r="BL125" s="210">
        <v>35</v>
      </c>
      <c r="BM125" s="211"/>
      <c r="BN125" s="211"/>
      <c r="BO125" s="212">
        <f t="shared" si="152"/>
        <v>0</v>
      </c>
      <c r="BP125" s="201">
        <f t="shared" si="153"/>
        <v>148854.02000000002</v>
      </c>
      <c r="BQ125" s="201">
        <f t="shared" si="158"/>
        <v>148854.02000000002</v>
      </c>
      <c r="BR125" s="201">
        <f t="shared" ref="BR125:BS175" si="169">+AJ125-AT125</f>
        <v>0</v>
      </c>
      <c r="BS125" s="201">
        <f t="shared" si="169"/>
        <v>148854.02000000002</v>
      </c>
      <c r="BT125" s="201">
        <f t="shared" si="160"/>
        <v>148854.02000000002</v>
      </c>
      <c r="BU125" s="213">
        <f t="shared" si="161"/>
        <v>0</v>
      </c>
      <c r="BV125" s="201"/>
      <c r="BW125" s="201"/>
      <c r="BX125" s="201">
        <f t="shared" si="162"/>
        <v>0</v>
      </c>
      <c r="BY125" s="199">
        <v>0</v>
      </c>
      <c r="BZ125" s="199">
        <v>240000</v>
      </c>
      <c r="CA125" s="199">
        <v>320000</v>
      </c>
      <c r="CB125" s="199">
        <v>240000</v>
      </c>
      <c r="CC125" s="199">
        <v>0</v>
      </c>
      <c r="CD125" s="199">
        <v>0</v>
      </c>
      <c r="CE125" s="199">
        <v>0</v>
      </c>
      <c r="CF125" s="199">
        <v>0</v>
      </c>
      <c r="CG125" s="199">
        <v>0</v>
      </c>
      <c r="CH125" s="199">
        <v>0</v>
      </c>
      <c r="CI125" s="199">
        <v>0</v>
      </c>
      <c r="CJ125" s="199">
        <v>0</v>
      </c>
      <c r="CK125" s="214" t="s">
        <v>431</v>
      </c>
      <c r="CL125" s="214" t="s">
        <v>276</v>
      </c>
      <c r="CM125" s="211">
        <v>185</v>
      </c>
      <c r="CN125" s="215"/>
      <c r="CO125" s="215"/>
      <c r="CP125" s="216"/>
      <c r="CQ125" s="217"/>
      <c r="CR125" s="211"/>
      <c r="CS125" s="218"/>
      <c r="CT125" s="218"/>
      <c r="CU125" s="218"/>
      <c r="CV125" s="211"/>
      <c r="CW125" s="211"/>
      <c r="CX125" s="211"/>
      <c r="CY125" s="211"/>
      <c r="CZ125" s="211"/>
      <c r="DA125" s="211"/>
      <c r="DB125" s="211"/>
      <c r="DC125" s="219"/>
      <c r="DD125" s="219"/>
      <c r="DE125" s="219"/>
      <c r="DF125" s="211"/>
      <c r="DG125" s="211"/>
      <c r="DH125" s="211"/>
      <c r="DI125" s="211"/>
      <c r="DJ125" s="211"/>
      <c r="DK125" s="220" t="s">
        <v>32</v>
      </c>
      <c r="DT125" s="222"/>
    </row>
    <row r="126" spans="1:124" s="176" customFormat="1" ht="42" x14ac:dyDescent="0.2">
      <c r="A126" s="195" t="s">
        <v>119</v>
      </c>
      <c r="B126" s="197" t="s">
        <v>432</v>
      </c>
      <c r="C126" s="198">
        <v>1</v>
      </c>
      <c r="D126" s="199">
        <v>1200000</v>
      </c>
      <c r="E126" s="198" t="s">
        <v>423</v>
      </c>
      <c r="F126" s="198" t="s">
        <v>424</v>
      </c>
      <c r="G126" s="198" t="s">
        <v>123</v>
      </c>
      <c r="H126" s="200">
        <v>1</v>
      </c>
      <c r="I126" s="199">
        <f t="shared" si="127"/>
        <v>0</v>
      </c>
      <c r="J126" s="199">
        <f t="shared" si="128"/>
        <v>1200000</v>
      </c>
      <c r="K126" s="199">
        <f t="shared" si="129"/>
        <v>1200000</v>
      </c>
      <c r="L126" s="199"/>
      <c r="M126" s="199">
        <v>1200000</v>
      </c>
      <c r="N126" s="199">
        <f t="shared" si="130"/>
        <v>1200000</v>
      </c>
      <c r="O126" s="199"/>
      <c r="P126" s="201">
        <v>0</v>
      </c>
      <c r="Q126" s="202">
        <v>12</v>
      </c>
      <c r="R126" s="203">
        <v>45566</v>
      </c>
      <c r="S126" s="204"/>
      <c r="T126" s="204">
        <v>1200000</v>
      </c>
      <c r="U126" s="204">
        <f t="shared" si="131"/>
        <v>1200000</v>
      </c>
      <c r="V126" s="205">
        <v>690</v>
      </c>
      <c r="W126" s="200">
        <v>45622</v>
      </c>
      <c r="X126" s="201"/>
      <c r="Y126" s="201">
        <v>-277.02999999999997</v>
      </c>
      <c r="Z126" s="201">
        <f t="shared" si="132"/>
        <v>-277.02999999999997</v>
      </c>
      <c r="AA126" s="198"/>
      <c r="AB126" s="206"/>
      <c r="AC126" s="207"/>
      <c r="AD126" s="201"/>
      <c r="AE126" s="204">
        <f t="shared" si="133"/>
        <v>0</v>
      </c>
      <c r="AF126" s="203">
        <f t="shared" si="134"/>
        <v>45566</v>
      </c>
      <c r="AG126" s="201">
        <f t="shared" si="135"/>
        <v>0</v>
      </c>
      <c r="AH126" s="199">
        <f t="shared" si="136"/>
        <v>1199722.97</v>
      </c>
      <c r="AI126" s="199">
        <f t="shared" si="137"/>
        <v>1199722.97</v>
      </c>
      <c r="AJ126" s="201">
        <f t="shared" si="167"/>
        <v>0</v>
      </c>
      <c r="AK126" s="201">
        <f t="shared" si="167"/>
        <v>1199722.97</v>
      </c>
      <c r="AL126" s="201">
        <f t="shared" si="139"/>
        <v>1199722.97</v>
      </c>
      <c r="AM126" s="198"/>
      <c r="AN126" s="203"/>
      <c r="AO126" s="208"/>
      <c r="AP126" s="201">
        <f t="shared" si="140"/>
        <v>0</v>
      </c>
      <c r="AQ126" s="201">
        <f t="shared" si="141"/>
        <v>1195354.43</v>
      </c>
      <c r="AR126" s="201">
        <f t="shared" si="142"/>
        <v>1195354.43</v>
      </c>
      <c r="AS126" s="201">
        <f t="shared" si="143"/>
        <v>99.635870937771571</v>
      </c>
      <c r="AT126" s="201"/>
      <c r="AU126" s="209">
        <v>1195354.43</v>
      </c>
      <c r="AV126" s="201">
        <f t="shared" si="144"/>
        <v>1195354.43</v>
      </c>
      <c r="AW126" s="201">
        <f t="shared" si="157"/>
        <v>0</v>
      </c>
      <c r="AX126" s="201">
        <f t="shared" si="145"/>
        <v>99.635870937771571</v>
      </c>
      <c r="AY126" s="208"/>
      <c r="AZ126" s="201">
        <f t="shared" si="146"/>
        <v>0</v>
      </c>
      <c r="BA126" s="201">
        <f t="shared" si="147"/>
        <v>0</v>
      </c>
      <c r="BB126" s="201">
        <f t="shared" si="148"/>
        <v>0</v>
      </c>
      <c r="BC126" s="201"/>
      <c r="BD126" s="223">
        <v>0</v>
      </c>
      <c r="BE126" s="201">
        <f t="shared" si="149"/>
        <v>0</v>
      </c>
      <c r="BF126" s="208"/>
      <c r="BG126" s="201">
        <f t="shared" si="168"/>
        <v>0</v>
      </c>
      <c r="BH126" s="201">
        <f t="shared" si="168"/>
        <v>1195354.43</v>
      </c>
      <c r="BI126" s="201">
        <f t="shared" si="151"/>
        <v>1195354.43</v>
      </c>
      <c r="BJ126" s="201">
        <f t="shared" si="163"/>
        <v>99.635870937771571</v>
      </c>
      <c r="BK126" s="210">
        <v>35</v>
      </c>
      <c r="BL126" s="210">
        <v>80</v>
      </c>
      <c r="BM126" s="211"/>
      <c r="BN126" s="211"/>
      <c r="BO126" s="212">
        <f t="shared" si="152"/>
        <v>0</v>
      </c>
      <c r="BP126" s="201">
        <f t="shared" si="153"/>
        <v>4368.5400000000373</v>
      </c>
      <c r="BQ126" s="201">
        <f t="shared" si="158"/>
        <v>4368.5400000000373</v>
      </c>
      <c r="BR126" s="201">
        <f t="shared" si="169"/>
        <v>0</v>
      </c>
      <c r="BS126" s="201">
        <f t="shared" si="169"/>
        <v>4368.5400000000373</v>
      </c>
      <c r="BT126" s="201">
        <f t="shared" si="160"/>
        <v>4368.5400000000373</v>
      </c>
      <c r="BU126" s="213">
        <f t="shared" si="161"/>
        <v>0</v>
      </c>
      <c r="BV126" s="201">
        <v>277.02999999999997</v>
      </c>
      <c r="BW126" s="201"/>
      <c r="BX126" s="201">
        <f t="shared" si="162"/>
        <v>277.02999999999997</v>
      </c>
      <c r="BY126" s="199">
        <v>400000</v>
      </c>
      <c r="BZ126" s="199">
        <v>400000</v>
      </c>
      <c r="CA126" s="199">
        <v>400000</v>
      </c>
      <c r="CB126" s="199">
        <v>0</v>
      </c>
      <c r="CC126" s="199">
        <v>0</v>
      </c>
      <c r="CD126" s="199">
        <v>0</v>
      </c>
      <c r="CE126" s="199">
        <v>0</v>
      </c>
      <c r="CF126" s="199">
        <v>0</v>
      </c>
      <c r="CG126" s="199">
        <v>0</v>
      </c>
      <c r="CH126" s="199">
        <v>0</v>
      </c>
      <c r="CI126" s="199">
        <v>0</v>
      </c>
      <c r="CJ126" s="199">
        <v>0</v>
      </c>
      <c r="CK126" s="214" t="s">
        <v>433</v>
      </c>
      <c r="CL126" s="214" t="s">
        <v>276</v>
      </c>
      <c r="CM126" s="211">
        <v>185</v>
      </c>
      <c r="CN126" s="215"/>
      <c r="CO126" s="215"/>
      <c r="CP126" s="216"/>
      <c r="CQ126" s="217"/>
      <c r="CR126" s="211"/>
      <c r="CS126" s="218"/>
      <c r="CT126" s="218"/>
      <c r="CU126" s="218"/>
      <c r="CV126" s="211"/>
      <c r="CW126" s="211"/>
      <c r="CX126" s="211"/>
      <c r="CY126" s="211"/>
      <c r="CZ126" s="211"/>
      <c r="DA126" s="211"/>
      <c r="DB126" s="211"/>
      <c r="DC126" s="219"/>
      <c r="DD126" s="219"/>
      <c r="DE126" s="219"/>
      <c r="DF126" s="211"/>
      <c r="DG126" s="211"/>
      <c r="DH126" s="211"/>
      <c r="DI126" s="211"/>
      <c r="DJ126" s="211"/>
      <c r="DK126" s="220" t="s">
        <v>32</v>
      </c>
      <c r="DT126" s="222"/>
    </row>
    <row r="127" spans="1:124" s="176" customFormat="1" ht="42" x14ac:dyDescent="0.2">
      <c r="A127" s="195" t="s">
        <v>119</v>
      </c>
      <c r="B127" s="197" t="s">
        <v>434</v>
      </c>
      <c r="C127" s="198">
        <v>1</v>
      </c>
      <c r="D127" s="199">
        <v>130000</v>
      </c>
      <c r="E127" s="198" t="s">
        <v>405</v>
      </c>
      <c r="F127" s="198" t="s">
        <v>405</v>
      </c>
      <c r="G127" s="198" t="s">
        <v>123</v>
      </c>
      <c r="H127" s="200">
        <v>1</v>
      </c>
      <c r="I127" s="199">
        <f t="shared" si="127"/>
        <v>0</v>
      </c>
      <c r="J127" s="199">
        <f t="shared" si="128"/>
        <v>130000</v>
      </c>
      <c r="K127" s="199">
        <f t="shared" si="129"/>
        <v>130000</v>
      </c>
      <c r="L127" s="199"/>
      <c r="M127" s="199">
        <v>130000</v>
      </c>
      <c r="N127" s="199">
        <f t="shared" si="130"/>
        <v>130000</v>
      </c>
      <c r="O127" s="199"/>
      <c r="P127" s="201">
        <v>0</v>
      </c>
      <c r="Q127" s="202">
        <v>12</v>
      </c>
      <c r="R127" s="203">
        <v>45566</v>
      </c>
      <c r="S127" s="204"/>
      <c r="T127" s="204">
        <v>130000</v>
      </c>
      <c r="U127" s="204">
        <f t="shared" si="131"/>
        <v>130000</v>
      </c>
      <c r="V127" s="205"/>
      <c r="W127" s="200"/>
      <c r="X127" s="201"/>
      <c r="Y127" s="201"/>
      <c r="Z127" s="201">
        <f t="shared" si="132"/>
        <v>0</v>
      </c>
      <c r="AA127" s="198"/>
      <c r="AB127" s="206"/>
      <c r="AC127" s="207"/>
      <c r="AD127" s="201"/>
      <c r="AE127" s="204">
        <f t="shared" si="133"/>
        <v>0</v>
      </c>
      <c r="AF127" s="203">
        <f t="shared" si="134"/>
        <v>45566</v>
      </c>
      <c r="AG127" s="201">
        <f t="shared" si="135"/>
        <v>0</v>
      </c>
      <c r="AH127" s="199">
        <f t="shared" si="136"/>
        <v>130000</v>
      </c>
      <c r="AI127" s="199">
        <f t="shared" si="137"/>
        <v>130000</v>
      </c>
      <c r="AJ127" s="201">
        <f t="shared" si="167"/>
        <v>0</v>
      </c>
      <c r="AK127" s="201">
        <f t="shared" si="167"/>
        <v>130000</v>
      </c>
      <c r="AL127" s="201">
        <f t="shared" si="139"/>
        <v>130000</v>
      </c>
      <c r="AM127" s="198"/>
      <c r="AN127" s="203"/>
      <c r="AO127" s="208"/>
      <c r="AP127" s="201">
        <f t="shared" si="140"/>
        <v>0</v>
      </c>
      <c r="AQ127" s="201">
        <f t="shared" si="141"/>
        <v>129949.6</v>
      </c>
      <c r="AR127" s="201">
        <f t="shared" si="142"/>
        <v>129949.6</v>
      </c>
      <c r="AS127" s="201">
        <f t="shared" si="143"/>
        <v>99.961230769230767</v>
      </c>
      <c r="AT127" s="201"/>
      <c r="AU127" s="209">
        <v>129949.6</v>
      </c>
      <c r="AV127" s="201">
        <f t="shared" si="144"/>
        <v>129949.6</v>
      </c>
      <c r="AW127" s="201">
        <f t="shared" si="157"/>
        <v>0</v>
      </c>
      <c r="AX127" s="201">
        <f t="shared" si="145"/>
        <v>99.961230769230767</v>
      </c>
      <c r="AY127" s="208"/>
      <c r="AZ127" s="201">
        <f t="shared" si="146"/>
        <v>0</v>
      </c>
      <c r="BA127" s="201">
        <f t="shared" si="147"/>
        <v>0</v>
      </c>
      <c r="BB127" s="201">
        <f t="shared" si="148"/>
        <v>0</v>
      </c>
      <c r="BC127" s="201"/>
      <c r="BD127" s="223">
        <v>0</v>
      </c>
      <c r="BE127" s="201">
        <f t="shared" si="149"/>
        <v>0</v>
      </c>
      <c r="BF127" s="208"/>
      <c r="BG127" s="201">
        <f t="shared" si="168"/>
        <v>0</v>
      </c>
      <c r="BH127" s="201">
        <f t="shared" si="168"/>
        <v>129949.6</v>
      </c>
      <c r="BI127" s="201">
        <f t="shared" si="151"/>
        <v>129949.6</v>
      </c>
      <c r="BJ127" s="201">
        <f t="shared" si="163"/>
        <v>99.961230769230767</v>
      </c>
      <c r="BK127" s="210">
        <v>0</v>
      </c>
      <c r="BL127" s="210">
        <v>100</v>
      </c>
      <c r="BM127" s="211"/>
      <c r="BN127" s="211"/>
      <c r="BO127" s="212">
        <f t="shared" si="152"/>
        <v>0</v>
      </c>
      <c r="BP127" s="201">
        <f t="shared" si="153"/>
        <v>50.399999999994179</v>
      </c>
      <c r="BQ127" s="201">
        <f t="shared" si="158"/>
        <v>50.399999999994179</v>
      </c>
      <c r="BR127" s="201">
        <f t="shared" si="169"/>
        <v>0</v>
      </c>
      <c r="BS127" s="201">
        <f t="shared" si="169"/>
        <v>50.399999999994179</v>
      </c>
      <c r="BT127" s="201">
        <f t="shared" si="160"/>
        <v>50.399999999994179</v>
      </c>
      <c r="BU127" s="213">
        <f t="shared" si="161"/>
        <v>0</v>
      </c>
      <c r="BV127" s="201"/>
      <c r="BW127" s="201"/>
      <c r="BX127" s="201">
        <f t="shared" si="162"/>
        <v>0</v>
      </c>
      <c r="BY127" s="199">
        <v>0</v>
      </c>
      <c r="BZ127" s="199">
        <v>0</v>
      </c>
      <c r="CA127" s="199">
        <v>0</v>
      </c>
      <c r="CB127" s="199">
        <v>130000</v>
      </c>
      <c r="CC127" s="199">
        <v>0</v>
      </c>
      <c r="CD127" s="199">
        <v>0</v>
      </c>
      <c r="CE127" s="199">
        <v>0</v>
      </c>
      <c r="CF127" s="199">
        <v>0</v>
      </c>
      <c r="CG127" s="199">
        <v>0</v>
      </c>
      <c r="CH127" s="199">
        <v>0</v>
      </c>
      <c r="CI127" s="199">
        <v>0</v>
      </c>
      <c r="CJ127" s="199">
        <v>0</v>
      </c>
      <c r="CK127" s="214" t="s">
        <v>435</v>
      </c>
      <c r="CL127" s="214" t="s">
        <v>276</v>
      </c>
      <c r="CM127" s="211">
        <v>185</v>
      </c>
      <c r="CN127" s="215"/>
      <c r="CO127" s="215"/>
      <c r="CP127" s="216"/>
      <c r="CQ127" s="217"/>
      <c r="CR127" s="211"/>
      <c r="CS127" s="218"/>
      <c r="CT127" s="218"/>
      <c r="CU127" s="218"/>
      <c r="CV127" s="211"/>
      <c r="CW127" s="211"/>
      <c r="CX127" s="211"/>
      <c r="CY127" s="211"/>
      <c r="CZ127" s="211"/>
      <c r="DA127" s="211"/>
      <c r="DB127" s="211"/>
      <c r="DC127" s="219"/>
      <c r="DD127" s="219"/>
      <c r="DE127" s="219"/>
      <c r="DF127" s="211"/>
      <c r="DG127" s="211"/>
      <c r="DH127" s="211"/>
      <c r="DI127" s="211"/>
      <c r="DJ127" s="211"/>
      <c r="DK127" s="220" t="s">
        <v>32</v>
      </c>
      <c r="DT127" s="222"/>
    </row>
    <row r="128" spans="1:124" s="176" customFormat="1" ht="42" x14ac:dyDescent="0.2">
      <c r="A128" s="195" t="s">
        <v>119</v>
      </c>
      <c r="B128" s="197" t="s">
        <v>436</v>
      </c>
      <c r="C128" s="198">
        <v>1</v>
      </c>
      <c r="D128" s="199">
        <v>1200000</v>
      </c>
      <c r="E128" s="198" t="s">
        <v>437</v>
      </c>
      <c r="F128" s="198" t="s">
        <v>438</v>
      </c>
      <c r="G128" s="198" t="s">
        <v>123</v>
      </c>
      <c r="H128" s="200">
        <v>1</v>
      </c>
      <c r="I128" s="199">
        <f t="shared" si="127"/>
        <v>0</v>
      </c>
      <c r="J128" s="199">
        <f t="shared" si="128"/>
        <v>1200000</v>
      </c>
      <c r="K128" s="199">
        <f t="shared" si="129"/>
        <v>1200000</v>
      </c>
      <c r="L128" s="199"/>
      <c r="M128" s="199">
        <v>1200000</v>
      </c>
      <c r="N128" s="199">
        <f t="shared" si="130"/>
        <v>1200000</v>
      </c>
      <c r="O128" s="199"/>
      <c r="P128" s="201">
        <v>0</v>
      </c>
      <c r="Q128" s="202">
        <v>472</v>
      </c>
      <c r="R128" s="203">
        <v>45607</v>
      </c>
      <c r="S128" s="204"/>
      <c r="T128" s="204">
        <v>1200000</v>
      </c>
      <c r="U128" s="204">
        <f t="shared" si="131"/>
        <v>1200000</v>
      </c>
      <c r="V128" s="205"/>
      <c r="W128" s="200"/>
      <c r="X128" s="201"/>
      <c r="Y128" s="201"/>
      <c r="Z128" s="201">
        <f t="shared" si="132"/>
        <v>0</v>
      </c>
      <c r="AA128" s="198"/>
      <c r="AB128" s="206"/>
      <c r="AC128" s="207"/>
      <c r="AD128" s="201"/>
      <c r="AE128" s="204">
        <f t="shared" si="133"/>
        <v>0</v>
      </c>
      <c r="AF128" s="203">
        <f t="shared" si="134"/>
        <v>45607</v>
      </c>
      <c r="AG128" s="201">
        <f t="shared" si="135"/>
        <v>0</v>
      </c>
      <c r="AH128" s="199">
        <f t="shared" si="136"/>
        <v>1200000</v>
      </c>
      <c r="AI128" s="199">
        <f t="shared" si="137"/>
        <v>1200000</v>
      </c>
      <c r="AJ128" s="201">
        <f t="shared" si="167"/>
        <v>0</v>
      </c>
      <c r="AK128" s="201">
        <f t="shared" si="167"/>
        <v>1200000</v>
      </c>
      <c r="AL128" s="201">
        <f t="shared" si="139"/>
        <v>1200000</v>
      </c>
      <c r="AM128" s="198"/>
      <c r="AN128" s="203"/>
      <c r="AO128" s="208"/>
      <c r="AP128" s="201">
        <f t="shared" si="140"/>
        <v>0</v>
      </c>
      <c r="AQ128" s="201">
        <f t="shared" si="141"/>
        <v>1176271.17</v>
      </c>
      <c r="AR128" s="201">
        <f t="shared" si="142"/>
        <v>1176271.17</v>
      </c>
      <c r="AS128" s="201">
        <f t="shared" si="143"/>
        <v>98.022597500000003</v>
      </c>
      <c r="AT128" s="201"/>
      <c r="AU128" s="209">
        <v>1176271.17</v>
      </c>
      <c r="AV128" s="201">
        <f t="shared" si="144"/>
        <v>1176271.17</v>
      </c>
      <c r="AW128" s="201">
        <f t="shared" si="157"/>
        <v>0</v>
      </c>
      <c r="AX128" s="201">
        <f t="shared" si="145"/>
        <v>98.022597500000003</v>
      </c>
      <c r="AY128" s="208"/>
      <c r="AZ128" s="201">
        <f t="shared" si="146"/>
        <v>0</v>
      </c>
      <c r="BA128" s="201">
        <f t="shared" si="147"/>
        <v>0</v>
      </c>
      <c r="BB128" s="201">
        <f t="shared" si="148"/>
        <v>0</v>
      </c>
      <c r="BC128" s="201"/>
      <c r="BD128" s="209">
        <v>0</v>
      </c>
      <c r="BE128" s="201">
        <f t="shared" si="149"/>
        <v>0</v>
      </c>
      <c r="BF128" s="208"/>
      <c r="BG128" s="201">
        <f t="shared" si="168"/>
        <v>0</v>
      </c>
      <c r="BH128" s="201">
        <f t="shared" si="168"/>
        <v>1176271.17</v>
      </c>
      <c r="BI128" s="201">
        <f t="shared" si="151"/>
        <v>1176271.17</v>
      </c>
      <c r="BJ128" s="201">
        <f t="shared" si="163"/>
        <v>98.022597500000003</v>
      </c>
      <c r="BK128" s="210">
        <v>0</v>
      </c>
      <c r="BL128" s="210">
        <v>90</v>
      </c>
      <c r="BM128" s="211"/>
      <c r="BN128" s="211"/>
      <c r="BO128" s="212">
        <f t="shared" si="152"/>
        <v>0</v>
      </c>
      <c r="BP128" s="201">
        <f t="shared" si="153"/>
        <v>23728.830000000075</v>
      </c>
      <c r="BQ128" s="201">
        <f t="shared" si="158"/>
        <v>23728.830000000075</v>
      </c>
      <c r="BR128" s="201">
        <f t="shared" si="169"/>
        <v>0</v>
      </c>
      <c r="BS128" s="201">
        <f t="shared" si="169"/>
        <v>23728.830000000075</v>
      </c>
      <c r="BT128" s="201">
        <f t="shared" si="160"/>
        <v>23728.830000000075</v>
      </c>
      <c r="BU128" s="213">
        <f t="shared" si="161"/>
        <v>0</v>
      </c>
      <c r="BV128" s="201"/>
      <c r="BW128" s="201"/>
      <c r="BX128" s="201">
        <f t="shared" si="162"/>
        <v>0</v>
      </c>
      <c r="BY128" s="199">
        <v>200000</v>
      </c>
      <c r="BZ128" s="199">
        <v>200000</v>
      </c>
      <c r="CA128" s="199">
        <v>200000</v>
      </c>
      <c r="CB128" s="199">
        <v>200000</v>
      </c>
      <c r="CC128" s="199">
        <v>200000</v>
      </c>
      <c r="CD128" s="199">
        <v>200000</v>
      </c>
      <c r="CE128" s="199"/>
      <c r="CF128" s="199"/>
      <c r="CG128" s="199"/>
      <c r="CH128" s="199"/>
      <c r="CI128" s="199"/>
      <c r="CJ128" s="199"/>
      <c r="CK128" s="214"/>
      <c r="CL128" s="214"/>
      <c r="CM128" s="211">
        <v>183</v>
      </c>
      <c r="CN128" s="215"/>
      <c r="CO128" s="215"/>
      <c r="CP128" s="216"/>
      <c r="CQ128" s="217"/>
      <c r="CR128" s="211"/>
      <c r="CS128" s="218"/>
      <c r="CT128" s="218"/>
      <c r="CU128" s="218"/>
      <c r="CV128" s="211"/>
      <c r="CW128" s="211"/>
      <c r="CX128" s="211"/>
      <c r="CY128" s="211"/>
      <c r="CZ128" s="211"/>
      <c r="DA128" s="211"/>
      <c r="DB128" s="211"/>
      <c r="DC128" s="219"/>
      <c r="DD128" s="219"/>
      <c r="DE128" s="219"/>
      <c r="DF128" s="211"/>
      <c r="DG128" s="211"/>
      <c r="DH128" s="211"/>
      <c r="DI128" s="211"/>
      <c r="DJ128" s="211"/>
      <c r="DK128" s="220" t="s">
        <v>32</v>
      </c>
      <c r="DT128" s="222"/>
    </row>
    <row r="129" spans="1:124" s="176" customFormat="1" ht="63" x14ac:dyDescent="0.2">
      <c r="A129" s="195" t="s">
        <v>119</v>
      </c>
      <c r="B129" s="197" t="s">
        <v>439</v>
      </c>
      <c r="C129" s="198">
        <v>1</v>
      </c>
      <c r="D129" s="199">
        <v>450000</v>
      </c>
      <c r="E129" s="198" t="s">
        <v>440</v>
      </c>
      <c r="F129" s="198" t="s">
        <v>430</v>
      </c>
      <c r="G129" s="198" t="s">
        <v>123</v>
      </c>
      <c r="H129" s="200">
        <v>1</v>
      </c>
      <c r="I129" s="199">
        <f t="shared" si="127"/>
        <v>0</v>
      </c>
      <c r="J129" s="199">
        <f t="shared" si="128"/>
        <v>450000</v>
      </c>
      <c r="K129" s="199">
        <f t="shared" si="129"/>
        <v>450000</v>
      </c>
      <c r="L129" s="199"/>
      <c r="M129" s="199">
        <v>450000</v>
      </c>
      <c r="N129" s="199">
        <f t="shared" si="130"/>
        <v>450000</v>
      </c>
      <c r="O129" s="199"/>
      <c r="P129" s="201">
        <v>0</v>
      </c>
      <c r="Q129" s="202">
        <v>12</v>
      </c>
      <c r="R129" s="203">
        <v>45566</v>
      </c>
      <c r="S129" s="204"/>
      <c r="T129" s="204">
        <v>450000</v>
      </c>
      <c r="U129" s="204">
        <f t="shared" si="131"/>
        <v>450000</v>
      </c>
      <c r="V129" s="205"/>
      <c r="W129" s="200"/>
      <c r="X129" s="201"/>
      <c r="Y129" s="201"/>
      <c r="Z129" s="201">
        <f t="shared" si="132"/>
        <v>0</v>
      </c>
      <c r="AA129" s="198"/>
      <c r="AB129" s="206"/>
      <c r="AC129" s="207"/>
      <c r="AD129" s="201"/>
      <c r="AE129" s="204">
        <f t="shared" si="133"/>
        <v>0</v>
      </c>
      <c r="AF129" s="203">
        <f t="shared" si="134"/>
        <v>45566</v>
      </c>
      <c r="AG129" s="201">
        <f t="shared" si="135"/>
        <v>0</v>
      </c>
      <c r="AH129" s="199">
        <f t="shared" si="136"/>
        <v>450000</v>
      </c>
      <c r="AI129" s="199">
        <f t="shared" si="137"/>
        <v>450000</v>
      </c>
      <c r="AJ129" s="201">
        <f t="shared" si="167"/>
        <v>0</v>
      </c>
      <c r="AK129" s="201">
        <f t="shared" si="167"/>
        <v>450000</v>
      </c>
      <c r="AL129" s="201">
        <f t="shared" si="139"/>
        <v>450000</v>
      </c>
      <c r="AM129" s="198"/>
      <c r="AN129" s="203"/>
      <c r="AO129" s="208"/>
      <c r="AP129" s="201">
        <f t="shared" si="140"/>
        <v>0</v>
      </c>
      <c r="AQ129" s="201">
        <f t="shared" si="141"/>
        <v>448762.3</v>
      </c>
      <c r="AR129" s="201">
        <f t="shared" si="142"/>
        <v>448762.3</v>
      </c>
      <c r="AS129" s="201">
        <f t="shared" si="143"/>
        <v>99.724955555555553</v>
      </c>
      <c r="AT129" s="201"/>
      <c r="AU129" s="209">
        <v>448762.3</v>
      </c>
      <c r="AV129" s="201">
        <f t="shared" si="144"/>
        <v>448762.3</v>
      </c>
      <c r="AW129" s="201">
        <f t="shared" si="157"/>
        <v>0</v>
      </c>
      <c r="AX129" s="201">
        <f t="shared" si="145"/>
        <v>99.724955555555553</v>
      </c>
      <c r="AY129" s="208"/>
      <c r="AZ129" s="201">
        <f t="shared" si="146"/>
        <v>0</v>
      </c>
      <c r="BA129" s="201">
        <f t="shared" si="147"/>
        <v>0</v>
      </c>
      <c r="BB129" s="201">
        <f t="shared" si="148"/>
        <v>0</v>
      </c>
      <c r="BC129" s="201"/>
      <c r="BD129" s="223">
        <v>0</v>
      </c>
      <c r="BE129" s="201">
        <f t="shared" si="149"/>
        <v>0</v>
      </c>
      <c r="BF129" s="208"/>
      <c r="BG129" s="201">
        <f t="shared" si="168"/>
        <v>0</v>
      </c>
      <c r="BH129" s="201">
        <f t="shared" si="168"/>
        <v>448762.3</v>
      </c>
      <c r="BI129" s="201">
        <f t="shared" si="151"/>
        <v>448762.3</v>
      </c>
      <c r="BJ129" s="201">
        <f t="shared" si="163"/>
        <v>99.724955555555553</v>
      </c>
      <c r="BK129" s="210">
        <v>0</v>
      </c>
      <c r="BL129" s="210">
        <v>100</v>
      </c>
      <c r="BM129" s="211"/>
      <c r="BN129" s="211"/>
      <c r="BO129" s="212">
        <f t="shared" si="152"/>
        <v>0</v>
      </c>
      <c r="BP129" s="201">
        <f t="shared" si="153"/>
        <v>1237.7000000000116</v>
      </c>
      <c r="BQ129" s="201">
        <f t="shared" si="158"/>
        <v>1237.7000000000116</v>
      </c>
      <c r="BR129" s="201">
        <f t="shared" si="169"/>
        <v>0</v>
      </c>
      <c r="BS129" s="201">
        <f t="shared" si="169"/>
        <v>1237.7000000000116</v>
      </c>
      <c r="BT129" s="201">
        <f t="shared" si="160"/>
        <v>1237.7000000000116</v>
      </c>
      <c r="BU129" s="213">
        <f t="shared" si="161"/>
        <v>0</v>
      </c>
      <c r="BV129" s="201"/>
      <c r="BW129" s="201"/>
      <c r="BX129" s="201">
        <f t="shared" si="162"/>
        <v>0</v>
      </c>
      <c r="BY129" s="199">
        <v>0</v>
      </c>
      <c r="BZ129" s="199">
        <v>0</v>
      </c>
      <c r="CA129" s="199">
        <v>0</v>
      </c>
      <c r="CB129" s="199">
        <v>225000</v>
      </c>
      <c r="CC129" s="199">
        <v>225000</v>
      </c>
      <c r="CD129" s="199">
        <v>0</v>
      </c>
      <c r="CE129" s="199">
        <v>0</v>
      </c>
      <c r="CF129" s="199">
        <v>0</v>
      </c>
      <c r="CG129" s="199">
        <v>0</v>
      </c>
      <c r="CH129" s="199">
        <v>0</v>
      </c>
      <c r="CI129" s="199">
        <v>0</v>
      </c>
      <c r="CJ129" s="199">
        <v>0</v>
      </c>
      <c r="CK129" s="214" t="s">
        <v>441</v>
      </c>
      <c r="CL129" s="214" t="s">
        <v>276</v>
      </c>
      <c r="CM129" s="211">
        <v>185</v>
      </c>
      <c r="CN129" s="215"/>
      <c r="CO129" s="215"/>
      <c r="CP129" s="216"/>
      <c r="CQ129" s="217"/>
      <c r="CR129" s="211"/>
      <c r="CS129" s="218"/>
      <c r="CT129" s="218"/>
      <c r="CU129" s="218"/>
      <c r="CV129" s="211"/>
      <c r="CW129" s="211"/>
      <c r="CX129" s="211"/>
      <c r="CY129" s="211"/>
      <c r="CZ129" s="211"/>
      <c r="DA129" s="211"/>
      <c r="DB129" s="211"/>
      <c r="DC129" s="219"/>
      <c r="DD129" s="219"/>
      <c r="DE129" s="219"/>
      <c r="DF129" s="211"/>
      <c r="DG129" s="211"/>
      <c r="DH129" s="211"/>
      <c r="DI129" s="211"/>
      <c r="DJ129" s="211"/>
      <c r="DK129" s="220" t="s">
        <v>32</v>
      </c>
      <c r="DT129" s="222"/>
    </row>
    <row r="130" spans="1:124" s="176" customFormat="1" ht="42" x14ac:dyDescent="0.2">
      <c r="A130" s="195" t="s">
        <v>119</v>
      </c>
      <c r="B130" s="197" t="s">
        <v>442</v>
      </c>
      <c r="C130" s="198">
        <v>1</v>
      </c>
      <c r="D130" s="199">
        <v>300000</v>
      </c>
      <c r="E130" s="198" t="s">
        <v>405</v>
      </c>
      <c r="F130" s="198" t="s">
        <v>405</v>
      </c>
      <c r="G130" s="198" t="s">
        <v>123</v>
      </c>
      <c r="H130" s="200">
        <v>1</v>
      </c>
      <c r="I130" s="199">
        <f t="shared" si="127"/>
        <v>0</v>
      </c>
      <c r="J130" s="199">
        <f t="shared" si="128"/>
        <v>300000</v>
      </c>
      <c r="K130" s="199">
        <f t="shared" si="129"/>
        <v>300000</v>
      </c>
      <c r="L130" s="199"/>
      <c r="M130" s="199">
        <v>300000</v>
      </c>
      <c r="N130" s="199">
        <f t="shared" si="130"/>
        <v>300000</v>
      </c>
      <c r="O130" s="199"/>
      <c r="P130" s="201">
        <v>0</v>
      </c>
      <c r="Q130" s="202">
        <v>12</v>
      </c>
      <c r="R130" s="203">
        <v>45566</v>
      </c>
      <c r="S130" s="204"/>
      <c r="T130" s="204">
        <v>300000</v>
      </c>
      <c r="U130" s="204">
        <f t="shared" si="131"/>
        <v>300000</v>
      </c>
      <c r="V130" s="205"/>
      <c r="W130" s="200"/>
      <c r="X130" s="201"/>
      <c r="Y130" s="201"/>
      <c r="Z130" s="201">
        <f t="shared" si="132"/>
        <v>0</v>
      </c>
      <c r="AA130" s="198"/>
      <c r="AB130" s="206"/>
      <c r="AC130" s="207"/>
      <c r="AD130" s="201"/>
      <c r="AE130" s="204">
        <f t="shared" si="133"/>
        <v>0</v>
      </c>
      <c r="AF130" s="203">
        <f t="shared" si="134"/>
        <v>45566</v>
      </c>
      <c r="AG130" s="201">
        <f t="shared" si="135"/>
        <v>0</v>
      </c>
      <c r="AH130" s="199">
        <f t="shared" si="136"/>
        <v>300000</v>
      </c>
      <c r="AI130" s="199">
        <f t="shared" si="137"/>
        <v>300000</v>
      </c>
      <c r="AJ130" s="201">
        <f t="shared" si="167"/>
        <v>0</v>
      </c>
      <c r="AK130" s="201">
        <f t="shared" si="167"/>
        <v>300000</v>
      </c>
      <c r="AL130" s="201">
        <f t="shared" si="139"/>
        <v>300000</v>
      </c>
      <c r="AM130" s="198"/>
      <c r="AN130" s="203"/>
      <c r="AO130" s="208"/>
      <c r="AP130" s="201">
        <f t="shared" si="140"/>
        <v>0</v>
      </c>
      <c r="AQ130" s="201">
        <f t="shared" si="141"/>
        <v>299387.65000000002</v>
      </c>
      <c r="AR130" s="201">
        <f t="shared" si="142"/>
        <v>299387.65000000002</v>
      </c>
      <c r="AS130" s="201">
        <f t="shared" si="143"/>
        <v>99.79588333333335</v>
      </c>
      <c r="AT130" s="201"/>
      <c r="AU130" s="209">
        <v>299387.65000000002</v>
      </c>
      <c r="AV130" s="201">
        <f t="shared" si="144"/>
        <v>299387.65000000002</v>
      </c>
      <c r="AW130" s="201">
        <f t="shared" si="157"/>
        <v>0</v>
      </c>
      <c r="AX130" s="201">
        <f t="shared" si="145"/>
        <v>99.79588333333335</v>
      </c>
      <c r="AY130" s="208"/>
      <c r="AZ130" s="201">
        <f t="shared" si="146"/>
        <v>0</v>
      </c>
      <c r="BA130" s="201">
        <f t="shared" si="147"/>
        <v>0</v>
      </c>
      <c r="BB130" s="201">
        <f t="shared" si="148"/>
        <v>0</v>
      </c>
      <c r="BC130" s="201"/>
      <c r="BD130" s="223">
        <v>0</v>
      </c>
      <c r="BE130" s="201">
        <f t="shared" si="149"/>
        <v>0</v>
      </c>
      <c r="BF130" s="208"/>
      <c r="BG130" s="201">
        <f t="shared" si="168"/>
        <v>0</v>
      </c>
      <c r="BH130" s="201">
        <f t="shared" si="168"/>
        <v>299387.65000000002</v>
      </c>
      <c r="BI130" s="201">
        <f t="shared" si="151"/>
        <v>299387.65000000002</v>
      </c>
      <c r="BJ130" s="201">
        <f t="shared" si="163"/>
        <v>99.79588333333335</v>
      </c>
      <c r="BK130" s="210">
        <v>0</v>
      </c>
      <c r="BL130" s="210">
        <v>100</v>
      </c>
      <c r="BM130" s="211"/>
      <c r="BN130" s="211"/>
      <c r="BO130" s="212">
        <f t="shared" si="152"/>
        <v>0</v>
      </c>
      <c r="BP130" s="201">
        <f t="shared" si="153"/>
        <v>612.34999999997672</v>
      </c>
      <c r="BQ130" s="201">
        <f t="shared" si="158"/>
        <v>612.34999999997672</v>
      </c>
      <c r="BR130" s="201">
        <f t="shared" si="169"/>
        <v>0</v>
      </c>
      <c r="BS130" s="201">
        <f t="shared" si="169"/>
        <v>612.34999999997672</v>
      </c>
      <c r="BT130" s="201">
        <f t="shared" si="160"/>
        <v>612.34999999997672</v>
      </c>
      <c r="BU130" s="213">
        <f t="shared" si="161"/>
        <v>0</v>
      </c>
      <c r="BV130" s="201"/>
      <c r="BW130" s="201"/>
      <c r="BX130" s="201">
        <f t="shared" si="162"/>
        <v>0</v>
      </c>
      <c r="BY130" s="199">
        <v>0</v>
      </c>
      <c r="BZ130" s="199">
        <v>0</v>
      </c>
      <c r="CA130" s="199">
        <v>0</v>
      </c>
      <c r="CB130" s="199">
        <v>300000</v>
      </c>
      <c r="CC130" s="199">
        <v>0</v>
      </c>
      <c r="CD130" s="199">
        <v>0</v>
      </c>
      <c r="CE130" s="199">
        <v>0</v>
      </c>
      <c r="CF130" s="199">
        <v>0</v>
      </c>
      <c r="CG130" s="199">
        <v>0</v>
      </c>
      <c r="CH130" s="199">
        <v>0</v>
      </c>
      <c r="CI130" s="199">
        <v>0</v>
      </c>
      <c r="CJ130" s="199">
        <v>0</v>
      </c>
      <c r="CK130" s="214" t="s">
        <v>443</v>
      </c>
      <c r="CL130" s="214" t="s">
        <v>276</v>
      </c>
      <c r="CM130" s="211">
        <v>185</v>
      </c>
      <c r="CN130" s="215"/>
      <c r="CO130" s="215"/>
      <c r="CP130" s="216"/>
      <c r="CQ130" s="217"/>
      <c r="CR130" s="211"/>
      <c r="CS130" s="218"/>
      <c r="CT130" s="218"/>
      <c r="CU130" s="218"/>
      <c r="CV130" s="211"/>
      <c r="CW130" s="211"/>
      <c r="CX130" s="211"/>
      <c r="CY130" s="211"/>
      <c r="CZ130" s="211"/>
      <c r="DA130" s="211"/>
      <c r="DB130" s="211"/>
      <c r="DC130" s="219"/>
      <c r="DD130" s="219"/>
      <c r="DE130" s="219"/>
      <c r="DF130" s="211"/>
      <c r="DG130" s="211"/>
      <c r="DH130" s="211"/>
      <c r="DI130" s="211"/>
      <c r="DJ130" s="211"/>
      <c r="DK130" s="220" t="s">
        <v>32</v>
      </c>
      <c r="DT130" s="222"/>
    </row>
    <row r="131" spans="1:124" s="176" customFormat="1" ht="42" x14ac:dyDescent="0.2">
      <c r="A131" s="195" t="s">
        <v>119</v>
      </c>
      <c r="B131" s="197" t="s">
        <v>444</v>
      </c>
      <c r="C131" s="198">
        <v>1</v>
      </c>
      <c r="D131" s="199">
        <v>450000</v>
      </c>
      <c r="E131" s="198" t="s">
        <v>445</v>
      </c>
      <c r="F131" s="198" t="s">
        <v>127</v>
      </c>
      <c r="G131" s="198" t="s">
        <v>123</v>
      </c>
      <c r="H131" s="200">
        <v>1</v>
      </c>
      <c r="I131" s="199">
        <f t="shared" si="127"/>
        <v>0</v>
      </c>
      <c r="J131" s="199">
        <f t="shared" si="128"/>
        <v>450000</v>
      </c>
      <c r="K131" s="199">
        <f t="shared" si="129"/>
        <v>450000</v>
      </c>
      <c r="L131" s="199"/>
      <c r="M131" s="199">
        <v>450000</v>
      </c>
      <c r="N131" s="199">
        <f t="shared" si="130"/>
        <v>450000</v>
      </c>
      <c r="O131" s="199"/>
      <c r="P131" s="201">
        <v>0</v>
      </c>
      <c r="Q131" s="202">
        <v>12</v>
      </c>
      <c r="R131" s="203">
        <v>45566</v>
      </c>
      <c r="S131" s="204"/>
      <c r="T131" s="204">
        <v>450000</v>
      </c>
      <c r="U131" s="204">
        <f t="shared" si="131"/>
        <v>450000</v>
      </c>
      <c r="V131" s="205"/>
      <c r="W131" s="200"/>
      <c r="X131" s="201"/>
      <c r="Y131" s="201"/>
      <c r="Z131" s="201">
        <f t="shared" si="132"/>
        <v>0</v>
      </c>
      <c r="AA131" s="198"/>
      <c r="AB131" s="206"/>
      <c r="AC131" s="207"/>
      <c r="AD131" s="201"/>
      <c r="AE131" s="204">
        <f t="shared" si="133"/>
        <v>0</v>
      </c>
      <c r="AF131" s="203">
        <f t="shared" si="134"/>
        <v>45566</v>
      </c>
      <c r="AG131" s="201">
        <f t="shared" si="135"/>
        <v>0</v>
      </c>
      <c r="AH131" s="199">
        <f t="shared" si="136"/>
        <v>450000</v>
      </c>
      <c r="AI131" s="199">
        <f t="shared" si="137"/>
        <v>450000</v>
      </c>
      <c r="AJ131" s="201">
        <f t="shared" si="167"/>
        <v>0</v>
      </c>
      <c r="AK131" s="201">
        <f t="shared" si="167"/>
        <v>450000</v>
      </c>
      <c r="AL131" s="201">
        <f t="shared" si="139"/>
        <v>450000</v>
      </c>
      <c r="AM131" s="198"/>
      <c r="AN131" s="203"/>
      <c r="AO131" s="208"/>
      <c r="AP131" s="201">
        <f t="shared" si="140"/>
        <v>0</v>
      </c>
      <c r="AQ131" s="201">
        <f t="shared" si="141"/>
        <v>449686.5</v>
      </c>
      <c r="AR131" s="201">
        <f t="shared" si="142"/>
        <v>449686.5</v>
      </c>
      <c r="AS131" s="201">
        <f t="shared" si="143"/>
        <v>99.930333333333337</v>
      </c>
      <c r="AT131" s="201"/>
      <c r="AU131" s="209">
        <v>449686.5</v>
      </c>
      <c r="AV131" s="201">
        <f t="shared" si="144"/>
        <v>449686.5</v>
      </c>
      <c r="AW131" s="201">
        <f t="shared" si="157"/>
        <v>0</v>
      </c>
      <c r="AX131" s="201">
        <f t="shared" si="145"/>
        <v>99.930333333333337</v>
      </c>
      <c r="AY131" s="208"/>
      <c r="AZ131" s="201">
        <f t="shared" si="146"/>
        <v>0</v>
      </c>
      <c r="BA131" s="201">
        <f t="shared" si="147"/>
        <v>0</v>
      </c>
      <c r="BB131" s="201">
        <f t="shared" si="148"/>
        <v>0</v>
      </c>
      <c r="BC131" s="201"/>
      <c r="BD131" s="223">
        <v>0</v>
      </c>
      <c r="BE131" s="201">
        <f t="shared" si="149"/>
        <v>0</v>
      </c>
      <c r="BF131" s="208"/>
      <c r="BG131" s="201">
        <f t="shared" si="168"/>
        <v>0</v>
      </c>
      <c r="BH131" s="201">
        <f t="shared" si="168"/>
        <v>449686.5</v>
      </c>
      <c r="BI131" s="201">
        <f t="shared" si="151"/>
        <v>449686.5</v>
      </c>
      <c r="BJ131" s="201">
        <f t="shared" si="163"/>
        <v>99.930333333333337</v>
      </c>
      <c r="BK131" s="210">
        <v>0</v>
      </c>
      <c r="BL131" s="210">
        <v>100</v>
      </c>
      <c r="BM131" s="211"/>
      <c r="BN131" s="211"/>
      <c r="BO131" s="212">
        <f t="shared" si="152"/>
        <v>0</v>
      </c>
      <c r="BP131" s="201">
        <f t="shared" si="153"/>
        <v>313.5</v>
      </c>
      <c r="BQ131" s="201">
        <f t="shared" si="158"/>
        <v>313.5</v>
      </c>
      <c r="BR131" s="201">
        <f t="shared" si="169"/>
        <v>0</v>
      </c>
      <c r="BS131" s="201">
        <f t="shared" si="169"/>
        <v>313.5</v>
      </c>
      <c r="BT131" s="201">
        <f t="shared" si="160"/>
        <v>313.5</v>
      </c>
      <c r="BU131" s="213">
        <f t="shared" si="161"/>
        <v>0</v>
      </c>
      <c r="BV131" s="201"/>
      <c r="BW131" s="201"/>
      <c r="BX131" s="201">
        <f t="shared" si="162"/>
        <v>0</v>
      </c>
      <c r="BY131" s="199">
        <v>0</v>
      </c>
      <c r="BZ131" s="199">
        <v>0</v>
      </c>
      <c r="CA131" s="199">
        <v>0</v>
      </c>
      <c r="CB131" s="199"/>
      <c r="CC131" s="199"/>
      <c r="CD131" s="199">
        <v>225000</v>
      </c>
      <c r="CE131" s="199">
        <v>225000</v>
      </c>
      <c r="CF131" s="199">
        <v>0</v>
      </c>
      <c r="CG131" s="199">
        <v>0</v>
      </c>
      <c r="CH131" s="199">
        <v>0</v>
      </c>
      <c r="CI131" s="199">
        <v>0</v>
      </c>
      <c r="CJ131" s="199">
        <v>0</v>
      </c>
      <c r="CK131" s="214" t="s">
        <v>446</v>
      </c>
      <c r="CL131" s="214" t="s">
        <v>276</v>
      </c>
      <c r="CM131" s="211">
        <v>185</v>
      </c>
      <c r="CN131" s="215"/>
      <c r="CO131" s="215"/>
      <c r="CP131" s="216"/>
      <c r="CQ131" s="217"/>
      <c r="CR131" s="211"/>
      <c r="CS131" s="218"/>
      <c r="CT131" s="218"/>
      <c r="CU131" s="218"/>
      <c r="CV131" s="211"/>
      <c r="CW131" s="211"/>
      <c r="CX131" s="211"/>
      <c r="CY131" s="211"/>
      <c r="CZ131" s="211"/>
      <c r="DA131" s="211"/>
      <c r="DB131" s="211"/>
      <c r="DC131" s="219"/>
      <c r="DD131" s="219"/>
      <c r="DE131" s="219"/>
      <c r="DF131" s="211"/>
      <c r="DG131" s="211"/>
      <c r="DH131" s="211"/>
      <c r="DI131" s="211"/>
      <c r="DJ131" s="211"/>
      <c r="DK131" s="220" t="s">
        <v>32</v>
      </c>
      <c r="DT131" s="222"/>
    </row>
    <row r="132" spans="1:124" s="176" customFormat="1" ht="42" x14ac:dyDescent="0.2">
      <c r="A132" s="195" t="s">
        <v>119</v>
      </c>
      <c r="B132" s="197" t="s">
        <v>447</v>
      </c>
      <c r="C132" s="198">
        <v>1</v>
      </c>
      <c r="D132" s="199">
        <v>334000</v>
      </c>
      <c r="E132" s="198" t="s">
        <v>448</v>
      </c>
      <c r="F132" s="198" t="s">
        <v>449</v>
      </c>
      <c r="G132" s="198" t="s">
        <v>123</v>
      </c>
      <c r="H132" s="200">
        <v>1</v>
      </c>
      <c r="I132" s="199">
        <f t="shared" ref="I132:I192" si="170">+L132</f>
        <v>0</v>
      </c>
      <c r="J132" s="199">
        <f t="shared" ref="J132:J192" si="171">+O132+M132+P132</f>
        <v>334000</v>
      </c>
      <c r="K132" s="199">
        <f t="shared" ref="K132:K192" si="172">I132+J132</f>
        <v>334000</v>
      </c>
      <c r="L132" s="199"/>
      <c r="M132" s="199">
        <v>334000</v>
      </c>
      <c r="N132" s="199">
        <f t="shared" ref="N132:N192" si="173">L132+M132</f>
        <v>334000</v>
      </c>
      <c r="O132" s="199"/>
      <c r="P132" s="201">
        <v>0</v>
      </c>
      <c r="Q132" s="202">
        <v>12</v>
      </c>
      <c r="R132" s="203">
        <v>45566</v>
      </c>
      <c r="S132" s="204"/>
      <c r="T132" s="204">
        <v>334000</v>
      </c>
      <c r="U132" s="204">
        <f t="shared" ref="U132:U192" si="174">S132+T132</f>
        <v>334000</v>
      </c>
      <c r="V132" s="205"/>
      <c r="W132" s="200"/>
      <c r="X132" s="201"/>
      <c r="Y132" s="201"/>
      <c r="Z132" s="201">
        <f t="shared" ref="Z132:Z192" si="175">X132+Y132</f>
        <v>0</v>
      </c>
      <c r="AA132" s="198"/>
      <c r="AB132" s="206"/>
      <c r="AC132" s="207"/>
      <c r="AD132" s="201"/>
      <c r="AE132" s="204">
        <f t="shared" ref="AE132:AE192" si="176">AC132+AD132</f>
        <v>0</v>
      </c>
      <c r="AF132" s="203">
        <f t="shared" ref="AF132:AF192" si="177">+R132</f>
        <v>45566</v>
      </c>
      <c r="AG132" s="201">
        <f t="shared" ref="AG132:AG192" si="178">+AJ132</f>
        <v>0</v>
      </c>
      <c r="AH132" s="199">
        <f t="shared" ref="AH132:AH192" si="179">+AK132+AO132</f>
        <v>334000</v>
      </c>
      <c r="AI132" s="199">
        <f t="shared" ref="AI132:AI192" si="180">AG132+AH132</f>
        <v>334000</v>
      </c>
      <c r="AJ132" s="201">
        <f t="shared" si="167"/>
        <v>0</v>
      </c>
      <c r="AK132" s="201">
        <f t="shared" si="167"/>
        <v>334000</v>
      </c>
      <c r="AL132" s="201">
        <f t="shared" ref="AL132:AL192" si="181">SUM(AJ132:AK132)</f>
        <v>334000</v>
      </c>
      <c r="AM132" s="198"/>
      <c r="AN132" s="203"/>
      <c r="AO132" s="208"/>
      <c r="AP132" s="201">
        <f t="shared" ref="AP132:AP192" si="182">+AT132</f>
        <v>0</v>
      </c>
      <c r="AQ132" s="201">
        <f t="shared" ref="AQ132:AQ192" si="183">+AU132+AY132</f>
        <v>333981.88</v>
      </c>
      <c r="AR132" s="201">
        <f t="shared" ref="AR132:AR192" si="184">SUM(AP132:AQ132)</f>
        <v>333981.88</v>
      </c>
      <c r="AS132" s="201">
        <f t="shared" ref="AS132:AS195" si="185">IF(AI132= 0,0,(AR132*100/AI132))</f>
        <v>99.994574850299401</v>
      </c>
      <c r="AT132" s="201"/>
      <c r="AU132" s="209">
        <v>333981.88</v>
      </c>
      <c r="AV132" s="201">
        <f t="shared" ref="AV132:AV192" si="186">SUM(AT132:AU132)</f>
        <v>333981.88</v>
      </c>
      <c r="AW132" s="201">
        <f t="shared" si="157"/>
        <v>0</v>
      </c>
      <c r="AX132" s="201">
        <f t="shared" ref="AX132:AX192" si="187">IF(AL132= 0,0,(AV132*100/AL132))</f>
        <v>99.994574850299401</v>
      </c>
      <c r="AY132" s="208"/>
      <c r="AZ132" s="201">
        <f t="shared" ref="AZ132:AZ192" si="188">+BC132</f>
        <v>0</v>
      </c>
      <c r="BA132" s="201">
        <f t="shared" ref="BA132:BA192" si="189">+BD132+BF132</f>
        <v>0</v>
      </c>
      <c r="BB132" s="201">
        <f t="shared" ref="BB132:BB192" si="190">SUM(AZ132:BA132)</f>
        <v>0</v>
      </c>
      <c r="BC132" s="201"/>
      <c r="BD132" s="223">
        <v>0</v>
      </c>
      <c r="BE132" s="201">
        <f t="shared" ref="BE132:BE192" si="191">SUM(BC132:BD132)</f>
        <v>0</v>
      </c>
      <c r="BF132" s="208"/>
      <c r="BG132" s="201">
        <f t="shared" si="168"/>
        <v>0</v>
      </c>
      <c r="BH132" s="201">
        <f t="shared" si="168"/>
        <v>333981.88</v>
      </c>
      <c r="BI132" s="201">
        <f t="shared" ref="BI132:BI192" si="192">SUM(BG132:BH132)</f>
        <v>333981.88</v>
      </c>
      <c r="BJ132" s="201">
        <f t="shared" si="163"/>
        <v>99.994574850299401</v>
      </c>
      <c r="BK132" s="210">
        <v>0</v>
      </c>
      <c r="BL132" s="210">
        <v>45</v>
      </c>
      <c r="BM132" s="211"/>
      <c r="BN132" s="211"/>
      <c r="BO132" s="212">
        <f t="shared" ref="BO132:BO192" si="193">+BR132</f>
        <v>0</v>
      </c>
      <c r="BP132" s="201">
        <f t="shared" ref="BP132:BP192" si="194">+BS132+BU132</f>
        <v>18.119999999995343</v>
      </c>
      <c r="BQ132" s="201">
        <f t="shared" si="158"/>
        <v>18.119999999995343</v>
      </c>
      <c r="BR132" s="201">
        <f t="shared" si="169"/>
        <v>0</v>
      </c>
      <c r="BS132" s="201">
        <f t="shared" si="169"/>
        <v>18.119999999995343</v>
      </c>
      <c r="BT132" s="201">
        <f t="shared" si="160"/>
        <v>18.119999999995343</v>
      </c>
      <c r="BU132" s="213">
        <f t="shared" si="161"/>
        <v>0</v>
      </c>
      <c r="BV132" s="201"/>
      <c r="BW132" s="201"/>
      <c r="BX132" s="201">
        <f t="shared" si="162"/>
        <v>0</v>
      </c>
      <c r="BY132" s="199">
        <v>0</v>
      </c>
      <c r="BZ132" s="199"/>
      <c r="CA132" s="199"/>
      <c r="CB132" s="199">
        <v>200400</v>
      </c>
      <c r="CC132" s="199">
        <v>133600</v>
      </c>
      <c r="CD132" s="199">
        <v>0</v>
      </c>
      <c r="CE132" s="199">
        <v>0</v>
      </c>
      <c r="CF132" s="199">
        <v>0</v>
      </c>
      <c r="CG132" s="199">
        <v>0</v>
      </c>
      <c r="CH132" s="199">
        <v>0</v>
      </c>
      <c r="CI132" s="199">
        <v>0</v>
      </c>
      <c r="CJ132" s="199">
        <v>0</v>
      </c>
      <c r="CK132" s="214" t="s">
        <v>450</v>
      </c>
      <c r="CL132" s="214" t="s">
        <v>276</v>
      </c>
      <c r="CM132" s="211">
        <v>185</v>
      </c>
      <c r="CN132" s="215"/>
      <c r="CO132" s="215"/>
      <c r="CP132" s="216"/>
      <c r="CQ132" s="217"/>
      <c r="CR132" s="211"/>
      <c r="CS132" s="218"/>
      <c r="CT132" s="218"/>
      <c r="CU132" s="218"/>
      <c r="CV132" s="211"/>
      <c r="CW132" s="211"/>
      <c r="CX132" s="211"/>
      <c r="CY132" s="211"/>
      <c r="CZ132" s="211"/>
      <c r="DA132" s="211"/>
      <c r="DB132" s="211"/>
      <c r="DC132" s="219"/>
      <c r="DD132" s="219"/>
      <c r="DE132" s="219"/>
      <c r="DF132" s="211"/>
      <c r="DG132" s="211"/>
      <c r="DH132" s="211"/>
      <c r="DI132" s="211"/>
      <c r="DJ132" s="211"/>
      <c r="DK132" s="220" t="s">
        <v>32</v>
      </c>
      <c r="DT132" s="222"/>
    </row>
    <row r="133" spans="1:124" s="176" customFormat="1" ht="42" x14ac:dyDescent="0.2">
      <c r="A133" s="195" t="s">
        <v>119</v>
      </c>
      <c r="B133" s="197" t="s">
        <v>451</v>
      </c>
      <c r="C133" s="198">
        <v>1</v>
      </c>
      <c r="D133" s="199">
        <v>450000</v>
      </c>
      <c r="E133" s="198" t="s">
        <v>445</v>
      </c>
      <c r="F133" s="198" t="s">
        <v>127</v>
      </c>
      <c r="G133" s="198" t="s">
        <v>123</v>
      </c>
      <c r="H133" s="200">
        <v>1</v>
      </c>
      <c r="I133" s="199">
        <f t="shared" si="170"/>
        <v>0</v>
      </c>
      <c r="J133" s="199">
        <f t="shared" si="171"/>
        <v>450000</v>
      </c>
      <c r="K133" s="199">
        <f t="shared" si="172"/>
        <v>450000</v>
      </c>
      <c r="L133" s="199"/>
      <c r="M133" s="199">
        <v>450000</v>
      </c>
      <c r="N133" s="199">
        <f t="shared" si="173"/>
        <v>450000</v>
      </c>
      <c r="O133" s="199"/>
      <c r="P133" s="201">
        <v>0</v>
      </c>
      <c r="Q133" s="202">
        <v>12</v>
      </c>
      <c r="R133" s="203">
        <v>45566</v>
      </c>
      <c r="S133" s="204"/>
      <c r="T133" s="204">
        <v>450000</v>
      </c>
      <c r="U133" s="204">
        <f t="shared" si="174"/>
        <v>450000</v>
      </c>
      <c r="V133" s="205"/>
      <c r="W133" s="200"/>
      <c r="X133" s="201"/>
      <c r="Y133" s="201"/>
      <c r="Z133" s="201">
        <f t="shared" si="175"/>
        <v>0</v>
      </c>
      <c r="AA133" s="198"/>
      <c r="AB133" s="206"/>
      <c r="AC133" s="207"/>
      <c r="AD133" s="201"/>
      <c r="AE133" s="204">
        <f t="shared" si="176"/>
        <v>0</v>
      </c>
      <c r="AF133" s="203">
        <f t="shared" si="177"/>
        <v>45566</v>
      </c>
      <c r="AG133" s="201">
        <f t="shared" si="178"/>
        <v>0</v>
      </c>
      <c r="AH133" s="199">
        <f t="shared" si="179"/>
        <v>450000</v>
      </c>
      <c r="AI133" s="199">
        <f t="shared" si="180"/>
        <v>450000</v>
      </c>
      <c r="AJ133" s="201">
        <f t="shared" si="167"/>
        <v>0</v>
      </c>
      <c r="AK133" s="201">
        <f t="shared" si="167"/>
        <v>450000</v>
      </c>
      <c r="AL133" s="201">
        <f t="shared" si="181"/>
        <v>450000</v>
      </c>
      <c r="AM133" s="198"/>
      <c r="AN133" s="203"/>
      <c r="AO133" s="208"/>
      <c r="AP133" s="201">
        <f t="shared" si="182"/>
        <v>0</v>
      </c>
      <c r="AQ133" s="201">
        <f t="shared" si="183"/>
        <v>449383.04</v>
      </c>
      <c r="AR133" s="201">
        <f t="shared" si="184"/>
        <v>449383.04</v>
      </c>
      <c r="AS133" s="201">
        <f t="shared" si="185"/>
        <v>99.862897777777775</v>
      </c>
      <c r="AT133" s="201"/>
      <c r="AU133" s="209">
        <v>449383.04</v>
      </c>
      <c r="AV133" s="201">
        <f t="shared" si="186"/>
        <v>449383.04</v>
      </c>
      <c r="AW133" s="201">
        <f t="shared" ref="AW133:AW192" si="195">+CF133*100/AL133</f>
        <v>0</v>
      </c>
      <c r="AX133" s="201">
        <f t="shared" si="187"/>
        <v>99.862897777777775</v>
      </c>
      <c r="AY133" s="208"/>
      <c r="AZ133" s="201">
        <f t="shared" si="188"/>
        <v>0</v>
      </c>
      <c r="BA133" s="201">
        <f t="shared" si="189"/>
        <v>0</v>
      </c>
      <c r="BB133" s="201">
        <f t="shared" si="190"/>
        <v>0</v>
      </c>
      <c r="BC133" s="201"/>
      <c r="BD133" s="223">
        <v>0</v>
      </c>
      <c r="BE133" s="201">
        <f t="shared" si="191"/>
        <v>0</v>
      </c>
      <c r="BF133" s="208"/>
      <c r="BG133" s="201">
        <f t="shared" si="168"/>
        <v>0</v>
      </c>
      <c r="BH133" s="201">
        <f t="shared" si="168"/>
        <v>449383.04</v>
      </c>
      <c r="BI133" s="201">
        <f t="shared" si="192"/>
        <v>449383.04</v>
      </c>
      <c r="BJ133" s="201">
        <f t="shared" si="163"/>
        <v>99.862897777777775</v>
      </c>
      <c r="BK133" s="210">
        <v>0</v>
      </c>
      <c r="BL133" s="210">
        <v>100</v>
      </c>
      <c r="BM133" s="211"/>
      <c r="BN133" s="211"/>
      <c r="BO133" s="212">
        <f t="shared" si="193"/>
        <v>0</v>
      </c>
      <c r="BP133" s="201">
        <f t="shared" si="194"/>
        <v>616.96000000002095</v>
      </c>
      <c r="BQ133" s="201">
        <f t="shared" ref="BQ133:BQ192" si="196">SUM(BO133:BP133)</f>
        <v>616.96000000002095</v>
      </c>
      <c r="BR133" s="201">
        <f t="shared" si="169"/>
        <v>0</v>
      </c>
      <c r="BS133" s="201">
        <f t="shared" si="169"/>
        <v>616.96000000002095</v>
      </c>
      <c r="BT133" s="201">
        <f t="shared" ref="BT133:BT192" si="197">SUM(BR133:BS133)</f>
        <v>616.96000000002095</v>
      </c>
      <c r="BU133" s="213">
        <f t="shared" ref="BU133:BU192" si="198">+AO133-AY133</f>
        <v>0</v>
      </c>
      <c r="BV133" s="201"/>
      <c r="BW133" s="201"/>
      <c r="BX133" s="201">
        <f t="shared" ref="BX133:BX183" si="199">SUM(BV133:BW133)</f>
        <v>0</v>
      </c>
      <c r="BY133" s="199">
        <v>0</v>
      </c>
      <c r="BZ133" s="199">
        <v>0</v>
      </c>
      <c r="CA133" s="199">
        <v>0</v>
      </c>
      <c r="CB133" s="199"/>
      <c r="CC133" s="199">
        <v>225000</v>
      </c>
      <c r="CD133" s="199">
        <v>225000</v>
      </c>
      <c r="CE133" s="199">
        <v>0</v>
      </c>
      <c r="CF133" s="199">
        <v>0</v>
      </c>
      <c r="CG133" s="199">
        <v>0</v>
      </c>
      <c r="CH133" s="199">
        <v>0</v>
      </c>
      <c r="CI133" s="199">
        <v>0</v>
      </c>
      <c r="CJ133" s="199">
        <v>0</v>
      </c>
      <c r="CK133" s="214" t="s">
        <v>452</v>
      </c>
      <c r="CL133" s="214" t="s">
        <v>276</v>
      </c>
      <c r="CM133" s="211">
        <v>185</v>
      </c>
      <c r="CN133" s="215"/>
      <c r="CO133" s="215"/>
      <c r="CP133" s="216"/>
      <c r="CQ133" s="217"/>
      <c r="CR133" s="211"/>
      <c r="CS133" s="218"/>
      <c r="CT133" s="218"/>
      <c r="CU133" s="218"/>
      <c r="CV133" s="211"/>
      <c r="CW133" s="211"/>
      <c r="CX133" s="211"/>
      <c r="CY133" s="211"/>
      <c r="CZ133" s="211"/>
      <c r="DA133" s="211"/>
      <c r="DB133" s="211"/>
      <c r="DC133" s="219"/>
      <c r="DD133" s="219"/>
      <c r="DE133" s="219"/>
      <c r="DF133" s="211"/>
      <c r="DG133" s="211"/>
      <c r="DH133" s="211"/>
      <c r="DI133" s="211"/>
      <c r="DJ133" s="211"/>
      <c r="DK133" s="220" t="s">
        <v>32</v>
      </c>
      <c r="DT133" s="222"/>
    </row>
    <row r="134" spans="1:124" s="176" customFormat="1" ht="42" x14ac:dyDescent="0.2">
      <c r="A134" s="195" t="s">
        <v>119</v>
      </c>
      <c r="B134" s="197" t="s">
        <v>453</v>
      </c>
      <c r="C134" s="198">
        <v>1</v>
      </c>
      <c r="D134" s="199">
        <v>980000</v>
      </c>
      <c r="E134" s="198" t="s">
        <v>419</v>
      </c>
      <c r="F134" s="198" t="s">
        <v>134</v>
      </c>
      <c r="G134" s="198" t="s">
        <v>123</v>
      </c>
      <c r="H134" s="200">
        <v>1</v>
      </c>
      <c r="I134" s="199">
        <f t="shared" si="170"/>
        <v>0</v>
      </c>
      <c r="J134" s="199">
        <f t="shared" si="171"/>
        <v>980000</v>
      </c>
      <c r="K134" s="199">
        <f t="shared" si="172"/>
        <v>980000</v>
      </c>
      <c r="L134" s="199"/>
      <c r="M134" s="199">
        <v>980000</v>
      </c>
      <c r="N134" s="199">
        <f t="shared" si="173"/>
        <v>980000</v>
      </c>
      <c r="O134" s="199"/>
      <c r="P134" s="201">
        <v>0</v>
      </c>
      <c r="Q134" s="202">
        <v>12</v>
      </c>
      <c r="R134" s="203">
        <v>45566</v>
      </c>
      <c r="S134" s="204"/>
      <c r="T134" s="204">
        <v>980000</v>
      </c>
      <c r="U134" s="204">
        <f t="shared" si="174"/>
        <v>980000</v>
      </c>
      <c r="V134" s="205"/>
      <c r="W134" s="200"/>
      <c r="X134" s="201"/>
      <c r="Y134" s="201"/>
      <c r="Z134" s="201">
        <f t="shared" si="175"/>
        <v>0</v>
      </c>
      <c r="AA134" s="198"/>
      <c r="AB134" s="206"/>
      <c r="AC134" s="207"/>
      <c r="AD134" s="201"/>
      <c r="AE134" s="204">
        <f t="shared" si="176"/>
        <v>0</v>
      </c>
      <c r="AF134" s="203">
        <f t="shared" si="177"/>
        <v>45566</v>
      </c>
      <c r="AG134" s="201">
        <f t="shared" si="178"/>
        <v>0</v>
      </c>
      <c r="AH134" s="199">
        <f t="shared" si="179"/>
        <v>980000</v>
      </c>
      <c r="AI134" s="199">
        <f t="shared" si="180"/>
        <v>980000</v>
      </c>
      <c r="AJ134" s="201">
        <f t="shared" si="167"/>
        <v>0</v>
      </c>
      <c r="AK134" s="201">
        <f t="shared" si="167"/>
        <v>980000</v>
      </c>
      <c r="AL134" s="201">
        <f t="shared" si="181"/>
        <v>980000</v>
      </c>
      <c r="AM134" s="198"/>
      <c r="AN134" s="203"/>
      <c r="AO134" s="208"/>
      <c r="AP134" s="201">
        <f t="shared" si="182"/>
        <v>0</v>
      </c>
      <c r="AQ134" s="201">
        <f t="shared" si="183"/>
        <v>968053</v>
      </c>
      <c r="AR134" s="201">
        <f t="shared" si="184"/>
        <v>968053</v>
      </c>
      <c r="AS134" s="201">
        <f t="shared" si="185"/>
        <v>98.780918367346942</v>
      </c>
      <c r="AT134" s="201"/>
      <c r="AU134" s="209">
        <v>968053</v>
      </c>
      <c r="AV134" s="201">
        <f t="shared" si="186"/>
        <v>968053</v>
      </c>
      <c r="AW134" s="201">
        <f t="shared" si="195"/>
        <v>0</v>
      </c>
      <c r="AX134" s="201">
        <f t="shared" si="187"/>
        <v>98.780918367346942</v>
      </c>
      <c r="AY134" s="208"/>
      <c r="AZ134" s="201">
        <f t="shared" si="188"/>
        <v>0</v>
      </c>
      <c r="BA134" s="201">
        <f t="shared" si="189"/>
        <v>0</v>
      </c>
      <c r="BB134" s="201">
        <f t="shared" si="190"/>
        <v>0</v>
      </c>
      <c r="BC134" s="201"/>
      <c r="BD134" s="223">
        <v>0</v>
      </c>
      <c r="BE134" s="201">
        <f t="shared" si="191"/>
        <v>0</v>
      </c>
      <c r="BF134" s="208"/>
      <c r="BG134" s="201">
        <f t="shared" si="168"/>
        <v>0</v>
      </c>
      <c r="BH134" s="201">
        <f t="shared" si="168"/>
        <v>968053</v>
      </c>
      <c r="BI134" s="201">
        <f t="shared" si="192"/>
        <v>968053</v>
      </c>
      <c r="BJ134" s="201">
        <f t="shared" si="163"/>
        <v>98.780918367346942</v>
      </c>
      <c r="BK134" s="210">
        <v>0</v>
      </c>
      <c r="BL134" s="210">
        <v>100</v>
      </c>
      <c r="BM134" s="211"/>
      <c r="BN134" s="211"/>
      <c r="BO134" s="212">
        <f t="shared" si="193"/>
        <v>0</v>
      </c>
      <c r="BP134" s="201">
        <f t="shared" si="194"/>
        <v>11947</v>
      </c>
      <c r="BQ134" s="201">
        <f t="shared" si="196"/>
        <v>11947</v>
      </c>
      <c r="BR134" s="201">
        <f t="shared" si="169"/>
        <v>0</v>
      </c>
      <c r="BS134" s="201">
        <f t="shared" si="169"/>
        <v>11947</v>
      </c>
      <c r="BT134" s="201">
        <f t="shared" si="197"/>
        <v>11947</v>
      </c>
      <c r="BU134" s="213">
        <f t="shared" si="198"/>
        <v>0</v>
      </c>
      <c r="BV134" s="201"/>
      <c r="BW134" s="201"/>
      <c r="BX134" s="201">
        <f t="shared" si="199"/>
        <v>0</v>
      </c>
      <c r="BY134" s="199">
        <v>0</v>
      </c>
      <c r="BZ134" s="199">
        <v>0</v>
      </c>
      <c r="CA134" s="199">
        <v>0</v>
      </c>
      <c r="CB134" s="199"/>
      <c r="CC134" s="199">
        <v>294000</v>
      </c>
      <c r="CD134" s="199">
        <v>392000</v>
      </c>
      <c r="CE134" s="199">
        <v>294000</v>
      </c>
      <c r="CF134" s="199">
        <v>0</v>
      </c>
      <c r="CG134" s="199">
        <v>0</v>
      </c>
      <c r="CH134" s="199">
        <v>0</v>
      </c>
      <c r="CI134" s="199">
        <v>0</v>
      </c>
      <c r="CJ134" s="199">
        <v>0</v>
      </c>
      <c r="CK134" s="214" t="s">
        <v>454</v>
      </c>
      <c r="CL134" s="214" t="s">
        <v>276</v>
      </c>
      <c r="CM134" s="211">
        <v>185</v>
      </c>
      <c r="CN134" s="215"/>
      <c r="CO134" s="215"/>
      <c r="CP134" s="216"/>
      <c r="CQ134" s="217"/>
      <c r="CR134" s="211"/>
      <c r="CS134" s="218"/>
      <c r="CT134" s="218"/>
      <c r="CU134" s="218"/>
      <c r="CV134" s="211"/>
      <c r="CW134" s="211"/>
      <c r="CX134" s="211"/>
      <c r="CY134" s="211"/>
      <c r="CZ134" s="211"/>
      <c r="DA134" s="211"/>
      <c r="DB134" s="211"/>
      <c r="DC134" s="219"/>
      <c r="DD134" s="219"/>
      <c r="DE134" s="219"/>
      <c r="DF134" s="211"/>
      <c r="DG134" s="211"/>
      <c r="DH134" s="211"/>
      <c r="DI134" s="211"/>
      <c r="DJ134" s="211"/>
      <c r="DK134" s="220" t="s">
        <v>32</v>
      </c>
      <c r="DT134" s="222"/>
    </row>
    <row r="135" spans="1:124" s="176" customFormat="1" ht="42" x14ac:dyDescent="0.2">
      <c r="A135" s="195" t="s">
        <v>136</v>
      </c>
      <c r="B135" s="197" t="s">
        <v>455</v>
      </c>
      <c r="C135" s="198">
        <v>1</v>
      </c>
      <c r="D135" s="199">
        <v>990000</v>
      </c>
      <c r="E135" s="198"/>
      <c r="F135" s="198"/>
      <c r="G135" s="198" t="s">
        <v>139</v>
      </c>
      <c r="H135" s="200">
        <v>1</v>
      </c>
      <c r="I135" s="199">
        <f t="shared" si="170"/>
        <v>396000</v>
      </c>
      <c r="J135" s="199">
        <f t="shared" si="171"/>
        <v>594000</v>
      </c>
      <c r="K135" s="199">
        <f t="shared" si="172"/>
        <v>990000</v>
      </c>
      <c r="L135" s="199">
        <v>396000</v>
      </c>
      <c r="M135" s="199">
        <v>594000</v>
      </c>
      <c r="N135" s="199">
        <f t="shared" si="173"/>
        <v>990000</v>
      </c>
      <c r="O135" s="199"/>
      <c r="P135" s="201">
        <v>0</v>
      </c>
      <c r="Q135" s="202">
        <v>11</v>
      </c>
      <c r="R135" s="203">
        <v>45566</v>
      </c>
      <c r="S135" s="204"/>
      <c r="T135" s="204">
        <v>594000</v>
      </c>
      <c r="U135" s="204">
        <f t="shared" si="174"/>
        <v>594000</v>
      </c>
      <c r="V135" s="205">
        <v>1926</v>
      </c>
      <c r="W135" s="200">
        <v>45743</v>
      </c>
      <c r="X135" s="201">
        <v>394791</v>
      </c>
      <c r="Y135" s="201"/>
      <c r="Z135" s="201">
        <f t="shared" si="175"/>
        <v>394791</v>
      </c>
      <c r="AA135" s="198"/>
      <c r="AB135" s="206"/>
      <c r="AC135" s="207"/>
      <c r="AD135" s="201"/>
      <c r="AE135" s="204">
        <f t="shared" si="176"/>
        <v>0</v>
      </c>
      <c r="AF135" s="203">
        <f t="shared" si="177"/>
        <v>45566</v>
      </c>
      <c r="AG135" s="201">
        <f t="shared" si="178"/>
        <v>394791</v>
      </c>
      <c r="AH135" s="199">
        <f t="shared" si="179"/>
        <v>594000</v>
      </c>
      <c r="AI135" s="199">
        <f t="shared" si="180"/>
        <v>988791</v>
      </c>
      <c r="AJ135" s="201">
        <f t="shared" si="167"/>
        <v>394791</v>
      </c>
      <c r="AK135" s="201">
        <f t="shared" si="167"/>
        <v>594000</v>
      </c>
      <c r="AL135" s="201">
        <f t="shared" si="181"/>
        <v>988791</v>
      </c>
      <c r="AM135" s="198"/>
      <c r="AN135" s="203"/>
      <c r="AO135" s="208"/>
      <c r="AP135" s="201">
        <f t="shared" si="182"/>
        <v>0</v>
      </c>
      <c r="AQ135" s="201">
        <f t="shared" si="183"/>
        <v>978615.2</v>
      </c>
      <c r="AR135" s="201">
        <f t="shared" si="184"/>
        <v>978615.2</v>
      </c>
      <c r="AS135" s="201">
        <f t="shared" si="185"/>
        <v>98.970884645996975</v>
      </c>
      <c r="AT135" s="201"/>
      <c r="AU135" s="209">
        <v>978615.2</v>
      </c>
      <c r="AV135" s="201">
        <f t="shared" si="186"/>
        <v>978615.2</v>
      </c>
      <c r="AW135" s="201">
        <f t="shared" si="195"/>
        <v>0</v>
      </c>
      <c r="AX135" s="201">
        <f t="shared" si="187"/>
        <v>98.970884645996975</v>
      </c>
      <c r="AY135" s="208"/>
      <c r="AZ135" s="201">
        <f t="shared" si="188"/>
        <v>0</v>
      </c>
      <c r="BA135" s="201">
        <f t="shared" si="189"/>
        <v>0</v>
      </c>
      <c r="BB135" s="201">
        <f t="shared" si="190"/>
        <v>0</v>
      </c>
      <c r="BC135" s="201"/>
      <c r="BD135" s="223">
        <v>0</v>
      </c>
      <c r="BE135" s="201">
        <f t="shared" si="191"/>
        <v>0</v>
      </c>
      <c r="BF135" s="208"/>
      <c r="BG135" s="201">
        <f t="shared" si="168"/>
        <v>0</v>
      </c>
      <c r="BH135" s="201">
        <f t="shared" si="168"/>
        <v>978615.2</v>
      </c>
      <c r="BI135" s="201">
        <f t="shared" si="192"/>
        <v>978615.2</v>
      </c>
      <c r="BJ135" s="201">
        <f t="shared" si="163"/>
        <v>98.970884645996975</v>
      </c>
      <c r="BK135" s="210">
        <v>20</v>
      </c>
      <c r="BL135" s="210">
        <v>75</v>
      </c>
      <c r="BM135" s="211"/>
      <c r="BN135" s="211"/>
      <c r="BO135" s="212">
        <f t="shared" si="193"/>
        <v>394791</v>
      </c>
      <c r="BP135" s="201">
        <f t="shared" si="194"/>
        <v>-384615.19999999995</v>
      </c>
      <c r="BQ135" s="201">
        <f t="shared" si="196"/>
        <v>10175.800000000047</v>
      </c>
      <c r="BR135" s="201">
        <f t="shared" si="169"/>
        <v>394791</v>
      </c>
      <c r="BS135" s="201">
        <f t="shared" si="169"/>
        <v>-384615.19999999995</v>
      </c>
      <c r="BT135" s="201">
        <f t="shared" si="197"/>
        <v>10175.800000000047</v>
      </c>
      <c r="BU135" s="213">
        <f t="shared" si="198"/>
        <v>0</v>
      </c>
      <c r="BV135" s="201"/>
      <c r="BW135" s="201"/>
      <c r="BX135" s="201">
        <f t="shared" si="199"/>
        <v>0</v>
      </c>
      <c r="BY135" s="199">
        <v>99000</v>
      </c>
      <c r="BZ135" s="199">
        <v>198000</v>
      </c>
      <c r="CA135" s="199">
        <v>198000</v>
      </c>
      <c r="CB135" s="199">
        <v>247500</v>
      </c>
      <c r="CC135" s="199">
        <v>247500</v>
      </c>
      <c r="CD135" s="199"/>
      <c r="CE135" s="199"/>
      <c r="CF135" s="199">
        <v>0</v>
      </c>
      <c r="CG135" s="199">
        <v>0</v>
      </c>
      <c r="CH135" s="199">
        <v>0</v>
      </c>
      <c r="CI135" s="199">
        <v>0</v>
      </c>
      <c r="CJ135" s="199">
        <v>0</v>
      </c>
      <c r="CK135" s="214" t="s">
        <v>456</v>
      </c>
      <c r="CL135" s="214" t="s">
        <v>276</v>
      </c>
      <c r="CM135" s="211">
        <v>185</v>
      </c>
      <c r="CN135" s="215"/>
      <c r="CO135" s="215"/>
      <c r="CP135" s="216"/>
      <c r="CQ135" s="217"/>
      <c r="CR135" s="211"/>
      <c r="CS135" s="218"/>
      <c r="CT135" s="218"/>
      <c r="CU135" s="218"/>
      <c r="CV135" s="211"/>
      <c r="CW135" s="211"/>
      <c r="CX135" s="211"/>
      <c r="CY135" s="211"/>
      <c r="CZ135" s="211"/>
      <c r="DA135" s="211"/>
      <c r="DB135" s="211"/>
      <c r="DC135" s="219"/>
      <c r="DD135" s="219"/>
      <c r="DE135" s="219"/>
      <c r="DF135" s="211"/>
      <c r="DG135" s="211"/>
      <c r="DH135" s="211"/>
      <c r="DI135" s="211"/>
      <c r="DJ135" s="211"/>
      <c r="DK135" s="220" t="s">
        <v>53</v>
      </c>
      <c r="DT135" s="222"/>
    </row>
    <row r="136" spans="1:124" s="176" customFormat="1" ht="42" x14ac:dyDescent="0.2">
      <c r="A136" s="195" t="s">
        <v>136</v>
      </c>
      <c r="B136" s="197" t="s">
        <v>457</v>
      </c>
      <c r="C136" s="198">
        <v>1</v>
      </c>
      <c r="D136" s="199">
        <v>1590000</v>
      </c>
      <c r="E136" s="198" t="s">
        <v>458</v>
      </c>
      <c r="F136" s="198" t="s">
        <v>195</v>
      </c>
      <c r="G136" s="198" t="s">
        <v>139</v>
      </c>
      <c r="H136" s="200">
        <v>1</v>
      </c>
      <c r="I136" s="199">
        <f t="shared" si="170"/>
        <v>0</v>
      </c>
      <c r="J136" s="199">
        <f t="shared" si="171"/>
        <v>1590000</v>
      </c>
      <c r="K136" s="199">
        <f t="shared" si="172"/>
        <v>1590000</v>
      </c>
      <c r="L136" s="199"/>
      <c r="M136" s="199">
        <v>1590000</v>
      </c>
      <c r="N136" s="199">
        <f t="shared" si="173"/>
        <v>1590000</v>
      </c>
      <c r="O136" s="199"/>
      <c r="P136" s="201">
        <v>0</v>
      </c>
      <c r="Q136" s="202">
        <v>12</v>
      </c>
      <c r="R136" s="203">
        <v>45566</v>
      </c>
      <c r="S136" s="204"/>
      <c r="T136" s="204">
        <v>1590000</v>
      </c>
      <c r="U136" s="204">
        <f t="shared" si="174"/>
        <v>1590000</v>
      </c>
      <c r="V136" s="205">
        <v>1450</v>
      </c>
      <c r="W136" s="200">
        <v>45693</v>
      </c>
      <c r="X136" s="201"/>
      <c r="Y136" s="201">
        <v>-123.9</v>
      </c>
      <c r="Z136" s="201">
        <f t="shared" si="175"/>
        <v>-123.9</v>
      </c>
      <c r="AA136" s="198"/>
      <c r="AB136" s="206"/>
      <c r="AC136" s="207"/>
      <c r="AD136" s="201"/>
      <c r="AE136" s="204">
        <f t="shared" si="176"/>
        <v>0</v>
      </c>
      <c r="AF136" s="203">
        <f t="shared" si="177"/>
        <v>45566</v>
      </c>
      <c r="AG136" s="201">
        <f t="shared" si="178"/>
        <v>0</v>
      </c>
      <c r="AH136" s="199">
        <f t="shared" si="179"/>
        <v>1589876.1</v>
      </c>
      <c r="AI136" s="199">
        <f t="shared" si="180"/>
        <v>1589876.1</v>
      </c>
      <c r="AJ136" s="201">
        <f t="shared" si="167"/>
        <v>0</v>
      </c>
      <c r="AK136" s="201">
        <f t="shared" si="167"/>
        <v>1589876.1</v>
      </c>
      <c r="AL136" s="201">
        <f t="shared" si="181"/>
        <v>1589876.1</v>
      </c>
      <c r="AM136" s="198"/>
      <c r="AN136" s="203"/>
      <c r="AO136" s="208"/>
      <c r="AP136" s="201">
        <f t="shared" si="182"/>
        <v>0</v>
      </c>
      <c r="AQ136" s="201">
        <f t="shared" si="183"/>
        <v>1252712.43</v>
      </c>
      <c r="AR136" s="201">
        <f t="shared" si="184"/>
        <v>1252712.43</v>
      </c>
      <c r="AS136" s="201">
        <f t="shared" si="185"/>
        <v>78.793085197016296</v>
      </c>
      <c r="AT136" s="201"/>
      <c r="AU136" s="209">
        <v>1252712.43</v>
      </c>
      <c r="AV136" s="201">
        <f t="shared" si="186"/>
        <v>1252712.43</v>
      </c>
      <c r="AW136" s="201">
        <f t="shared" si="195"/>
        <v>0</v>
      </c>
      <c r="AX136" s="201">
        <f t="shared" si="187"/>
        <v>78.793085197016296</v>
      </c>
      <c r="AY136" s="208"/>
      <c r="AZ136" s="201">
        <f t="shared" si="188"/>
        <v>0</v>
      </c>
      <c r="BA136" s="201">
        <f t="shared" si="189"/>
        <v>0</v>
      </c>
      <c r="BB136" s="201">
        <f t="shared" si="190"/>
        <v>0</v>
      </c>
      <c r="BC136" s="201"/>
      <c r="BD136" s="223">
        <v>0</v>
      </c>
      <c r="BE136" s="201">
        <f t="shared" si="191"/>
        <v>0</v>
      </c>
      <c r="BF136" s="208"/>
      <c r="BG136" s="201">
        <f t="shared" si="168"/>
        <v>0</v>
      </c>
      <c r="BH136" s="201">
        <f t="shared" si="168"/>
        <v>1252712.43</v>
      </c>
      <c r="BI136" s="201">
        <f t="shared" si="192"/>
        <v>1252712.43</v>
      </c>
      <c r="BJ136" s="201">
        <f t="shared" ref="BJ136:BJ199" si="200">+BI136*100/AI136</f>
        <v>78.793085197016296</v>
      </c>
      <c r="BK136" s="210">
        <v>20</v>
      </c>
      <c r="BL136" s="210">
        <v>75</v>
      </c>
      <c r="BM136" s="211"/>
      <c r="BN136" s="211"/>
      <c r="BO136" s="212">
        <f t="shared" si="193"/>
        <v>0</v>
      </c>
      <c r="BP136" s="201">
        <f t="shared" si="194"/>
        <v>337163.67000000016</v>
      </c>
      <c r="BQ136" s="201">
        <f t="shared" si="196"/>
        <v>337163.67000000016</v>
      </c>
      <c r="BR136" s="201">
        <f t="shared" si="169"/>
        <v>0</v>
      </c>
      <c r="BS136" s="201">
        <f t="shared" si="169"/>
        <v>337163.67000000016</v>
      </c>
      <c r="BT136" s="201">
        <f t="shared" si="197"/>
        <v>337163.67000000016</v>
      </c>
      <c r="BU136" s="213">
        <f t="shared" si="198"/>
        <v>0</v>
      </c>
      <c r="BV136" s="201">
        <v>123.9</v>
      </c>
      <c r="BW136" s="201"/>
      <c r="BX136" s="201">
        <f t="shared" si="199"/>
        <v>123.9</v>
      </c>
      <c r="BY136" s="199">
        <v>265000</v>
      </c>
      <c r="BZ136" s="199">
        <v>265000</v>
      </c>
      <c r="CA136" s="199">
        <v>265000</v>
      </c>
      <c r="CB136" s="199">
        <v>265000</v>
      </c>
      <c r="CC136" s="199">
        <v>265000</v>
      </c>
      <c r="CD136" s="199">
        <v>265000</v>
      </c>
      <c r="CE136" s="199"/>
      <c r="CF136" s="199"/>
      <c r="CG136" s="199"/>
      <c r="CH136" s="199">
        <v>0</v>
      </c>
      <c r="CI136" s="199">
        <v>0</v>
      </c>
      <c r="CJ136" s="199">
        <v>0</v>
      </c>
      <c r="CK136" s="214" t="s">
        <v>459</v>
      </c>
      <c r="CL136" s="214" t="s">
        <v>276</v>
      </c>
      <c r="CM136" s="211">
        <v>185</v>
      </c>
      <c r="CN136" s="215"/>
      <c r="CO136" s="215"/>
      <c r="CP136" s="216"/>
      <c r="CQ136" s="217"/>
      <c r="CR136" s="211"/>
      <c r="CS136" s="218"/>
      <c r="CT136" s="218"/>
      <c r="CU136" s="218"/>
      <c r="CV136" s="211"/>
      <c r="CW136" s="211"/>
      <c r="CX136" s="211"/>
      <c r="CY136" s="211"/>
      <c r="CZ136" s="211"/>
      <c r="DA136" s="211"/>
      <c r="DB136" s="211"/>
      <c r="DC136" s="219"/>
      <c r="DD136" s="219"/>
      <c r="DE136" s="219"/>
      <c r="DF136" s="211"/>
      <c r="DG136" s="211"/>
      <c r="DH136" s="211"/>
      <c r="DI136" s="211"/>
      <c r="DJ136" s="211"/>
      <c r="DK136" s="220" t="s">
        <v>32</v>
      </c>
      <c r="DT136" s="222"/>
    </row>
    <row r="137" spans="1:124" s="176" customFormat="1" ht="42" x14ac:dyDescent="0.2">
      <c r="A137" s="195" t="s">
        <v>136</v>
      </c>
      <c r="B137" s="197" t="s">
        <v>460</v>
      </c>
      <c r="C137" s="198">
        <v>1</v>
      </c>
      <c r="D137" s="199">
        <v>890000</v>
      </c>
      <c r="E137" s="198" t="s">
        <v>461</v>
      </c>
      <c r="F137" s="198" t="s">
        <v>462</v>
      </c>
      <c r="G137" s="198" t="s">
        <v>139</v>
      </c>
      <c r="H137" s="200">
        <v>1</v>
      </c>
      <c r="I137" s="199">
        <f t="shared" si="170"/>
        <v>0</v>
      </c>
      <c r="J137" s="199">
        <f t="shared" si="171"/>
        <v>890000</v>
      </c>
      <c r="K137" s="199">
        <f t="shared" si="172"/>
        <v>890000</v>
      </c>
      <c r="L137" s="199"/>
      <c r="M137" s="199">
        <v>890000</v>
      </c>
      <c r="N137" s="199">
        <f t="shared" si="173"/>
        <v>890000</v>
      </c>
      <c r="O137" s="199"/>
      <c r="P137" s="201">
        <v>0</v>
      </c>
      <c r="Q137" s="202">
        <v>12</v>
      </c>
      <c r="R137" s="203">
        <v>45566</v>
      </c>
      <c r="S137" s="204"/>
      <c r="T137" s="204">
        <v>890000</v>
      </c>
      <c r="U137" s="204">
        <f t="shared" si="174"/>
        <v>890000</v>
      </c>
      <c r="V137" s="205"/>
      <c r="W137" s="200"/>
      <c r="X137" s="201"/>
      <c r="Y137" s="201"/>
      <c r="Z137" s="201">
        <f t="shared" si="175"/>
        <v>0</v>
      </c>
      <c r="AA137" s="198"/>
      <c r="AB137" s="206"/>
      <c r="AC137" s="207"/>
      <c r="AD137" s="201"/>
      <c r="AE137" s="204">
        <f t="shared" si="176"/>
        <v>0</v>
      </c>
      <c r="AF137" s="203">
        <f t="shared" si="177"/>
        <v>45566</v>
      </c>
      <c r="AG137" s="201">
        <f t="shared" si="178"/>
        <v>0</v>
      </c>
      <c r="AH137" s="199">
        <f t="shared" si="179"/>
        <v>890000</v>
      </c>
      <c r="AI137" s="199">
        <f t="shared" si="180"/>
        <v>890000</v>
      </c>
      <c r="AJ137" s="201">
        <f t="shared" si="167"/>
        <v>0</v>
      </c>
      <c r="AK137" s="201">
        <f t="shared" si="167"/>
        <v>890000</v>
      </c>
      <c r="AL137" s="201">
        <f t="shared" si="181"/>
        <v>890000</v>
      </c>
      <c r="AM137" s="198"/>
      <c r="AN137" s="203"/>
      <c r="AO137" s="208"/>
      <c r="AP137" s="201">
        <f t="shared" si="182"/>
        <v>0</v>
      </c>
      <c r="AQ137" s="201">
        <f t="shared" si="183"/>
        <v>883707.58</v>
      </c>
      <c r="AR137" s="201">
        <f t="shared" si="184"/>
        <v>883707.58</v>
      </c>
      <c r="AS137" s="201">
        <f t="shared" si="185"/>
        <v>99.292986516853929</v>
      </c>
      <c r="AT137" s="201"/>
      <c r="AU137" s="209">
        <v>883707.58</v>
      </c>
      <c r="AV137" s="201">
        <f t="shared" si="186"/>
        <v>883707.58</v>
      </c>
      <c r="AW137" s="201">
        <f t="shared" si="195"/>
        <v>11.235955056179776</v>
      </c>
      <c r="AX137" s="201">
        <f t="shared" si="187"/>
        <v>99.292986516853929</v>
      </c>
      <c r="AY137" s="208"/>
      <c r="AZ137" s="201">
        <f t="shared" si="188"/>
        <v>0</v>
      </c>
      <c r="BA137" s="201">
        <f t="shared" si="189"/>
        <v>0</v>
      </c>
      <c r="BB137" s="201">
        <f t="shared" si="190"/>
        <v>0</v>
      </c>
      <c r="BC137" s="201"/>
      <c r="BD137" s="223">
        <v>0</v>
      </c>
      <c r="BE137" s="201">
        <f t="shared" si="191"/>
        <v>0</v>
      </c>
      <c r="BF137" s="208"/>
      <c r="BG137" s="201">
        <f t="shared" si="168"/>
        <v>0</v>
      </c>
      <c r="BH137" s="201">
        <f t="shared" si="168"/>
        <v>883707.58</v>
      </c>
      <c r="BI137" s="201">
        <f t="shared" si="192"/>
        <v>883707.58</v>
      </c>
      <c r="BJ137" s="201">
        <f t="shared" si="200"/>
        <v>99.292986516853929</v>
      </c>
      <c r="BK137" s="210">
        <v>20</v>
      </c>
      <c r="BL137" s="210">
        <v>90</v>
      </c>
      <c r="BM137" s="211"/>
      <c r="BN137" s="211"/>
      <c r="BO137" s="212">
        <f t="shared" si="193"/>
        <v>0</v>
      </c>
      <c r="BP137" s="201">
        <f t="shared" si="194"/>
        <v>6292.4200000000419</v>
      </c>
      <c r="BQ137" s="201">
        <f t="shared" si="196"/>
        <v>6292.4200000000419</v>
      </c>
      <c r="BR137" s="201">
        <f t="shared" si="169"/>
        <v>0</v>
      </c>
      <c r="BS137" s="201">
        <f t="shared" si="169"/>
        <v>6292.4200000000419</v>
      </c>
      <c r="BT137" s="201">
        <f t="shared" si="197"/>
        <v>6292.4200000000419</v>
      </c>
      <c r="BU137" s="213">
        <f t="shared" si="198"/>
        <v>0</v>
      </c>
      <c r="BV137" s="201"/>
      <c r="BW137" s="201"/>
      <c r="BX137" s="201">
        <f t="shared" si="199"/>
        <v>0</v>
      </c>
      <c r="BY137" s="199">
        <v>40000</v>
      </c>
      <c r="BZ137" s="199">
        <v>50000</v>
      </c>
      <c r="CA137" s="199">
        <v>60000</v>
      </c>
      <c r="CB137" s="199">
        <v>80000</v>
      </c>
      <c r="CC137" s="199">
        <v>100000</v>
      </c>
      <c r="CD137" s="199">
        <v>100000</v>
      </c>
      <c r="CE137" s="199">
        <v>100000</v>
      </c>
      <c r="CF137" s="199">
        <v>100000</v>
      </c>
      <c r="CG137" s="199">
        <v>90000</v>
      </c>
      <c r="CH137" s="199">
        <v>90000</v>
      </c>
      <c r="CI137" s="199">
        <v>80000</v>
      </c>
      <c r="CJ137" s="199"/>
      <c r="CK137" s="214" t="s">
        <v>463</v>
      </c>
      <c r="CL137" s="214" t="s">
        <v>276</v>
      </c>
      <c r="CM137" s="211">
        <v>185</v>
      </c>
      <c r="CN137" s="215"/>
      <c r="CO137" s="215"/>
      <c r="CP137" s="216"/>
      <c r="CQ137" s="217"/>
      <c r="CR137" s="211"/>
      <c r="CS137" s="218"/>
      <c r="CT137" s="218"/>
      <c r="CU137" s="218"/>
      <c r="CV137" s="211"/>
      <c r="CW137" s="211"/>
      <c r="CX137" s="211"/>
      <c r="CY137" s="211"/>
      <c r="CZ137" s="211"/>
      <c r="DA137" s="211"/>
      <c r="DB137" s="211"/>
      <c r="DC137" s="219"/>
      <c r="DD137" s="219"/>
      <c r="DE137" s="219"/>
      <c r="DF137" s="211"/>
      <c r="DG137" s="211"/>
      <c r="DH137" s="211"/>
      <c r="DI137" s="211"/>
      <c r="DJ137" s="211"/>
      <c r="DK137" s="220" t="s">
        <v>32</v>
      </c>
      <c r="DT137" s="222"/>
    </row>
    <row r="138" spans="1:124" s="176" customFormat="1" ht="42" x14ac:dyDescent="0.2">
      <c r="A138" s="195" t="s">
        <v>136</v>
      </c>
      <c r="B138" s="197" t="s">
        <v>464</v>
      </c>
      <c r="C138" s="198">
        <v>1</v>
      </c>
      <c r="D138" s="199">
        <v>950000</v>
      </c>
      <c r="E138" s="198" t="s">
        <v>250</v>
      </c>
      <c r="F138" s="198" t="s">
        <v>250</v>
      </c>
      <c r="G138" s="198" t="s">
        <v>139</v>
      </c>
      <c r="H138" s="200">
        <v>1</v>
      </c>
      <c r="I138" s="199">
        <f t="shared" si="170"/>
        <v>0</v>
      </c>
      <c r="J138" s="199">
        <f t="shared" si="171"/>
        <v>950000</v>
      </c>
      <c r="K138" s="199">
        <f t="shared" si="172"/>
        <v>950000</v>
      </c>
      <c r="L138" s="199"/>
      <c r="M138" s="199">
        <v>950000</v>
      </c>
      <c r="N138" s="199">
        <f t="shared" si="173"/>
        <v>950000</v>
      </c>
      <c r="O138" s="199"/>
      <c r="P138" s="201">
        <v>0</v>
      </c>
      <c r="Q138" s="202">
        <v>12</v>
      </c>
      <c r="R138" s="203">
        <v>45566</v>
      </c>
      <c r="S138" s="204"/>
      <c r="T138" s="204">
        <v>950000</v>
      </c>
      <c r="U138" s="204">
        <f t="shared" si="174"/>
        <v>950000</v>
      </c>
      <c r="V138" s="205">
        <v>690</v>
      </c>
      <c r="W138" s="200">
        <v>45622</v>
      </c>
      <c r="X138" s="201"/>
      <c r="Y138" s="201">
        <v>-21234</v>
      </c>
      <c r="Z138" s="201">
        <f t="shared" si="175"/>
        <v>-21234</v>
      </c>
      <c r="AA138" s="198"/>
      <c r="AB138" s="206"/>
      <c r="AC138" s="207"/>
      <c r="AD138" s="201"/>
      <c r="AE138" s="204">
        <f t="shared" si="176"/>
        <v>0</v>
      </c>
      <c r="AF138" s="203">
        <f t="shared" si="177"/>
        <v>45566</v>
      </c>
      <c r="AG138" s="201">
        <f t="shared" si="178"/>
        <v>0</v>
      </c>
      <c r="AH138" s="199">
        <f t="shared" si="179"/>
        <v>928766</v>
      </c>
      <c r="AI138" s="199">
        <f t="shared" si="180"/>
        <v>928766</v>
      </c>
      <c r="AJ138" s="201">
        <f t="shared" si="167"/>
        <v>0</v>
      </c>
      <c r="AK138" s="201">
        <f t="shared" si="167"/>
        <v>928766</v>
      </c>
      <c r="AL138" s="201">
        <f t="shared" si="181"/>
        <v>928766</v>
      </c>
      <c r="AM138" s="198"/>
      <c r="AN138" s="203"/>
      <c r="AO138" s="208"/>
      <c r="AP138" s="201">
        <f t="shared" si="182"/>
        <v>0</v>
      </c>
      <c r="AQ138" s="201">
        <f t="shared" si="183"/>
        <v>926680.04</v>
      </c>
      <c r="AR138" s="201">
        <f t="shared" si="184"/>
        <v>926680.04</v>
      </c>
      <c r="AS138" s="201">
        <f t="shared" si="185"/>
        <v>99.775405215091851</v>
      </c>
      <c r="AT138" s="201"/>
      <c r="AU138" s="209">
        <v>926680.04</v>
      </c>
      <c r="AV138" s="201">
        <f t="shared" si="186"/>
        <v>926680.04</v>
      </c>
      <c r="AW138" s="201">
        <f t="shared" si="195"/>
        <v>0</v>
      </c>
      <c r="AX138" s="201">
        <f t="shared" si="187"/>
        <v>99.775405215091851</v>
      </c>
      <c r="AY138" s="208"/>
      <c r="AZ138" s="201">
        <f t="shared" si="188"/>
        <v>0</v>
      </c>
      <c r="BA138" s="201">
        <f t="shared" si="189"/>
        <v>0</v>
      </c>
      <c r="BB138" s="201">
        <f t="shared" si="190"/>
        <v>0</v>
      </c>
      <c r="BC138" s="201"/>
      <c r="BD138" s="223">
        <v>0</v>
      </c>
      <c r="BE138" s="201">
        <f t="shared" si="191"/>
        <v>0</v>
      </c>
      <c r="BF138" s="208"/>
      <c r="BG138" s="201">
        <f t="shared" si="168"/>
        <v>0</v>
      </c>
      <c r="BH138" s="201">
        <f t="shared" si="168"/>
        <v>926680.04</v>
      </c>
      <c r="BI138" s="201">
        <f t="shared" si="192"/>
        <v>926680.04</v>
      </c>
      <c r="BJ138" s="201">
        <f t="shared" si="200"/>
        <v>99.775405215091851</v>
      </c>
      <c r="BK138" s="210">
        <v>20</v>
      </c>
      <c r="BL138" s="210">
        <v>100</v>
      </c>
      <c r="BM138" s="211"/>
      <c r="BN138" s="211"/>
      <c r="BO138" s="212">
        <f t="shared" si="193"/>
        <v>0</v>
      </c>
      <c r="BP138" s="201">
        <f t="shared" si="194"/>
        <v>2085.9599999999627</v>
      </c>
      <c r="BQ138" s="201">
        <f t="shared" si="196"/>
        <v>2085.9599999999627</v>
      </c>
      <c r="BR138" s="201">
        <f t="shared" si="169"/>
        <v>0</v>
      </c>
      <c r="BS138" s="201">
        <f t="shared" si="169"/>
        <v>2085.9599999999627</v>
      </c>
      <c r="BT138" s="201">
        <f t="shared" si="197"/>
        <v>2085.9599999999627</v>
      </c>
      <c r="BU138" s="213">
        <f t="shared" si="198"/>
        <v>0</v>
      </c>
      <c r="BV138" s="201">
        <v>21234</v>
      </c>
      <c r="BW138" s="201"/>
      <c r="BX138" s="201">
        <f t="shared" si="199"/>
        <v>21234</v>
      </c>
      <c r="BY138" s="199">
        <v>315000</v>
      </c>
      <c r="BZ138" s="199">
        <v>315000</v>
      </c>
      <c r="CA138" s="199">
        <v>320000</v>
      </c>
      <c r="CB138" s="199"/>
      <c r="CC138" s="199">
        <v>0</v>
      </c>
      <c r="CD138" s="199">
        <v>0</v>
      </c>
      <c r="CE138" s="199">
        <v>0</v>
      </c>
      <c r="CF138" s="199">
        <v>0</v>
      </c>
      <c r="CG138" s="199">
        <v>0</v>
      </c>
      <c r="CH138" s="199">
        <v>0</v>
      </c>
      <c r="CI138" s="199">
        <v>0</v>
      </c>
      <c r="CJ138" s="199">
        <v>0</v>
      </c>
      <c r="CK138" s="214" t="s">
        <v>465</v>
      </c>
      <c r="CL138" s="214" t="s">
        <v>276</v>
      </c>
      <c r="CM138" s="211">
        <v>185</v>
      </c>
      <c r="CN138" s="215"/>
      <c r="CO138" s="215"/>
      <c r="CP138" s="216"/>
      <c r="CQ138" s="217"/>
      <c r="CR138" s="211"/>
      <c r="CS138" s="218"/>
      <c r="CT138" s="218"/>
      <c r="CU138" s="218"/>
      <c r="CV138" s="211"/>
      <c r="CW138" s="211"/>
      <c r="CX138" s="211"/>
      <c r="CY138" s="211"/>
      <c r="CZ138" s="211"/>
      <c r="DA138" s="211"/>
      <c r="DB138" s="211"/>
      <c r="DC138" s="219"/>
      <c r="DD138" s="219"/>
      <c r="DE138" s="219"/>
      <c r="DF138" s="211"/>
      <c r="DG138" s="211"/>
      <c r="DH138" s="211"/>
      <c r="DI138" s="211"/>
      <c r="DJ138" s="211"/>
      <c r="DK138" s="220" t="s">
        <v>32</v>
      </c>
      <c r="DT138" s="222"/>
    </row>
    <row r="139" spans="1:124" s="176" customFormat="1" ht="42" x14ac:dyDescent="0.2">
      <c r="A139" s="195" t="s">
        <v>136</v>
      </c>
      <c r="B139" s="197" t="s">
        <v>466</v>
      </c>
      <c r="C139" s="198">
        <v>1</v>
      </c>
      <c r="D139" s="199">
        <v>600000</v>
      </c>
      <c r="E139" s="198" t="s">
        <v>467</v>
      </c>
      <c r="F139" s="198" t="s">
        <v>143</v>
      </c>
      <c r="G139" s="198" t="s">
        <v>139</v>
      </c>
      <c r="H139" s="200">
        <v>1</v>
      </c>
      <c r="I139" s="199">
        <f t="shared" si="170"/>
        <v>0</v>
      </c>
      <c r="J139" s="199">
        <f t="shared" si="171"/>
        <v>600000</v>
      </c>
      <c r="K139" s="199">
        <f t="shared" si="172"/>
        <v>600000</v>
      </c>
      <c r="L139" s="199"/>
      <c r="M139" s="199">
        <v>600000</v>
      </c>
      <c r="N139" s="199">
        <f t="shared" si="173"/>
        <v>600000</v>
      </c>
      <c r="O139" s="199"/>
      <c r="P139" s="201">
        <v>0</v>
      </c>
      <c r="Q139" s="202">
        <v>12</v>
      </c>
      <c r="R139" s="203">
        <v>45566</v>
      </c>
      <c r="S139" s="204"/>
      <c r="T139" s="204">
        <v>600000</v>
      </c>
      <c r="U139" s="204">
        <f t="shared" si="174"/>
        <v>600000</v>
      </c>
      <c r="V139" s="205">
        <v>1450</v>
      </c>
      <c r="W139" s="200">
        <v>45693</v>
      </c>
      <c r="X139" s="201"/>
      <c r="Y139" s="201">
        <v>-2920.51</v>
      </c>
      <c r="Z139" s="201">
        <f t="shared" si="175"/>
        <v>-2920.51</v>
      </c>
      <c r="AA139" s="198"/>
      <c r="AB139" s="206"/>
      <c r="AC139" s="207"/>
      <c r="AD139" s="201"/>
      <c r="AE139" s="204">
        <f t="shared" si="176"/>
        <v>0</v>
      </c>
      <c r="AF139" s="203">
        <f t="shared" si="177"/>
        <v>45566</v>
      </c>
      <c r="AG139" s="201">
        <f t="shared" si="178"/>
        <v>0</v>
      </c>
      <c r="AH139" s="199">
        <f t="shared" si="179"/>
        <v>597079.49</v>
      </c>
      <c r="AI139" s="199">
        <f t="shared" si="180"/>
        <v>597079.49</v>
      </c>
      <c r="AJ139" s="201">
        <f t="shared" si="167"/>
        <v>0</v>
      </c>
      <c r="AK139" s="201">
        <f t="shared" si="167"/>
        <v>597079.49</v>
      </c>
      <c r="AL139" s="201">
        <f t="shared" si="181"/>
        <v>597079.49</v>
      </c>
      <c r="AM139" s="198"/>
      <c r="AN139" s="203"/>
      <c r="AO139" s="208"/>
      <c r="AP139" s="201">
        <f t="shared" si="182"/>
        <v>0</v>
      </c>
      <c r="AQ139" s="201">
        <f t="shared" si="183"/>
        <v>596429.67000000004</v>
      </c>
      <c r="AR139" s="201">
        <f t="shared" si="184"/>
        <v>596429.67000000004</v>
      </c>
      <c r="AS139" s="201">
        <f t="shared" si="185"/>
        <v>99.891166919835086</v>
      </c>
      <c r="AT139" s="201"/>
      <c r="AU139" s="209">
        <v>596429.67000000004</v>
      </c>
      <c r="AV139" s="201">
        <f t="shared" si="186"/>
        <v>596429.67000000004</v>
      </c>
      <c r="AW139" s="201">
        <f t="shared" si="195"/>
        <v>0</v>
      </c>
      <c r="AX139" s="201">
        <f t="shared" si="187"/>
        <v>99.891166919835086</v>
      </c>
      <c r="AY139" s="208"/>
      <c r="AZ139" s="201">
        <f t="shared" si="188"/>
        <v>0</v>
      </c>
      <c r="BA139" s="201">
        <f t="shared" si="189"/>
        <v>0</v>
      </c>
      <c r="BB139" s="201">
        <f t="shared" si="190"/>
        <v>0</v>
      </c>
      <c r="BC139" s="201"/>
      <c r="BD139" s="223">
        <v>0</v>
      </c>
      <c r="BE139" s="201">
        <f t="shared" si="191"/>
        <v>0</v>
      </c>
      <c r="BF139" s="208"/>
      <c r="BG139" s="201">
        <f t="shared" si="168"/>
        <v>0</v>
      </c>
      <c r="BH139" s="201">
        <f t="shared" si="168"/>
        <v>596429.67000000004</v>
      </c>
      <c r="BI139" s="201">
        <f t="shared" si="192"/>
        <v>596429.67000000004</v>
      </c>
      <c r="BJ139" s="201">
        <f t="shared" si="200"/>
        <v>99.891166919835086</v>
      </c>
      <c r="BK139" s="210">
        <v>20</v>
      </c>
      <c r="BL139" s="210">
        <v>95</v>
      </c>
      <c r="BM139" s="211"/>
      <c r="BN139" s="211"/>
      <c r="BO139" s="212">
        <f t="shared" si="193"/>
        <v>0</v>
      </c>
      <c r="BP139" s="201">
        <f t="shared" si="194"/>
        <v>649.81999999994878</v>
      </c>
      <c r="BQ139" s="201">
        <f t="shared" si="196"/>
        <v>649.81999999994878</v>
      </c>
      <c r="BR139" s="201">
        <f t="shared" si="169"/>
        <v>0</v>
      </c>
      <c r="BS139" s="201">
        <f t="shared" si="169"/>
        <v>649.81999999994878</v>
      </c>
      <c r="BT139" s="201">
        <f t="shared" si="197"/>
        <v>649.81999999994878</v>
      </c>
      <c r="BU139" s="213">
        <f t="shared" si="198"/>
        <v>0</v>
      </c>
      <c r="BV139" s="201">
        <v>2920.51</v>
      </c>
      <c r="BW139" s="201"/>
      <c r="BX139" s="201">
        <f t="shared" si="199"/>
        <v>2920.51</v>
      </c>
      <c r="BY139" s="199">
        <v>200000</v>
      </c>
      <c r="BZ139" s="199">
        <v>200000</v>
      </c>
      <c r="CA139" s="199">
        <v>200000</v>
      </c>
      <c r="CB139" s="199">
        <v>0</v>
      </c>
      <c r="CC139" s="199">
        <v>0</v>
      </c>
      <c r="CD139" s="199">
        <v>0</v>
      </c>
      <c r="CE139" s="199">
        <v>0</v>
      </c>
      <c r="CF139" s="199">
        <v>0</v>
      </c>
      <c r="CG139" s="199">
        <v>0</v>
      </c>
      <c r="CH139" s="199">
        <v>0</v>
      </c>
      <c r="CI139" s="199">
        <v>0</v>
      </c>
      <c r="CJ139" s="199">
        <v>0</v>
      </c>
      <c r="CK139" s="214" t="s">
        <v>468</v>
      </c>
      <c r="CL139" s="214" t="s">
        <v>276</v>
      </c>
      <c r="CM139" s="211">
        <v>185</v>
      </c>
      <c r="CN139" s="215"/>
      <c r="CO139" s="215"/>
      <c r="CP139" s="216"/>
      <c r="CQ139" s="217"/>
      <c r="CR139" s="211"/>
      <c r="CS139" s="218"/>
      <c r="CT139" s="218"/>
      <c r="CU139" s="218"/>
      <c r="CV139" s="211"/>
      <c r="CW139" s="211"/>
      <c r="CX139" s="211"/>
      <c r="CY139" s="211"/>
      <c r="CZ139" s="211"/>
      <c r="DA139" s="211"/>
      <c r="DB139" s="211"/>
      <c r="DC139" s="219"/>
      <c r="DD139" s="219"/>
      <c r="DE139" s="219"/>
      <c r="DF139" s="211"/>
      <c r="DG139" s="211"/>
      <c r="DH139" s="211"/>
      <c r="DI139" s="211"/>
      <c r="DJ139" s="211"/>
      <c r="DK139" s="220" t="s">
        <v>32</v>
      </c>
      <c r="DT139" s="222"/>
    </row>
    <row r="140" spans="1:124" s="176" customFormat="1" ht="42" x14ac:dyDescent="0.2">
      <c r="A140" s="195" t="s">
        <v>136</v>
      </c>
      <c r="B140" s="197" t="s">
        <v>469</v>
      </c>
      <c r="C140" s="198">
        <v>1</v>
      </c>
      <c r="D140" s="199">
        <v>980000</v>
      </c>
      <c r="E140" s="198" t="s">
        <v>462</v>
      </c>
      <c r="F140" s="198" t="s">
        <v>462</v>
      </c>
      <c r="G140" s="198" t="s">
        <v>139</v>
      </c>
      <c r="H140" s="200">
        <v>1</v>
      </c>
      <c r="I140" s="199">
        <f t="shared" si="170"/>
        <v>0</v>
      </c>
      <c r="J140" s="199">
        <f t="shared" si="171"/>
        <v>980000</v>
      </c>
      <c r="K140" s="199">
        <f t="shared" si="172"/>
        <v>980000</v>
      </c>
      <c r="L140" s="199"/>
      <c r="M140" s="199">
        <v>980000</v>
      </c>
      <c r="N140" s="199">
        <f t="shared" si="173"/>
        <v>980000</v>
      </c>
      <c r="O140" s="199"/>
      <c r="P140" s="201">
        <v>0</v>
      </c>
      <c r="Q140" s="202">
        <v>12</v>
      </c>
      <c r="R140" s="203">
        <v>45566</v>
      </c>
      <c r="S140" s="204"/>
      <c r="T140" s="204">
        <v>980000</v>
      </c>
      <c r="U140" s="204">
        <f t="shared" si="174"/>
        <v>980000</v>
      </c>
      <c r="V140" s="205">
        <v>1450</v>
      </c>
      <c r="W140" s="200">
        <v>45693</v>
      </c>
      <c r="X140" s="201"/>
      <c r="Y140" s="201">
        <v>-1700.5</v>
      </c>
      <c r="Z140" s="201">
        <f t="shared" si="175"/>
        <v>-1700.5</v>
      </c>
      <c r="AA140" s="198"/>
      <c r="AB140" s="206"/>
      <c r="AC140" s="207"/>
      <c r="AD140" s="201"/>
      <c r="AE140" s="204">
        <f t="shared" si="176"/>
        <v>0</v>
      </c>
      <c r="AF140" s="203">
        <f t="shared" si="177"/>
        <v>45566</v>
      </c>
      <c r="AG140" s="201">
        <f t="shared" si="178"/>
        <v>0</v>
      </c>
      <c r="AH140" s="199">
        <f t="shared" si="179"/>
        <v>978299.5</v>
      </c>
      <c r="AI140" s="199">
        <f t="shared" si="180"/>
        <v>978299.5</v>
      </c>
      <c r="AJ140" s="201">
        <f t="shared" si="167"/>
        <v>0</v>
      </c>
      <c r="AK140" s="201">
        <f t="shared" si="167"/>
        <v>978299.5</v>
      </c>
      <c r="AL140" s="201">
        <f t="shared" si="181"/>
        <v>978299.5</v>
      </c>
      <c r="AM140" s="198"/>
      <c r="AN140" s="203"/>
      <c r="AO140" s="208"/>
      <c r="AP140" s="201">
        <f t="shared" si="182"/>
        <v>0</v>
      </c>
      <c r="AQ140" s="201">
        <f t="shared" si="183"/>
        <v>912905.5</v>
      </c>
      <c r="AR140" s="201">
        <f t="shared" si="184"/>
        <v>912905.5</v>
      </c>
      <c r="AS140" s="201">
        <f t="shared" si="185"/>
        <v>93.315543961741781</v>
      </c>
      <c r="AT140" s="201"/>
      <c r="AU140" s="209">
        <v>912905.5</v>
      </c>
      <c r="AV140" s="201">
        <f t="shared" si="186"/>
        <v>912905.5</v>
      </c>
      <c r="AW140" s="201">
        <f t="shared" si="195"/>
        <v>10.221818573964313</v>
      </c>
      <c r="AX140" s="201">
        <f t="shared" si="187"/>
        <v>93.315543961741781</v>
      </c>
      <c r="AY140" s="208"/>
      <c r="AZ140" s="201">
        <f t="shared" si="188"/>
        <v>0</v>
      </c>
      <c r="BA140" s="201">
        <f t="shared" si="189"/>
        <v>0</v>
      </c>
      <c r="BB140" s="201">
        <f t="shared" si="190"/>
        <v>0</v>
      </c>
      <c r="BC140" s="201"/>
      <c r="BD140" s="223">
        <v>0</v>
      </c>
      <c r="BE140" s="201">
        <f t="shared" si="191"/>
        <v>0</v>
      </c>
      <c r="BF140" s="208"/>
      <c r="BG140" s="201">
        <f t="shared" si="168"/>
        <v>0</v>
      </c>
      <c r="BH140" s="201">
        <f t="shared" si="168"/>
        <v>912905.5</v>
      </c>
      <c r="BI140" s="201">
        <f t="shared" si="192"/>
        <v>912905.5</v>
      </c>
      <c r="BJ140" s="201">
        <f t="shared" si="200"/>
        <v>93.315543961741781</v>
      </c>
      <c r="BK140" s="210">
        <v>20</v>
      </c>
      <c r="BL140" s="210">
        <v>90</v>
      </c>
      <c r="BM140" s="211"/>
      <c r="BN140" s="211"/>
      <c r="BO140" s="212">
        <f t="shared" si="193"/>
        <v>0</v>
      </c>
      <c r="BP140" s="201">
        <f t="shared" si="194"/>
        <v>65394</v>
      </c>
      <c r="BQ140" s="201">
        <f t="shared" si="196"/>
        <v>65394</v>
      </c>
      <c r="BR140" s="201">
        <f t="shared" si="169"/>
        <v>0</v>
      </c>
      <c r="BS140" s="201">
        <f t="shared" si="169"/>
        <v>65394</v>
      </c>
      <c r="BT140" s="201">
        <f t="shared" si="197"/>
        <v>65394</v>
      </c>
      <c r="BU140" s="213">
        <f t="shared" si="198"/>
        <v>0</v>
      </c>
      <c r="BV140" s="201">
        <v>1700.5</v>
      </c>
      <c r="BW140" s="201"/>
      <c r="BX140" s="201">
        <f t="shared" si="199"/>
        <v>1700.5</v>
      </c>
      <c r="BY140" s="199">
        <v>0</v>
      </c>
      <c r="BZ140" s="199">
        <v>60000</v>
      </c>
      <c r="CA140" s="199">
        <v>70000</v>
      </c>
      <c r="CB140" s="199">
        <v>80000</v>
      </c>
      <c r="CC140" s="199">
        <v>90000</v>
      </c>
      <c r="CD140" s="199">
        <v>100000</v>
      </c>
      <c r="CE140" s="199">
        <v>100000</v>
      </c>
      <c r="CF140" s="199">
        <v>100000</v>
      </c>
      <c r="CG140" s="199">
        <v>100000</v>
      </c>
      <c r="CH140" s="199">
        <v>100000</v>
      </c>
      <c r="CI140" s="199">
        <v>100000</v>
      </c>
      <c r="CJ140" s="199">
        <v>80000</v>
      </c>
      <c r="CK140" s="214" t="s">
        <v>470</v>
      </c>
      <c r="CL140" s="214" t="s">
        <v>276</v>
      </c>
      <c r="CM140" s="211">
        <v>185</v>
      </c>
      <c r="CN140" s="215"/>
      <c r="CO140" s="215"/>
      <c r="CP140" s="216"/>
      <c r="CQ140" s="217"/>
      <c r="CR140" s="211"/>
      <c r="CS140" s="218"/>
      <c r="CT140" s="218"/>
      <c r="CU140" s="218"/>
      <c r="CV140" s="211"/>
      <c r="CW140" s="211"/>
      <c r="CX140" s="211"/>
      <c r="CY140" s="211"/>
      <c r="CZ140" s="211"/>
      <c r="DA140" s="211"/>
      <c r="DB140" s="211"/>
      <c r="DC140" s="219"/>
      <c r="DD140" s="219"/>
      <c r="DE140" s="219"/>
      <c r="DF140" s="211"/>
      <c r="DG140" s="211"/>
      <c r="DH140" s="211"/>
      <c r="DI140" s="211"/>
      <c r="DJ140" s="211"/>
      <c r="DK140" s="220" t="s">
        <v>32</v>
      </c>
      <c r="DT140" s="222"/>
    </row>
    <row r="141" spans="1:124" s="176" customFormat="1" ht="42" x14ac:dyDescent="0.2">
      <c r="A141" s="195" t="s">
        <v>136</v>
      </c>
      <c r="B141" s="197" t="s">
        <v>471</v>
      </c>
      <c r="C141" s="198">
        <v>1</v>
      </c>
      <c r="D141" s="199">
        <v>990000</v>
      </c>
      <c r="E141" s="198" t="s">
        <v>472</v>
      </c>
      <c r="F141" s="198" t="s">
        <v>473</v>
      </c>
      <c r="G141" s="198" t="s">
        <v>139</v>
      </c>
      <c r="H141" s="200">
        <v>1</v>
      </c>
      <c r="I141" s="199">
        <f t="shared" si="170"/>
        <v>0</v>
      </c>
      <c r="J141" s="199">
        <f t="shared" si="171"/>
        <v>990000</v>
      </c>
      <c r="K141" s="199">
        <f t="shared" si="172"/>
        <v>990000</v>
      </c>
      <c r="L141" s="199"/>
      <c r="M141" s="199">
        <v>990000</v>
      </c>
      <c r="N141" s="199">
        <f t="shared" si="173"/>
        <v>990000</v>
      </c>
      <c r="O141" s="199"/>
      <c r="P141" s="201">
        <v>0</v>
      </c>
      <c r="Q141" s="202">
        <v>12</v>
      </c>
      <c r="R141" s="203">
        <v>45566</v>
      </c>
      <c r="S141" s="204"/>
      <c r="T141" s="204">
        <v>990000</v>
      </c>
      <c r="U141" s="204">
        <f t="shared" si="174"/>
        <v>990000</v>
      </c>
      <c r="V141" s="205">
        <v>690</v>
      </c>
      <c r="W141" s="200">
        <v>45622</v>
      </c>
      <c r="X141" s="201"/>
      <c r="Y141" s="201">
        <v>-21724</v>
      </c>
      <c r="Z141" s="201">
        <f t="shared" si="175"/>
        <v>-21724</v>
      </c>
      <c r="AA141" s="198"/>
      <c r="AB141" s="206"/>
      <c r="AC141" s="207"/>
      <c r="AD141" s="201"/>
      <c r="AE141" s="204">
        <f t="shared" si="176"/>
        <v>0</v>
      </c>
      <c r="AF141" s="203">
        <f t="shared" si="177"/>
        <v>45566</v>
      </c>
      <c r="AG141" s="201">
        <f t="shared" si="178"/>
        <v>0</v>
      </c>
      <c r="AH141" s="199">
        <f t="shared" si="179"/>
        <v>968276</v>
      </c>
      <c r="AI141" s="199">
        <f t="shared" si="180"/>
        <v>968276</v>
      </c>
      <c r="AJ141" s="201">
        <f t="shared" si="167"/>
        <v>0</v>
      </c>
      <c r="AK141" s="201">
        <f t="shared" si="167"/>
        <v>968276</v>
      </c>
      <c r="AL141" s="201">
        <f t="shared" si="181"/>
        <v>968276</v>
      </c>
      <c r="AM141" s="198"/>
      <c r="AN141" s="203"/>
      <c r="AO141" s="208"/>
      <c r="AP141" s="201">
        <f t="shared" si="182"/>
        <v>0</v>
      </c>
      <c r="AQ141" s="201">
        <f t="shared" si="183"/>
        <v>953138.99</v>
      </c>
      <c r="AR141" s="201">
        <f t="shared" si="184"/>
        <v>953138.99</v>
      </c>
      <c r="AS141" s="201">
        <f t="shared" si="185"/>
        <v>98.436705030383905</v>
      </c>
      <c r="AT141" s="201"/>
      <c r="AU141" s="209">
        <v>953138.99</v>
      </c>
      <c r="AV141" s="201">
        <f t="shared" si="186"/>
        <v>953138.99</v>
      </c>
      <c r="AW141" s="201">
        <f t="shared" si="195"/>
        <v>0</v>
      </c>
      <c r="AX141" s="201">
        <f t="shared" si="187"/>
        <v>98.436705030383905</v>
      </c>
      <c r="AY141" s="208"/>
      <c r="AZ141" s="201">
        <f t="shared" si="188"/>
        <v>0</v>
      </c>
      <c r="BA141" s="201">
        <f t="shared" si="189"/>
        <v>0</v>
      </c>
      <c r="BB141" s="201">
        <f t="shared" si="190"/>
        <v>0</v>
      </c>
      <c r="BC141" s="201"/>
      <c r="BD141" s="223">
        <v>0</v>
      </c>
      <c r="BE141" s="201">
        <f t="shared" si="191"/>
        <v>0</v>
      </c>
      <c r="BF141" s="208"/>
      <c r="BG141" s="201">
        <f t="shared" si="168"/>
        <v>0</v>
      </c>
      <c r="BH141" s="201">
        <f t="shared" si="168"/>
        <v>953138.99</v>
      </c>
      <c r="BI141" s="201">
        <f t="shared" si="192"/>
        <v>953138.99</v>
      </c>
      <c r="BJ141" s="201">
        <f t="shared" si="200"/>
        <v>98.436705030383905</v>
      </c>
      <c r="BK141" s="210">
        <v>20</v>
      </c>
      <c r="BL141" s="210">
        <v>98</v>
      </c>
      <c r="BM141" s="211"/>
      <c r="BN141" s="211"/>
      <c r="BO141" s="212">
        <f t="shared" si="193"/>
        <v>0</v>
      </c>
      <c r="BP141" s="201">
        <f t="shared" si="194"/>
        <v>15137.010000000009</v>
      </c>
      <c r="BQ141" s="201">
        <f t="shared" si="196"/>
        <v>15137.010000000009</v>
      </c>
      <c r="BR141" s="201">
        <f t="shared" si="169"/>
        <v>0</v>
      </c>
      <c r="BS141" s="201">
        <f t="shared" si="169"/>
        <v>15137.010000000009</v>
      </c>
      <c r="BT141" s="201">
        <f t="shared" si="197"/>
        <v>15137.010000000009</v>
      </c>
      <c r="BU141" s="213">
        <f t="shared" si="198"/>
        <v>0</v>
      </c>
      <c r="BV141" s="201">
        <v>21724</v>
      </c>
      <c r="BW141" s="201"/>
      <c r="BX141" s="201">
        <f t="shared" si="199"/>
        <v>21724</v>
      </c>
      <c r="BY141" s="199">
        <v>0</v>
      </c>
      <c r="BZ141" s="199">
        <v>330000</v>
      </c>
      <c r="CA141" s="199">
        <v>330000</v>
      </c>
      <c r="CB141" s="199">
        <v>330000</v>
      </c>
      <c r="CC141" s="199">
        <v>0</v>
      </c>
      <c r="CD141" s="199">
        <v>0</v>
      </c>
      <c r="CE141" s="199">
        <v>0</v>
      </c>
      <c r="CF141" s="199">
        <v>0</v>
      </c>
      <c r="CG141" s="199">
        <v>0</v>
      </c>
      <c r="CH141" s="199">
        <v>0</v>
      </c>
      <c r="CI141" s="199">
        <v>0</v>
      </c>
      <c r="CJ141" s="199">
        <v>0</v>
      </c>
      <c r="CK141" s="214" t="s">
        <v>474</v>
      </c>
      <c r="CL141" s="214" t="s">
        <v>276</v>
      </c>
      <c r="CM141" s="211">
        <v>185</v>
      </c>
      <c r="CN141" s="215"/>
      <c r="CO141" s="215"/>
      <c r="CP141" s="216"/>
      <c r="CQ141" s="217"/>
      <c r="CR141" s="211"/>
      <c r="CS141" s="218"/>
      <c r="CT141" s="218"/>
      <c r="CU141" s="218"/>
      <c r="CV141" s="211"/>
      <c r="CW141" s="211"/>
      <c r="CX141" s="211"/>
      <c r="CY141" s="211"/>
      <c r="CZ141" s="211"/>
      <c r="DA141" s="211"/>
      <c r="DB141" s="211"/>
      <c r="DC141" s="219"/>
      <c r="DD141" s="219"/>
      <c r="DE141" s="219"/>
      <c r="DF141" s="211"/>
      <c r="DG141" s="211"/>
      <c r="DH141" s="211"/>
      <c r="DI141" s="211"/>
      <c r="DJ141" s="211"/>
      <c r="DK141" s="220" t="s">
        <v>32</v>
      </c>
      <c r="DT141" s="222"/>
    </row>
    <row r="142" spans="1:124" s="176" customFormat="1" ht="42" x14ac:dyDescent="0.2">
      <c r="A142" s="195" t="s">
        <v>136</v>
      </c>
      <c r="B142" s="197" t="s">
        <v>475</v>
      </c>
      <c r="C142" s="198">
        <v>1</v>
      </c>
      <c r="D142" s="199">
        <v>1290000</v>
      </c>
      <c r="E142" s="198" t="s">
        <v>476</v>
      </c>
      <c r="F142" s="198" t="s">
        <v>143</v>
      </c>
      <c r="G142" s="198" t="s">
        <v>139</v>
      </c>
      <c r="H142" s="200">
        <v>1</v>
      </c>
      <c r="I142" s="199">
        <f t="shared" si="170"/>
        <v>0</v>
      </c>
      <c r="J142" s="199">
        <f t="shared" si="171"/>
        <v>1290000</v>
      </c>
      <c r="K142" s="199">
        <f t="shared" si="172"/>
        <v>1290000</v>
      </c>
      <c r="L142" s="199"/>
      <c r="M142" s="199">
        <v>1290000</v>
      </c>
      <c r="N142" s="199">
        <f t="shared" si="173"/>
        <v>1290000</v>
      </c>
      <c r="O142" s="199"/>
      <c r="P142" s="201">
        <v>0</v>
      </c>
      <c r="Q142" s="202">
        <v>12</v>
      </c>
      <c r="R142" s="203">
        <v>45566</v>
      </c>
      <c r="S142" s="204"/>
      <c r="T142" s="204">
        <v>1290000</v>
      </c>
      <c r="U142" s="204">
        <f t="shared" si="174"/>
        <v>1290000</v>
      </c>
      <c r="V142" s="205">
        <v>1450</v>
      </c>
      <c r="W142" s="200">
        <v>45693</v>
      </c>
      <c r="X142" s="201"/>
      <c r="Y142" s="201">
        <v>-5.9</v>
      </c>
      <c r="Z142" s="201">
        <f t="shared" si="175"/>
        <v>-5.9</v>
      </c>
      <c r="AA142" s="198"/>
      <c r="AB142" s="206"/>
      <c r="AC142" s="207"/>
      <c r="AD142" s="201"/>
      <c r="AE142" s="204">
        <f t="shared" si="176"/>
        <v>0</v>
      </c>
      <c r="AF142" s="203">
        <f t="shared" si="177"/>
        <v>45566</v>
      </c>
      <c r="AG142" s="201">
        <f t="shared" si="178"/>
        <v>0</v>
      </c>
      <c r="AH142" s="199">
        <f t="shared" si="179"/>
        <v>1289994.1000000001</v>
      </c>
      <c r="AI142" s="199">
        <f t="shared" si="180"/>
        <v>1289994.1000000001</v>
      </c>
      <c r="AJ142" s="201">
        <f t="shared" si="167"/>
        <v>0</v>
      </c>
      <c r="AK142" s="201">
        <f t="shared" si="167"/>
        <v>1289994.1000000001</v>
      </c>
      <c r="AL142" s="201">
        <f t="shared" si="181"/>
        <v>1289994.1000000001</v>
      </c>
      <c r="AM142" s="198"/>
      <c r="AN142" s="203"/>
      <c r="AO142" s="208"/>
      <c r="AP142" s="201">
        <f t="shared" si="182"/>
        <v>0</v>
      </c>
      <c r="AQ142" s="201">
        <f t="shared" si="183"/>
        <v>968662.63</v>
      </c>
      <c r="AR142" s="201">
        <f t="shared" si="184"/>
        <v>968662.63</v>
      </c>
      <c r="AS142" s="201">
        <f t="shared" si="185"/>
        <v>75.090469793621537</v>
      </c>
      <c r="AT142" s="201"/>
      <c r="AU142" s="209">
        <v>968662.63</v>
      </c>
      <c r="AV142" s="201">
        <f t="shared" si="186"/>
        <v>968662.63</v>
      </c>
      <c r="AW142" s="201">
        <f t="shared" si="195"/>
        <v>0</v>
      </c>
      <c r="AX142" s="201">
        <f t="shared" si="187"/>
        <v>75.090469793621537</v>
      </c>
      <c r="AY142" s="208"/>
      <c r="AZ142" s="201">
        <f t="shared" si="188"/>
        <v>0</v>
      </c>
      <c r="BA142" s="201">
        <f t="shared" si="189"/>
        <v>0</v>
      </c>
      <c r="BB142" s="201">
        <f t="shared" si="190"/>
        <v>0</v>
      </c>
      <c r="BC142" s="201"/>
      <c r="BD142" s="223">
        <v>0</v>
      </c>
      <c r="BE142" s="201">
        <f t="shared" si="191"/>
        <v>0</v>
      </c>
      <c r="BF142" s="208"/>
      <c r="BG142" s="201">
        <f t="shared" si="168"/>
        <v>0</v>
      </c>
      <c r="BH142" s="201">
        <f t="shared" si="168"/>
        <v>968662.63</v>
      </c>
      <c r="BI142" s="201">
        <f t="shared" si="192"/>
        <v>968662.63</v>
      </c>
      <c r="BJ142" s="201">
        <f t="shared" si="200"/>
        <v>75.090469793621537</v>
      </c>
      <c r="BK142" s="210">
        <v>20</v>
      </c>
      <c r="BL142" s="210">
        <v>75</v>
      </c>
      <c r="BM142" s="211"/>
      <c r="BN142" s="211"/>
      <c r="BO142" s="212">
        <f t="shared" si="193"/>
        <v>0</v>
      </c>
      <c r="BP142" s="201">
        <f t="shared" si="194"/>
        <v>321331.47000000009</v>
      </c>
      <c r="BQ142" s="201">
        <f t="shared" si="196"/>
        <v>321331.47000000009</v>
      </c>
      <c r="BR142" s="201">
        <f t="shared" si="169"/>
        <v>0</v>
      </c>
      <c r="BS142" s="201">
        <f t="shared" si="169"/>
        <v>321331.47000000009</v>
      </c>
      <c r="BT142" s="201">
        <f t="shared" si="197"/>
        <v>321331.47000000009</v>
      </c>
      <c r="BU142" s="213">
        <f t="shared" si="198"/>
        <v>0</v>
      </c>
      <c r="BV142" s="201">
        <v>5.9</v>
      </c>
      <c r="BW142" s="201"/>
      <c r="BX142" s="201">
        <f t="shared" si="199"/>
        <v>5.9</v>
      </c>
      <c r="BY142" s="199">
        <v>215000</v>
      </c>
      <c r="BZ142" s="199">
        <v>215000</v>
      </c>
      <c r="CA142" s="199">
        <v>215000</v>
      </c>
      <c r="CB142" s="199">
        <v>215000</v>
      </c>
      <c r="CC142" s="199">
        <v>215000</v>
      </c>
      <c r="CD142" s="199">
        <v>215000</v>
      </c>
      <c r="CE142" s="199"/>
      <c r="CF142" s="199"/>
      <c r="CG142" s="199"/>
      <c r="CH142" s="199">
        <v>0</v>
      </c>
      <c r="CI142" s="199">
        <v>0</v>
      </c>
      <c r="CJ142" s="199">
        <v>0</v>
      </c>
      <c r="CK142" s="214" t="s">
        <v>477</v>
      </c>
      <c r="CL142" s="214" t="s">
        <v>276</v>
      </c>
      <c r="CM142" s="211">
        <v>185</v>
      </c>
      <c r="CN142" s="215"/>
      <c r="CO142" s="215"/>
      <c r="CP142" s="216"/>
      <c r="CQ142" s="217"/>
      <c r="CR142" s="211"/>
      <c r="CS142" s="218"/>
      <c r="CT142" s="218"/>
      <c r="CU142" s="218"/>
      <c r="CV142" s="211"/>
      <c r="CW142" s="211"/>
      <c r="CX142" s="211"/>
      <c r="CY142" s="211"/>
      <c r="CZ142" s="211"/>
      <c r="DA142" s="211"/>
      <c r="DB142" s="211"/>
      <c r="DC142" s="219"/>
      <c r="DD142" s="219"/>
      <c r="DE142" s="219"/>
      <c r="DF142" s="211"/>
      <c r="DG142" s="211"/>
      <c r="DH142" s="211"/>
      <c r="DI142" s="211"/>
      <c r="DJ142" s="211"/>
      <c r="DK142" s="220" t="s">
        <v>32</v>
      </c>
      <c r="DT142" s="222"/>
    </row>
    <row r="143" spans="1:124" s="176" customFormat="1" ht="42" x14ac:dyDescent="0.2">
      <c r="A143" s="195" t="s">
        <v>136</v>
      </c>
      <c r="B143" s="197" t="s">
        <v>478</v>
      </c>
      <c r="C143" s="198">
        <v>1</v>
      </c>
      <c r="D143" s="199">
        <v>988000</v>
      </c>
      <c r="E143" s="198" t="s">
        <v>458</v>
      </c>
      <c r="F143" s="198" t="s">
        <v>195</v>
      </c>
      <c r="G143" s="198" t="s">
        <v>139</v>
      </c>
      <c r="H143" s="200">
        <v>1</v>
      </c>
      <c r="I143" s="199">
        <f t="shared" si="170"/>
        <v>0</v>
      </c>
      <c r="J143" s="199">
        <f t="shared" si="171"/>
        <v>988000</v>
      </c>
      <c r="K143" s="199">
        <f t="shared" si="172"/>
        <v>988000</v>
      </c>
      <c r="L143" s="199"/>
      <c r="M143" s="199">
        <v>988000</v>
      </c>
      <c r="N143" s="199">
        <f t="shared" si="173"/>
        <v>988000</v>
      </c>
      <c r="O143" s="199"/>
      <c r="P143" s="201">
        <v>0</v>
      </c>
      <c r="Q143" s="202">
        <v>12</v>
      </c>
      <c r="R143" s="203">
        <v>45566</v>
      </c>
      <c r="S143" s="204"/>
      <c r="T143" s="204">
        <v>988000</v>
      </c>
      <c r="U143" s="204">
        <f t="shared" si="174"/>
        <v>988000</v>
      </c>
      <c r="V143" s="205">
        <v>1450</v>
      </c>
      <c r="W143" s="200">
        <v>45693</v>
      </c>
      <c r="X143" s="201"/>
      <c r="Y143" s="201">
        <v>-2428.9</v>
      </c>
      <c r="Z143" s="201">
        <f t="shared" si="175"/>
        <v>-2428.9</v>
      </c>
      <c r="AA143" s="198"/>
      <c r="AB143" s="206"/>
      <c r="AC143" s="207"/>
      <c r="AD143" s="201"/>
      <c r="AE143" s="204">
        <f t="shared" si="176"/>
        <v>0</v>
      </c>
      <c r="AF143" s="203">
        <f t="shared" si="177"/>
        <v>45566</v>
      </c>
      <c r="AG143" s="201">
        <f t="shared" si="178"/>
        <v>0</v>
      </c>
      <c r="AH143" s="199">
        <f t="shared" si="179"/>
        <v>985571.1</v>
      </c>
      <c r="AI143" s="199">
        <f t="shared" si="180"/>
        <v>985571.1</v>
      </c>
      <c r="AJ143" s="201">
        <f t="shared" si="167"/>
        <v>0</v>
      </c>
      <c r="AK143" s="201">
        <f t="shared" si="167"/>
        <v>985571.1</v>
      </c>
      <c r="AL143" s="201">
        <f t="shared" si="181"/>
        <v>985571.1</v>
      </c>
      <c r="AM143" s="198"/>
      <c r="AN143" s="203"/>
      <c r="AO143" s="208"/>
      <c r="AP143" s="201">
        <f t="shared" si="182"/>
        <v>0</v>
      </c>
      <c r="AQ143" s="201">
        <f t="shared" si="183"/>
        <v>765724.23</v>
      </c>
      <c r="AR143" s="201">
        <f t="shared" si="184"/>
        <v>765724.23</v>
      </c>
      <c r="AS143" s="201">
        <f t="shared" si="185"/>
        <v>77.693454079568696</v>
      </c>
      <c r="AT143" s="201"/>
      <c r="AU143" s="209">
        <v>765724.23</v>
      </c>
      <c r="AV143" s="201">
        <f t="shared" si="186"/>
        <v>765724.23</v>
      </c>
      <c r="AW143" s="201">
        <f t="shared" si="195"/>
        <v>0</v>
      </c>
      <c r="AX143" s="201">
        <f t="shared" si="187"/>
        <v>77.693454079568696</v>
      </c>
      <c r="AY143" s="208"/>
      <c r="AZ143" s="201">
        <f t="shared" si="188"/>
        <v>0</v>
      </c>
      <c r="BA143" s="201">
        <f t="shared" si="189"/>
        <v>0</v>
      </c>
      <c r="BB143" s="201">
        <f t="shared" si="190"/>
        <v>0</v>
      </c>
      <c r="BC143" s="201"/>
      <c r="BD143" s="223">
        <v>0</v>
      </c>
      <c r="BE143" s="201">
        <f t="shared" si="191"/>
        <v>0</v>
      </c>
      <c r="BF143" s="208"/>
      <c r="BG143" s="201">
        <f t="shared" si="168"/>
        <v>0</v>
      </c>
      <c r="BH143" s="201">
        <f t="shared" si="168"/>
        <v>765724.23</v>
      </c>
      <c r="BI143" s="201">
        <f t="shared" si="192"/>
        <v>765724.23</v>
      </c>
      <c r="BJ143" s="201">
        <f t="shared" si="200"/>
        <v>77.693454079568696</v>
      </c>
      <c r="BK143" s="210">
        <v>20</v>
      </c>
      <c r="BL143" s="210">
        <v>40</v>
      </c>
      <c r="BM143" s="211"/>
      <c r="BN143" s="211"/>
      <c r="BO143" s="212">
        <f t="shared" si="193"/>
        <v>0</v>
      </c>
      <c r="BP143" s="201">
        <f t="shared" si="194"/>
        <v>219846.87</v>
      </c>
      <c r="BQ143" s="201">
        <f t="shared" si="196"/>
        <v>219846.87</v>
      </c>
      <c r="BR143" s="201">
        <f t="shared" si="169"/>
        <v>0</v>
      </c>
      <c r="BS143" s="201">
        <f t="shared" si="169"/>
        <v>219846.87</v>
      </c>
      <c r="BT143" s="201">
        <f t="shared" si="197"/>
        <v>219846.87</v>
      </c>
      <c r="BU143" s="213">
        <f t="shared" si="198"/>
        <v>0</v>
      </c>
      <c r="BV143" s="201">
        <v>2428.9</v>
      </c>
      <c r="BW143" s="201"/>
      <c r="BX143" s="201">
        <f t="shared" si="199"/>
        <v>2428.9</v>
      </c>
      <c r="BY143" s="199">
        <v>329333</v>
      </c>
      <c r="BZ143" s="199">
        <v>329334</v>
      </c>
      <c r="CA143" s="199">
        <v>329333</v>
      </c>
      <c r="CB143" s="199">
        <v>0</v>
      </c>
      <c r="CC143" s="199">
        <v>0</v>
      </c>
      <c r="CD143" s="199">
        <v>0</v>
      </c>
      <c r="CE143" s="199">
        <v>0</v>
      </c>
      <c r="CF143" s="199">
        <v>0</v>
      </c>
      <c r="CG143" s="199">
        <v>0</v>
      </c>
      <c r="CH143" s="199">
        <v>0</v>
      </c>
      <c r="CI143" s="199">
        <v>0</v>
      </c>
      <c r="CJ143" s="199">
        <v>0</v>
      </c>
      <c r="CK143" s="214" t="s">
        <v>479</v>
      </c>
      <c r="CL143" s="214" t="s">
        <v>276</v>
      </c>
      <c r="CM143" s="211">
        <v>185</v>
      </c>
      <c r="CN143" s="215"/>
      <c r="CO143" s="215"/>
      <c r="CP143" s="216"/>
      <c r="CQ143" s="217"/>
      <c r="CR143" s="211"/>
      <c r="CS143" s="218"/>
      <c r="CT143" s="218"/>
      <c r="CU143" s="218"/>
      <c r="CV143" s="211"/>
      <c r="CW143" s="211"/>
      <c r="CX143" s="211"/>
      <c r="CY143" s="211"/>
      <c r="CZ143" s="211"/>
      <c r="DA143" s="211"/>
      <c r="DB143" s="211"/>
      <c r="DC143" s="219"/>
      <c r="DD143" s="219"/>
      <c r="DE143" s="219"/>
      <c r="DF143" s="211"/>
      <c r="DG143" s="211"/>
      <c r="DH143" s="211"/>
      <c r="DI143" s="211"/>
      <c r="DJ143" s="211"/>
      <c r="DK143" s="220" t="s">
        <v>32</v>
      </c>
      <c r="DT143" s="222"/>
    </row>
    <row r="144" spans="1:124" s="176" customFormat="1" ht="42" x14ac:dyDescent="0.2">
      <c r="A144" s="195" t="s">
        <v>136</v>
      </c>
      <c r="B144" s="197" t="s">
        <v>480</v>
      </c>
      <c r="C144" s="198">
        <v>1</v>
      </c>
      <c r="D144" s="199">
        <v>950000</v>
      </c>
      <c r="E144" s="198" t="s">
        <v>481</v>
      </c>
      <c r="F144" s="198" t="s">
        <v>250</v>
      </c>
      <c r="G144" s="198" t="s">
        <v>139</v>
      </c>
      <c r="H144" s="200">
        <v>1</v>
      </c>
      <c r="I144" s="199">
        <f t="shared" si="170"/>
        <v>0</v>
      </c>
      <c r="J144" s="199">
        <f t="shared" si="171"/>
        <v>950000</v>
      </c>
      <c r="K144" s="199">
        <f t="shared" si="172"/>
        <v>950000</v>
      </c>
      <c r="L144" s="199"/>
      <c r="M144" s="199">
        <v>950000</v>
      </c>
      <c r="N144" s="199">
        <f t="shared" si="173"/>
        <v>950000</v>
      </c>
      <c r="O144" s="199"/>
      <c r="P144" s="201">
        <v>0</v>
      </c>
      <c r="Q144" s="202">
        <v>12</v>
      </c>
      <c r="R144" s="203">
        <v>45566</v>
      </c>
      <c r="S144" s="204"/>
      <c r="T144" s="204">
        <v>950000</v>
      </c>
      <c r="U144" s="204">
        <f t="shared" si="174"/>
        <v>950000</v>
      </c>
      <c r="V144" s="205">
        <v>690</v>
      </c>
      <c r="W144" s="200">
        <v>45622</v>
      </c>
      <c r="X144" s="201"/>
      <c r="Y144" s="201">
        <v>-22394</v>
      </c>
      <c r="Z144" s="201">
        <f t="shared" si="175"/>
        <v>-22394</v>
      </c>
      <c r="AA144" s="198"/>
      <c r="AB144" s="206"/>
      <c r="AC144" s="207"/>
      <c r="AD144" s="201"/>
      <c r="AE144" s="204">
        <f t="shared" si="176"/>
        <v>0</v>
      </c>
      <c r="AF144" s="203">
        <f t="shared" si="177"/>
        <v>45566</v>
      </c>
      <c r="AG144" s="201">
        <f t="shared" si="178"/>
        <v>0</v>
      </c>
      <c r="AH144" s="199">
        <f t="shared" si="179"/>
        <v>927606</v>
      </c>
      <c r="AI144" s="199">
        <f t="shared" si="180"/>
        <v>927606</v>
      </c>
      <c r="AJ144" s="201">
        <f t="shared" si="167"/>
        <v>0</v>
      </c>
      <c r="AK144" s="201">
        <f t="shared" si="167"/>
        <v>927606</v>
      </c>
      <c r="AL144" s="201">
        <f t="shared" si="181"/>
        <v>927606</v>
      </c>
      <c r="AM144" s="198"/>
      <c r="AN144" s="203"/>
      <c r="AO144" s="208"/>
      <c r="AP144" s="201">
        <f t="shared" si="182"/>
        <v>0</v>
      </c>
      <c r="AQ144" s="201">
        <f t="shared" si="183"/>
        <v>920681.54</v>
      </c>
      <c r="AR144" s="201">
        <f t="shared" si="184"/>
        <v>920681.54</v>
      </c>
      <c r="AS144" s="201">
        <f t="shared" si="185"/>
        <v>99.25351280608362</v>
      </c>
      <c r="AT144" s="201"/>
      <c r="AU144" s="209">
        <v>920681.54</v>
      </c>
      <c r="AV144" s="201">
        <f t="shared" si="186"/>
        <v>920681.54</v>
      </c>
      <c r="AW144" s="201">
        <f t="shared" si="195"/>
        <v>0</v>
      </c>
      <c r="AX144" s="201">
        <f t="shared" si="187"/>
        <v>99.25351280608362</v>
      </c>
      <c r="AY144" s="208"/>
      <c r="AZ144" s="201">
        <f t="shared" si="188"/>
        <v>0</v>
      </c>
      <c r="BA144" s="201">
        <f t="shared" si="189"/>
        <v>5410</v>
      </c>
      <c r="BB144" s="201">
        <f t="shared" si="190"/>
        <v>5410</v>
      </c>
      <c r="BC144" s="201"/>
      <c r="BD144" s="223">
        <v>5410</v>
      </c>
      <c r="BE144" s="201">
        <f t="shared" si="191"/>
        <v>5410</v>
      </c>
      <c r="BF144" s="208"/>
      <c r="BG144" s="201">
        <f t="shared" si="168"/>
        <v>0</v>
      </c>
      <c r="BH144" s="201">
        <f t="shared" si="168"/>
        <v>926091.54</v>
      </c>
      <c r="BI144" s="201">
        <f t="shared" si="192"/>
        <v>926091.54</v>
      </c>
      <c r="BJ144" s="201">
        <f t="shared" si="200"/>
        <v>99.836734561872177</v>
      </c>
      <c r="BK144" s="210">
        <v>20</v>
      </c>
      <c r="BL144" s="210">
        <v>100</v>
      </c>
      <c r="BM144" s="211"/>
      <c r="BN144" s="211"/>
      <c r="BO144" s="212">
        <f t="shared" si="193"/>
        <v>0</v>
      </c>
      <c r="BP144" s="201">
        <f t="shared" si="194"/>
        <v>6924.4599999999627</v>
      </c>
      <c r="BQ144" s="201">
        <f t="shared" si="196"/>
        <v>6924.4599999999627</v>
      </c>
      <c r="BR144" s="201">
        <f t="shared" si="169"/>
        <v>0</v>
      </c>
      <c r="BS144" s="201">
        <f t="shared" si="169"/>
        <v>6924.4599999999627</v>
      </c>
      <c r="BT144" s="201">
        <f t="shared" si="197"/>
        <v>6924.4599999999627</v>
      </c>
      <c r="BU144" s="213">
        <f t="shared" si="198"/>
        <v>0</v>
      </c>
      <c r="BV144" s="201">
        <v>22394</v>
      </c>
      <c r="BW144" s="201"/>
      <c r="BX144" s="201">
        <f t="shared" si="199"/>
        <v>22394</v>
      </c>
      <c r="BY144" s="199">
        <v>0</v>
      </c>
      <c r="BZ144" s="199">
        <v>315000</v>
      </c>
      <c r="CA144" s="199">
        <v>315000</v>
      </c>
      <c r="CB144" s="199">
        <v>320000</v>
      </c>
      <c r="CC144" s="199">
        <v>0</v>
      </c>
      <c r="CD144" s="199">
        <v>0</v>
      </c>
      <c r="CE144" s="199">
        <v>0</v>
      </c>
      <c r="CF144" s="199">
        <v>0</v>
      </c>
      <c r="CG144" s="199">
        <v>0</v>
      </c>
      <c r="CH144" s="199">
        <v>0</v>
      </c>
      <c r="CI144" s="199">
        <v>0</v>
      </c>
      <c r="CJ144" s="199">
        <v>0</v>
      </c>
      <c r="CK144" s="214" t="s">
        <v>482</v>
      </c>
      <c r="CL144" s="214" t="s">
        <v>276</v>
      </c>
      <c r="CM144" s="211">
        <v>185</v>
      </c>
      <c r="CN144" s="215"/>
      <c r="CO144" s="215"/>
      <c r="CP144" s="216"/>
      <c r="CQ144" s="217"/>
      <c r="CR144" s="211"/>
      <c r="CS144" s="218"/>
      <c r="CT144" s="218"/>
      <c r="CU144" s="218"/>
      <c r="CV144" s="211"/>
      <c r="CW144" s="211"/>
      <c r="CX144" s="211"/>
      <c r="CY144" s="211"/>
      <c r="CZ144" s="211"/>
      <c r="DA144" s="211"/>
      <c r="DB144" s="211"/>
      <c r="DC144" s="219"/>
      <c r="DD144" s="219"/>
      <c r="DE144" s="219"/>
      <c r="DF144" s="211"/>
      <c r="DG144" s="211"/>
      <c r="DH144" s="211"/>
      <c r="DI144" s="211"/>
      <c r="DJ144" s="211"/>
      <c r="DK144" s="220" t="s">
        <v>32</v>
      </c>
      <c r="DT144" s="222"/>
    </row>
    <row r="145" spans="1:124" s="176" customFormat="1" ht="42" x14ac:dyDescent="0.2">
      <c r="A145" s="195" t="s">
        <v>136</v>
      </c>
      <c r="B145" s="197" t="s">
        <v>483</v>
      </c>
      <c r="C145" s="198">
        <v>1</v>
      </c>
      <c r="D145" s="199">
        <v>3500000</v>
      </c>
      <c r="E145" s="198" t="s">
        <v>484</v>
      </c>
      <c r="F145" s="198" t="s">
        <v>138</v>
      </c>
      <c r="G145" s="198" t="s">
        <v>139</v>
      </c>
      <c r="H145" s="200">
        <v>1</v>
      </c>
      <c r="I145" s="199">
        <f t="shared" si="170"/>
        <v>0</v>
      </c>
      <c r="J145" s="199">
        <f t="shared" si="171"/>
        <v>3500000</v>
      </c>
      <c r="K145" s="199">
        <f t="shared" si="172"/>
        <v>3500000</v>
      </c>
      <c r="L145" s="199"/>
      <c r="M145" s="199">
        <v>3500000</v>
      </c>
      <c r="N145" s="199">
        <f t="shared" si="173"/>
        <v>3500000</v>
      </c>
      <c r="O145" s="199"/>
      <c r="P145" s="201">
        <v>0</v>
      </c>
      <c r="Q145" s="202">
        <v>12</v>
      </c>
      <c r="R145" s="203">
        <v>45566</v>
      </c>
      <c r="S145" s="204"/>
      <c r="T145" s="204">
        <v>3500000</v>
      </c>
      <c r="U145" s="204">
        <f t="shared" si="174"/>
        <v>3500000</v>
      </c>
      <c r="V145" s="205">
        <v>1450</v>
      </c>
      <c r="W145" s="200">
        <v>45693</v>
      </c>
      <c r="X145" s="201"/>
      <c r="Y145" s="201">
        <v>-9679.5</v>
      </c>
      <c r="Z145" s="201">
        <f t="shared" si="175"/>
        <v>-9679.5</v>
      </c>
      <c r="AA145" s="198"/>
      <c r="AB145" s="206"/>
      <c r="AC145" s="207"/>
      <c r="AD145" s="201"/>
      <c r="AE145" s="204">
        <f t="shared" si="176"/>
        <v>0</v>
      </c>
      <c r="AF145" s="203">
        <f t="shared" si="177"/>
        <v>45566</v>
      </c>
      <c r="AG145" s="201">
        <f t="shared" si="178"/>
        <v>0</v>
      </c>
      <c r="AH145" s="199">
        <f t="shared" si="179"/>
        <v>3490320.5</v>
      </c>
      <c r="AI145" s="199">
        <f t="shared" si="180"/>
        <v>3490320.5</v>
      </c>
      <c r="AJ145" s="201">
        <f t="shared" si="167"/>
        <v>0</v>
      </c>
      <c r="AK145" s="201">
        <f t="shared" si="167"/>
        <v>3490320.5</v>
      </c>
      <c r="AL145" s="201">
        <f t="shared" si="181"/>
        <v>3490320.5</v>
      </c>
      <c r="AM145" s="198"/>
      <c r="AN145" s="203"/>
      <c r="AO145" s="208"/>
      <c r="AP145" s="201">
        <f t="shared" si="182"/>
        <v>0</v>
      </c>
      <c r="AQ145" s="201">
        <f t="shared" si="183"/>
        <v>2763114.05</v>
      </c>
      <c r="AR145" s="201">
        <f t="shared" si="184"/>
        <v>2763114.05</v>
      </c>
      <c r="AS145" s="201">
        <f t="shared" si="185"/>
        <v>79.165052321126382</v>
      </c>
      <c r="AT145" s="201"/>
      <c r="AU145" s="209">
        <v>2763114.05</v>
      </c>
      <c r="AV145" s="201">
        <f t="shared" si="186"/>
        <v>2763114.05</v>
      </c>
      <c r="AW145" s="201">
        <f t="shared" si="195"/>
        <v>7.9648846001391567</v>
      </c>
      <c r="AX145" s="201">
        <f t="shared" si="187"/>
        <v>79.165052321126382</v>
      </c>
      <c r="AY145" s="208"/>
      <c r="AZ145" s="201">
        <f t="shared" si="188"/>
        <v>0</v>
      </c>
      <c r="BA145" s="201">
        <f t="shared" si="189"/>
        <v>304736.59999999998</v>
      </c>
      <c r="BB145" s="201">
        <f t="shared" si="190"/>
        <v>304736.59999999998</v>
      </c>
      <c r="BC145" s="201"/>
      <c r="BD145" s="223">
        <v>304736.59999999998</v>
      </c>
      <c r="BE145" s="201">
        <f t="shared" si="191"/>
        <v>304736.59999999998</v>
      </c>
      <c r="BF145" s="208"/>
      <c r="BG145" s="201">
        <f t="shared" si="168"/>
        <v>0</v>
      </c>
      <c r="BH145" s="201">
        <f t="shared" si="168"/>
        <v>3067850.65</v>
      </c>
      <c r="BI145" s="201">
        <f t="shared" si="192"/>
        <v>3067850.65</v>
      </c>
      <c r="BJ145" s="201">
        <f t="shared" si="200"/>
        <v>87.895958265150725</v>
      </c>
      <c r="BK145" s="210">
        <v>20</v>
      </c>
      <c r="BL145" s="210">
        <v>80</v>
      </c>
      <c r="BM145" s="211"/>
      <c r="BN145" s="211"/>
      <c r="BO145" s="212">
        <f t="shared" si="193"/>
        <v>0</v>
      </c>
      <c r="BP145" s="201">
        <f t="shared" si="194"/>
        <v>727206.45000000019</v>
      </c>
      <c r="BQ145" s="201">
        <f t="shared" si="196"/>
        <v>727206.45000000019</v>
      </c>
      <c r="BR145" s="201">
        <f t="shared" si="169"/>
        <v>0</v>
      </c>
      <c r="BS145" s="201">
        <f t="shared" si="169"/>
        <v>727206.45000000019</v>
      </c>
      <c r="BT145" s="201">
        <f t="shared" si="197"/>
        <v>727206.45000000019</v>
      </c>
      <c r="BU145" s="213">
        <f t="shared" si="198"/>
        <v>0</v>
      </c>
      <c r="BV145" s="201">
        <v>9679.5</v>
      </c>
      <c r="BW145" s="201"/>
      <c r="BX145" s="201">
        <f t="shared" si="199"/>
        <v>9679.5</v>
      </c>
      <c r="BY145" s="199">
        <v>800000</v>
      </c>
      <c r="BZ145" s="199">
        <v>900000</v>
      </c>
      <c r="CA145" s="199">
        <v>180000</v>
      </c>
      <c r="CB145" s="199">
        <v>283000</v>
      </c>
      <c r="CC145" s="199">
        <v>283000</v>
      </c>
      <c r="CD145" s="199">
        <v>283000</v>
      </c>
      <c r="CE145" s="199">
        <v>283000</v>
      </c>
      <c r="CF145" s="199">
        <v>278000</v>
      </c>
      <c r="CG145" s="199">
        <v>210000</v>
      </c>
      <c r="CH145" s="199"/>
      <c r="CI145" s="199"/>
      <c r="CJ145" s="199">
        <v>0</v>
      </c>
      <c r="CK145" s="214" t="s">
        <v>485</v>
      </c>
      <c r="CL145" s="214" t="s">
        <v>276</v>
      </c>
      <c r="CM145" s="211">
        <v>185</v>
      </c>
      <c r="CN145" s="215"/>
      <c r="CO145" s="215"/>
      <c r="CP145" s="216"/>
      <c r="CQ145" s="217"/>
      <c r="CR145" s="211"/>
      <c r="CS145" s="218"/>
      <c r="CT145" s="218"/>
      <c r="CU145" s="218"/>
      <c r="CV145" s="211"/>
      <c r="CW145" s="211"/>
      <c r="CX145" s="211"/>
      <c r="CY145" s="211"/>
      <c r="CZ145" s="211"/>
      <c r="DA145" s="211"/>
      <c r="DB145" s="211"/>
      <c r="DC145" s="219"/>
      <c r="DD145" s="219"/>
      <c r="DE145" s="219"/>
      <c r="DF145" s="211"/>
      <c r="DG145" s="211"/>
      <c r="DH145" s="211"/>
      <c r="DI145" s="211"/>
      <c r="DJ145" s="211"/>
      <c r="DK145" s="220" t="s">
        <v>32</v>
      </c>
      <c r="DT145" s="222"/>
    </row>
    <row r="146" spans="1:124" s="176" customFormat="1" ht="42" x14ac:dyDescent="0.2">
      <c r="A146" s="195" t="s">
        <v>136</v>
      </c>
      <c r="B146" s="197" t="s">
        <v>486</v>
      </c>
      <c r="C146" s="198">
        <v>1</v>
      </c>
      <c r="D146" s="199">
        <v>996000</v>
      </c>
      <c r="E146" s="198" t="s">
        <v>487</v>
      </c>
      <c r="F146" s="198" t="s">
        <v>195</v>
      </c>
      <c r="G146" s="198" t="s">
        <v>139</v>
      </c>
      <c r="H146" s="200">
        <v>1</v>
      </c>
      <c r="I146" s="199">
        <f t="shared" si="170"/>
        <v>0</v>
      </c>
      <c r="J146" s="199">
        <f t="shared" si="171"/>
        <v>996000</v>
      </c>
      <c r="K146" s="199">
        <f t="shared" si="172"/>
        <v>996000</v>
      </c>
      <c r="L146" s="199"/>
      <c r="M146" s="199">
        <v>996000</v>
      </c>
      <c r="N146" s="199">
        <f t="shared" si="173"/>
        <v>996000</v>
      </c>
      <c r="O146" s="199"/>
      <c r="P146" s="201">
        <v>0</v>
      </c>
      <c r="Q146" s="202">
        <v>12</v>
      </c>
      <c r="R146" s="203">
        <v>45566</v>
      </c>
      <c r="S146" s="204"/>
      <c r="T146" s="204">
        <v>996000</v>
      </c>
      <c r="U146" s="204">
        <f t="shared" si="174"/>
        <v>996000</v>
      </c>
      <c r="V146" s="205"/>
      <c r="W146" s="200"/>
      <c r="X146" s="201"/>
      <c r="Y146" s="201"/>
      <c r="Z146" s="201">
        <f t="shared" si="175"/>
        <v>0</v>
      </c>
      <c r="AA146" s="198"/>
      <c r="AB146" s="206"/>
      <c r="AC146" s="207"/>
      <c r="AD146" s="201"/>
      <c r="AE146" s="204">
        <f t="shared" si="176"/>
        <v>0</v>
      </c>
      <c r="AF146" s="203">
        <f t="shared" si="177"/>
        <v>45566</v>
      </c>
      <c r="AG146" s="201">
        <f t="shared" si="178"/>
        <v>0</v>
      </c>
      <c r="AH146" s="199">
        <f t="shared" si="179"/>
        <v>996000</v>
      </c>
      <c r="AI146" s="199">
        <f t="shared" si="180"/>
        <v>996000</v>
      </c>
      <c r="AJ146" s="201">
        <f t="shared" si="167"/>
        <v>0</v>
      </c>
      <c r="AK146" s="201">
        <f t="shared" si="167"/>
        <v>996000</v>
      </c>
      <c r="AL146" s="201">
        <f t="shared" si="181"/>
        <v>996000</v>
      </c>
      <c r="AM146" s="198"/>
      <c r="AN146" s="203"/>
      <c r="AO146" s="208"/>
      <c r="AP146" s="201">
        <f t="shared" si="182"/>
        <v>0</v>
      </c>
      <c r="AQ146" s="201">
        <f t="shared" si="183"/>
        <v>578780.69999999995</v>
      </c>
      <c r="AR146" s="201">
        <f t="shared" si="184"/>
        <v>578780.69999999995</v>
      </c>
      <c r="AS146" s="201">
        <f t="shared" si="185"/>
        <v>58.110512048192767</v>
      </c>
      <c r="AT146" s="201"/>
      <c r="AU146" s="209">
        <v>578780.69999999995</v>
      </c>
      <c r="AV146" s="201">
        <f t="shared" si="186"/>
        <v>578780.69999999995</v>
      </c>
      <c r="AW146" s="201">
        <f t="shared" si="195"/>
        <v>0</v>
      </c>
      <c r="AX146" s="201">
        <f t="shared" si="187"/>
        <v>58.110512048192767</v>
      </c>
      <c r="AY146" s="208"/>
      <c r="AZ146" s="201">
        <f t="shared" si="188"/>
        <v>0</v>
      </c>
      <c r="BA146" s="201">
        <f t="shared" si="189"/>
        <v>0</v>
      </c>
      <c r="BB146" s="201">
        <f t="shared" si="190"/>
        <v>0</v>
      </c>
      <c r="BC146" s="201"/>
      <c r="BD146" s="223">
        <v>0</v>
      </c>
      <c r="BE146" s="201">
        <f t="shared" si="191"/>
        <v>0</v>
      </c>
      <c r="BF146" s="208"/>
      <c r="BG146" s="201">
        <f t="shared" si="168"/>
        <v>0</v>
      </c>
      <c r="BH146" s="201">
        <f t="shared" si="168"/>
        <v>578780.69999999995</v>
      </c>
      <c r="BI146" s="201">
        <f t="shared" si="192"/>
        <v>578780.69999999995</v>
      </c>
      <c r="BJ146" s="201">
        <f t="shared" si="200"/>
        <v>58.110512048192767</v>
      </c>
      <c r="BK146" s="210">
        <v>20</v>
      </c>
      <c r="BL146" s="210">
        <v>79</v>
      </c>
      <c r="BM146" s="211"/>
      <c r="BN146" s="211"/>
      <c r="BO146" s="212">
        <f t="shared" si="193"/>
        <v>0</v>
      </c>
      <c r="BP146" s="201">
        <f t="shared" si="194"/>
        <v>417219.30000000005</v>
      </c>
      <c r="BQ146" s="201">
        <f t="shared" si="196"/>
        <v>417219.30000000005</v>
      </c>
      <c r="BR146" s="201">
        <f t="shared" si="169"/>
        <v>0</v>
      </c>
      <c r="BS146" s="201">
        <f t="shared" si="169"/>
        <v>417219.30000000005</v>
      </c>
      <c r="BT146" s="201">
        <f t="shared" si="197"/>
        <v>417219.30000000005</v>
      </c>
      <c r="BU146" s="213">
        <f t="shared" si="198"/>
        <v>0</v>
      </c>
      <c r="BV146" s="201"/>
      <c r="BW146" s="201"/>
      <c r="BX146" s="201">
        <f t="shared" si="199"/>
        <v>0</v>
      </c>
      <c r="BY146" s="199">
        <v>332000</v>
      </c>
      <c r="BZ146" s="199">
        <v>332000</v>
      </c>
      <c r="CA146" s="199">
        <v>332000</v>
      </c>
      <c r="CB146" s="199"/>
      <c r="CC146" s="199"/>
      <c r="CD146" s="199"/>
      <c r="CE146" s="199">
        <v>0</v>
      </c>
      <c r="CF146" s="199">
        <v>0</v>
      </c>
      <c r="CG146" s="199">
        <v>0</v>
      </c>
      <c r="CH146" s="199">
        <v>0</v>
      </c>
      <c r="CI146" s="199">
        <v>0</v>
      </c>
      <c r="CJ146" s="199">
        <v>0</v>
      </c>
      <c r="CK146" s="214" t="s">
        <v>488</v>
      </c>
      <c r="CL146" s="214" t="s">
        <v>276</v>
      </c>
      <c r="CM146" s="211">
        <v>185</v>
      </c>
      <c r="CN146" s="215"/>
      <c r="CO146" s="215"/>
      <c r="CP146" s="216"/>
      <c r="CQ146" s="217"/>
      <c r="CR146" s="211"/>
      <c r="CS146" s="218"/>
      <c r="CT146" s="218"/>
      <c r="CU146" s="218"/>
      <c r="CV146" s="211"/>
      <c r="CW146" s="211"/>
      <c r="CX146" s="211"/>
      <c r="CY146" s="211"/>
      <c r="CZ146" s="211"/>
      <c r="DA146" s="211"/>
      <c r="DB146" s="211"/>
      <c r="DC146" s="219"/>
      <c r="DD146" s="219"/>
      <c r="DE146" s="219"/>
      <c r="DF146" s="211"/>
      <c r="DG146" s="211"/>
      <c r="DH146" s="211"/>
      <c r="DI146" s="211"/>
      <c r="DJ146" s="211"/>
      <c r="DK146" s="220" t="s">
        <v>32</v>
      </c>
      <c r="DT146" s="222"/>
    </row>
    <row r="147" spans="1:124" s="176" customFormat="1" ht="42" x14ac:dyDescent="0.2">
      <c r="A147" s="195" t="s">
        <v>136</v>
      </c>
      <c r="B147" s="197" t="s">
        <v>489</v>
      </c>
      <c r="C147" s="198">
        <v>1</v>
      </c>
      <c r="D147" s="199">
        <v>720000</v>
      </c>
      <c r="E147" s="198" t="s">
        <v>484</v>
      </c>
      <c r="F147" s="198" t="s">
        <v>138</v>
      </c>
      <c r="G147" s="198" t="s">
        <v>139</v>
      </c>
      <c r="H147" s="200">
        <v>1</v>
      </c>
      <c r="I147" s="199">
        <f t="shared" si="170"/>
        <v>0</v>
      </c>
      <c r="J147" s="199">
        <f t="shared" si="171"/>
        <v>720000</v>
      </c>
      <c r="K147" s="199">
        <f t="shared" si="172"/>
        <v>720000</v>
      </c>
      <c r="L147" s="199"/>
      <c r="M147" s="199">
        <v>720000</v>
      </c>
      <c r="N147" s="199">
        <f t="shared" si="173"/>
        <v>720000</v>
      </c>
      <c r="O147" s="199"/>
      <c r="P147" s="201">
        <v>0</v>
      </c>
      <c r="Q147" s="202">
        <v>12</v>
      </c>
      <c r="R147" s="203">
        <v>45566</v>
      </c>
      <c r="S147" s="204"/>
      <c r="T147" s="204">
        <v>720000</v>
      </c>
      <c r="U147" s="204">
        <f t="shared" si="174"/>
        <v>720000</v>
      </c>
      <c r="V147" s="205">
        <v>690</v>
      </c>
      <c r="W147" s="200">
        <v>45622</v>
      </c>
      <c r="X147" s="201"/>
      <c r="Y147" s="201">
        <v>-38758.92</v>
      </c>
      <c r="Z147" s="201">
        <f t="shared" si="175"/>
        <v>-38758.92</v>
      </c>
      <c r="AA147" s="198"/>
      <c r="AB147" s="206"/>
      <c r="AC147" s="207"/>
      <c r="AD147" s="201"/>
      <c r="AE147" s="204">
        <f t="shared" si="176"/>
        <v>0</v>
      </c>
      <c r="AF147" s="203">
        <f t="shared" si="177"/>
        <v>45566</v>
      </c>
      <c r="AG147" s="201">
        <f t="shared" si="178"/>
        <v>0</v>
      </c>
      <c r="AH147" s="199">
        <f t="shared" si="179"/>
        <v>681241.08</v>
      </c>
      <c r="AI147" s="199">
        <f t="shared" si="180"/>
        <v>681241.08</v>
      </c>
      <c r="AJ147" s="201">
        <f t="shared" si="167"/>
        <v>0</v>
      </c>
      <c r="AK147" s="201">
        <f t="shared" si="167"/>
        <v>681241.08</v>
      </c>
      <c r="AL147" s="201">
        <f t="shared" si="181"/>
        <v>681241.08</v>
      </c>
      <c r="AM147" s="198"/>
      <c r="AN147" s="203"/>
      <c r="AO147" s="208"/>
      <c r="AP147" s="201">
        <f t="shared" si="182"/>
        <v>0</v>
      </c>
      <c r="AQ147" s="201">
        <f t="shared" si="183"/>
        <v>676957.15</v>
      </c>
      <c r="AR147" s="201">
        <f t="shared" si="184"/>
        <v>676957.15</v>
      </c>
      <c r="AS147" s="201">
        <f t="shared" si="185"/>
        <v>99.371158004740408</v>
      </c>
      <c r="AT147" s="201"/>
      <c r="AU147" s="209">
        <v>676957.15</v>
      </c>
      <c r="AV147" s="201">
        <f t="shared" si="186"/>
        <v>676957.15</v>
      </c>
      <c r="AW147" s="201">
        <f t="shared" si="195"/>
        <v>0</v>
      </c>
      <c r="AX147" s="201">
        <f t="shared" si="187"/>
        <v>99.371158004740408</v>
      </c>
      <c r="AY147" s="208"/>
      <c r="AZ147" s="201">
        <f t="shared" si="188"/>
        <v>0</v>
      </c>
      <c r="BA147" s="201">
        <f t="shared" si="189"/>
        <v>0</v>
      </c>
      <c r="BB147" s="201">
        <f t="shared" si="190"/>
        <v>0</v>
      </c>
      <c r="BC147" s="201"/>
      <c r="BD147" s="223">
        <v>0</v>
      </c>
      <c r="BE147" s="201">
        <f t="shared" si="191"/>
        <v>0</v>
      </c>
      <c r="BF147" s="208"/>
      <c r="BG147" s="201">
        <f t="shared" si="168"/>
        <v>0</v>
      </c>
      <c r="BH147" s="201">
        <f t="shared" si="168"/>
        <v>676957.15</v>
      </c>
      <c r="BI147" s="201">
        <f t="shared" si="192"/>
        <v>676957.15</v>
      </c>
      <c r="BJ147" s="201">
        <f t="shared" si="200"/>
        <v>99.371158004740408</v>
      </c>
      <c r="BK147" s="210">
        <v>20</v>
      </c>
      <c r="BL147" s="210">
        <v>100</v>
      </c>
      <c r="BM147" s="211"/>
      <c r="BN147" s="211"/>
      <c r="BO147" s="212">
        <f t="shared" si="193"/>
        <v>0</v>
      </c>
      <c r="BP147" s="201">
        <f t="shared" si="194"/>
        <v>4283.9299999999348</v>
      </c>
      <c r="BQ147" s="201">
        <f t="shared" si="196"/>
        <v>4283.9299999999348</v>
      </c>
      <c r="BR147" s="201">
        <f t="shared" si="169"/>
        <v>0</v>
      </c>
      <c r="BS147" s="201">
        <f t="shared" si="169"/>
        <v>4283.9299999999348</v>
      </c>
      <c r="BT147" s="201">
        <f t="shared" si="197"/>
        <v>4283.9299999999348</v>
      </c>
      <c r="BU147" s="213">
        <f t="shared" si="198"/>
        <v>0</v>
      </c>
      <c r="BV147" s="201">
        <v>38758.92</v>
      </c>
      <c r="BW147" s="201"/>
      <c r="BX147" s="201">
        <f t="shared" si="199"/>
        <v>38758.92</v>
      </c>
      <c r="BY147" s="199">
        <v>200000</v>
      </c>
      <c r="BZ147" s="199">
        <v>350000</v>
      </c>
      <c r="CA147" s="199">
        <v>170000</v>
      </c>
      <c r="CB147" s="199">
        <v>0</v>
      </c>
      <c r="CC147" s="199">
        <v>0</v>
      </c>
      <c r="CD147" s="199">
        <v>0</v>
      </c>
      <c r="CE147" s="199">
        <v>0</v>
      </c>
      <c r="CF147" s="199">
        <v>0</v>
      </c>
      <c r="CG147" s="199">
        <v>0</v>
      </c>
      <c r="CH147" s="199">
        <v>0</v>
      </c>
      <c r="CI147" s="199">
        <v>0</v>
      </c>
      <c r="CJ147" s="199">
        <v>0</v>
      </c>
      <c r="CK147" s="214" t="s">
        <v>490</v>
      </c>
      <c r="CL147" s="214" t="s">
        <v>276</v>
      </c>
      <c r="CM147" s="211">
        <v>185</v>
      </c>
      <c r="CN147" s="215"/>
      <c r="CO147" s="215"/>
      <c r="CP147" s="216"/>
      <c r="CQ147" s="217"/>
      <c r="CR147" s="211"/>
      <c r="CS147" s="218"/>
      <c r="CT147" s="218"/>
      <c r="CU147" s="218"/>
      <c r="CV147" s="211"/>
      <c r="CW147" s="211"/>
      <c r="CX147" s="211"/>
      <c r="CY147" s="211"/>
      <c r="CZ147" s="211"/>
      <c r="DA147" s="211"/>
      <c r="DB147" s="211"/>
      <c r="DC147" s="219"/>
      <c r="DD147" s="219"/>
      <c r="DE147" s="219"/>
      <c r="DF147" s="211"/>
      <c r="DG147" s="211"/>
      <c r="DH147" s="211"/>
      <c r="DI147" s="211"/>
      <c r="DJ147" s="211"/>
      <c r="DK147" s="220" t="s">
        <v>32</v>
      </c>
      <c r="DT147" s="222"/>
    </row>
    <row r="148" spans="1:124" s="176" customFormat="1" ht="42" x14ac:dyDescent="0.2">
      <c r="A148" s="195" t="s">
        <v>136</v>
      </c>
      <c r="B148" s="197" t="s">
        <v>491</v>
      </c>
      <c r="C148" s="198">
        <v>1</v>
      </c>
      <c r="D148" s="199">
        <v>930000</v>
      </c>
      <c r="E148" s="198" t="s">
        <v>492</v>
      </c>
      <c r="F148" s="198" t="s">
        <v>492</v>
      </c>
      <c r="G148" s="198" t="s">
        <v>139</v>
      </c>
      <c r="H148" s="200">
        <v>1</v>
      </c>
      <c r="I148" s="199">
        <f t="shared" si="170"/>
        <v>0</v>
      </c>
      <c r="J148" s="199">
        <f t="shared" si="171"/>
        <v>930000</v>
      </c>
      <c r="K148" s="199">
        <f t="shared" si="172"/>
        <v>930000</v>
      </c>
      <c r="L148" s="199"/>
      <c r="M148" s="199">
        <v>930000</v>
      </c>
      <c r="N148" s="199">
        <f t="shared" si="173"/>
        <v>930000</v>
      </c>
      <c r="O148" s="199"/>
      <c r="P148" s="201">
        <v>0</v>
      </c>
      <c r="Q148" s="202">
        <v>12</v>
      </c>
      <c r="R148" s="203">
        <v>45566</v>
      </c>
      <c r="S148" s="204"/>
      <c r="T148" s="204">
        <v>930000</v>
      </c>
      <c r="U148" s="204">
        <f t="shared" si="174"/>
        <v>930000</v>
      </c>
      <c r="V148" s="205"/>
      <c r="W148" s="200"/>
      <c r="X148" s="201"/>
      <c r="Y148" s="201"/>
      <c r="Z148" s="201">
        <f t="shared" si="175"/>
        <v>0</v>
      </c>
      <c r="AA148" s="198"/>
      <c r="AB148" s="206"/>
      <c r="AC148" s="207"/>
      <c r="AD148" s="201"/>
      <c r="AE148" s="204">
        <f t="shared" si="176"/>
        <v>0</v>
      </c>
      <c r="AF148" s="203">
        <f t="shared" si="177"/>
        <v>45566</v>
      </c>
      <c r="AG148" s="201">
        <f t="shared" si="178"/>
        <v>0</v>
      </c>
      <c r="AH148" s="199">
        <f t="shared" si="179"/>
        <v>930000</v>
      </c>
      <c r="AI148" s="199">
        <f t="shared" si="180"/>
        <v>930000</v>
      </c>
      <c r="AJ148" s="201">
        <f t="shared" si="167"/>
        <v>0</v>
      </c>
      <c r="AK148" s="201">
        <f t="shared" si="167"/>
        <v>930000</v>
      </c>
      <c r="AL148" s="201">
        <f t="shared" si="181"/>
        <v>930000</v>
      </c>
      <c r="AM148" s="198"/>
      <c r="AN148" s="203"/>
      <c r="AO148" s="208"/>
      <c r="AP148" s="201">
        <f t="shared" si="182"/>
        <v>0</v>
      </c>
      <c r="AQ148" s="201">
        <f t="shared" si="183"/>
        <v>898140.01</v>
      </c>
      <c r="AR148" s="201">
        <f t="shared" si="184"/>
        <v>898140.01</v>
      </c>
      <c r="AS148" s="201">
        <f t="shared" si="185"/>
        <v>96.574194623655913</v>
      </c>
      <c r="AT148" s="201"/>
      <c r="AU148" s="209">
        <v>898140.01</v>
      </c>
      <c r="AV148" s="201">
        <f t="shared" si="186"/>
        <v>898140.01</v>
      </c>
      <c r="AW148" s="201">
        <f t="shared" si="195"/>
        <v>10.75268817204301</v>
      </c>
      <c r="AX148" s="201">
        <f t="shared" si="187"/>
        <v>96.574194623655913</v>
      </c>
      <c r="AY148" s="208"/>
      <c r="AZ148" s="201">
        <f t="shared" si="188"/>
        <v>0</v>
      </c>
      <c r="BA148" s="201">
        <f t="shared" si="189"/>
        <v>0</v>
      </c>
      <c r="BB148" s="201">
        <f t="shared" si="190"/>
        <v>0</v>
      </c>
      <c r="BC148" s="201"/>
      <c r="BD148" s="223">
        <v>0</v>
      </c>
      <c r="BE148" s="201">
        <f t="shared" si="191"/>
        <v>0</v>
      </c>
      <c r="BF148" s="208"/>
      <c r="BG148" s="201">
        <f t="shared" si="168"/>
        <v>0</v>
      </c>
      <c r="BH148" s="201">
        <f t="shared" si="168"/>
        <v>898140.01</v>
      </c>
      <c r="BI148" s="201">
        <f t="shared" si="192"/>
        <v>898140.01</v>
      </c>
      <c r="BJ148" s="201">
        <f t="shared" si="200"/>
        <v>96.574194623655913</v>
      </c>
      <c r="BK148" s="210">
        <v>20</v>
      </c>
      <c r="BL148" s="210">
        <v>80</v>
      </c>
      <c r="BM148" s="211"/>
      <c r="BN148" s="211"/>
      <c r="BO148" s="212">
        <f t="shared" si="193"/>
        <v>0</v>
      </c>
      <c r="BP148" s="201">
        <f t="shared" si="194"/>
        <v>31859.989999999991</v>
      </c>
      <c r="BQ148" s="201">
        <f t="shared" si="196"/>
        <v>31859.989999999991</v>
      </c>
      <c r="BR148" s="201">
        <f t="shared" si="169"/>
        <v>0</v>
      </c>
      <c r="BS148" s="201">
        <f t="shared" si="169"/>
        <v>31859.989999999991</v>
      </c>
      <c r="BT148" s="201">
        <f t="shared" si="197"/>
        <v>31859.989999999991</v>
      </c>
      <c r="BU148" s="213">
        <f t="shared" si="198"/>
        <v>0</v>
      </c>
      <c r="BV148" s="201"/>
      <c r="BW148" s="201"/>
      <c r="BX148" s="201">
        <f t="shared" si="199"/>
        <v>0</v>
      </c>
      <c r="BY148" s="199">
        <v>0</v>
      </c>
      <c r="BZ148" s="199">
        <v>60000</v>
      </c>
      <c r="CA148" s="199">
        <v>70000</v>
      </c>
      <c r="CB148" s="199">
        <v>80000</v>
      </c>
      <c r="CC148" s="199">
        <v>80000</v>
      </c>
      <c r="CD148" s="199">
        <v>80000</v>
      </c>
      <c r="CE148" s="199">
        <v>100000</v>
      </c>
      <c r="CF148" s="199">
        <v>100000</v>
      </c>
      <c r="CG148" s="199">
        <v>100000</v>
      </c>
      <c r="CH148" s="199">
        <v>90000</v>
      </c>
      <c r="CI148" s="199">
        <v>90000</v>
      </c>
      <c r="CJ148" s="199">
        <v>80000</v>
      </c>
      <c r="CK148" s="214" t="s">
        <v>493</v>
      </c>
      <c r="CL148" s="214" t="s">
        <v>276</v>
      </c>
      <c r="CM148" s="211">
        <v>185</v>
      </c>
      <c r="CN148" s="215"/>
      <c r="CO148" s="215"/>
      <c r="CP148" s="216"/>
      <c r="CQ148" s="217"/>
      <c r="CR148" s="211"/>
      <c r="CS148" s="218"/>
      <c r="CT148" s="218"/>
      <c r="CU148" s="218"/>
      <c r="CV148" s="211"/>
      <c r="CW148" s="211"/>
      <c r="CX148" s="211"/>
      <c r="CY148" s="211"/>
      <c r="CZ148" s="211"/>
      <c r="DA148" s="211"/>
      <c r="DB148" s="211"/>
      <c r="DC148" s="219"/>
      <c r="DD148" s="219"/>
      <c r="DE148" s="219"/>
      <c r="DF148" s="211"/>
      <c r="DG148" s="211"/>
      <c r="DH148" s="211"/>
      <c r="DI148" s="211"/>
      <c r="DJ148" s="211"/>
      <c r="DK148" s="220" t="s">
        <v>32</v>
      </c>
      <c r="DT148" s="222"/>
    </row>
    <row r="149" spans="1:124" s="176" customFormat="1" ht="42" x14ac:dyDescent="0.2">
      <c r="A149" s="195" t="s">
        <v>136</v>
      </c>
      <c r="B149" s="197" t="s">
        <v>494</v>
      </c>
      <c r="C149" s="198">
        <v>1</v>
      </c>
      <c r="D149" s="199">
        <v>940000</v>
      </c>
      <c r="E149" s="198" t="s">
        <v>484</v>
      </c>
      <c r="F149" s="198" t="s">
        <v>138</v>
      </c>
      <c r="G149" s="198" t="s">
        <v>139</v>
      </c>
      <c r="H149" s="200">
        <v>1</v>
      </c>
      <c r="I149" s="199">
        <f t="shared" si="170"/>
        <v>0</v>
      </c>
      <c r="J149" s="199">
        <f t="shared" si="171"/>
        <v>940000</v>
      </c>
      <c r="K149" s="199">
        <f t="shared" si="172"/>
        <v>940000</v>
      </c>
      <c r="L149" s="199"/>
      <c r="M149" s="199">
        <v>940000</v>
      </c>
      <c r="N149" s="199">
        <f t="shared" si="173"/>
        <v>940000</v>
      </c>
      <c r="O149" s="199"/>
      <c r="P149" s="201">
        <v>0</v>
      </c>
      <c r="Q149" s="202">
        <v>12</v>
      </c>
      <c r="R149" s="203">
        <v>45566</v>
      </c>
      <c r="S149" s="204"/>
      <c r="T149" s="204">
        <v>940000</v>
      </c>
      <c r="U149" s="204">
        <f t="shared" si="174"/>
        <v>940000</v>
      </c>
      <c r="V149" s="205">
        <v>1450</v>
      </c>
      <c r="W149" s="200">
        <v>45693</v>
      </c>
      <c r="X149" s="201"/>
      <c r="Y149" s="201">
        <v>-2598.2199999999998</v>
      </c>
      <c r="Z149" s="201">
        <f t="shared" si="175"/>
        <v>-2598.2199999999998</v>
      </c>
      <c r="AA149" s="198"/>
      <c r="AB149" s="206"/>
      <c r="AC149" s="207"/>
      <c r="AD149" s="201"/>
      <c r="AE149" s="204">
        <f t="shared" si="176"/>
        <v>0</v>
      </c>
      <c r="AF149" s="203">
        <f t="shared" si="177"/>
        <v>45566</v>
      </c>
      <c r="AG149" s="201">
        <f t="shared" si="178"/>
        <v>0</v>
      </c>
      <c r="AH149" s="199">
        <f t="shared" si="179"/>
        <v>937401.78</v>
      </c>
      <c r="AI149" s="199">
        <f t="shared" si="180"/>
        <v>937401.78</v>
      </c>
      <c r="AJ149" s="201">
        <f t="shared" si="167"/>
        <v>0</v>
      </c>
      <c r="AK149" s="201">
        <f t="shared" si="167"/>
        <v>937401.78</v>
      </c>
      <c r="AL149" s="201">
        <f t="shared" si="181"/>
        <v>937401.78</v>
      </c>
      <c r="AM149" s="198"/>
      <c r="AN149" s="203"/>
      <c r="AO149" s="208"/>
      <c r="AP149" s="201">
        <f t="shared" si="182"/>
        <v>0</v>
      </c>
      <c r="AQ149" s="201">
        <f t="shared" si="183"/>
        <v>887087.35</v>
      </c>
      <c r="AR149" s="201">
        <f t="shared" si="184"/>
        <v>887087.35</v>
      </c>
      <c r="AS149" s="201">
        <f t="shared" si="185"/>
        <v>94.632565131250331</v>
      </c>
      <c r="AT149" s="201"/>
      <c r="AU149" s="209">
        <v>887087.35</v>
      </c>
      <c r="AV149" s="201">
        <f t="shared" si="186"/>
        <v>887087.35</v>
      </c>
      <c r="AW149" s="201">
        <f t="shared" si="195"/>
        <v>0</v>
      </c>
      <c r="AX149" s="201">
        <f t="shared" si="187"/>
        <v>94.632565131250331</v>
      </c>
      <c r="AY149" s="208"/>
      <c r="AZ149" s="201">
        <f t="shared" si="188"/>
        <v>0</v>
      </c>
      <c r="BA149" s="201">
        <f t="shared" si="189"/>
        <v>49825.4</v>
      </c>
      <c r="BB149" s="201">
        <f t="shared" si="190"/>
        <v>49825.4</v>
      </c>
      <c r="BC149" s="201"/>
      <c r="BD149" s="223">
        <v>49825.4</v>
      </c>
      <c r="BE149" s="201">
        <f t="shared" si="191"/>
        <v>49825.4</v>
      </c>
      <c r="BF149" s="208"/>
      <c r="BG149" s="201">
        <f t="shared" si="168"/>
        <v>0</v>
      </c>
      <c r="BH149" s="201">
        <f t="shared" si="168"/>
        <v>936912.75</v>
      </c>
      <c r="BI149" s="201">
        <f t="shared" si="192"/>
        <v>936912.75</v>
      </c>
      <c r="BJ149" s="201">
        <f t="shared" si="200"/>
        <v>99.947831334393243</v>
      </c>
      <c r="BK149" s="210">
        <v>20</v>
      </c>
      <c r="BL149" s="210">
        <v>90</v>
      </c>
      <c r="BM149" s="211"/>
      <c r="BN149" s="211"/>
      <c r="BO149" s="212">
        <f t="shared" si="193"/>
        <v>0</v>
      </c>
      <c r="BP149" s="201">
        <f t="shared" si="194"/>
        <v>50314.430000000051</v>
      </c>
      <c r="BQ149" s="201">
        <f t="shared" si="196"/>
        <v>50314.430000000051</v>
      </c>
      <c r="BR149" s="201">
        <f t="shared" si="169"/>
        <v>0</v>
      </c>
      <c r="BS149" s="201">
        <f t="shared" si="169"/>
        <v>50314.430000000051</v>
      </c>
      <c r="BT149" s="201">
        <f t="shared" si="197"/>
        <v>50314.430000000051</v>
      </c>
      <c r="BU149" s="213">
        <f t="shared" si="198"/>
        <v>0</v>
      </c>
      <c r="BV149" s="201">
        <v>2598.2199999999998</v>
      </c>
      <c r="BW149" s="201"/>
      <c r="BX149" s="201">
        <f t="shared" si="199"/>
        <v>2598.2199999999998</v>
      </c>
      <c r="BY149" s="199">
        <v>100000</v>
      </c>
      <c r="BZ149" s="199">
        <v>320000</v>
      </c>
      <c r="CA149" s="199">
        <v>205000</v>
      </c>
      <c r="CB149" s="199">
        <v>105000</v>
      </c>
      <c r="CC149" s="199">
        <v>105000</v>
      </c>
      <c r="CD149" s="199">
        <v>105000</v>
      </c>
      <c r="CE149" s="199">
        <v>0</v>
      </c>
      <c r="CF149" s="199">
        <v>0</v>
      </c>
      <c r="CG149" s="199">
        <v>0</v>
      </c>
      <c r="CH149" s="199">
        <v>0</v>
      </c>
      <c r="CI149" s="199">
        <v>0</v>
      </c>
      <c r="CJ149" s="199">
        <v>0</v>
      </c>
      <c r="CK149" s="214" t="s">
        <v>495</v>
      </c>
      <c r="CL149" s="214" t="s">
        <v>276</v>
      </c>
      <c r="CM149" s="211">
        <v>185</v>
      </c>
      <c r="CN149" s="215"/>
      <c r="CO149" s="215"/>
      <c r="CP149" s="216"/>
      <c r="CQ149" s="217"/>
      <c r="CR149" s="211"/>
      <c r="CS149" s="218"/>
      <c r="CT149" s="218"/>
      <c r="CU149" s="218"/>
      <c r="CV149" s="211"/>
      <c r="CW149" s="211"/>
      <c r="CX149" s="211"/>
      <c r="CY149" s="211"/>
      <c r="CZ149" s="211"/>
      <c r="DA149" s="211"/>
      <c r="DB149" s="211"/>
      <c r="DC149" s="219"/>
      <c r="DD149" s="219"/>
      <c r="DE149" s="219"/>
      <c r="DF149" s="211"/>
      <c r="DG149" s="211"/>
      <c r="DH149" s="211"/>
      <c r="DI149" s="211"/>
      <c r="DJ149" s="211"/>
      <c r="DK149" s="220" t="s">
        <v>32</v>
      </c>
      <c r="DT149" s="222"/>
    </row>
    <row r="150" spans="1:124" s="176" customFormat="1" ht="42" x14ac:dyDescent="0.2">
      <c r="A150" s="195" t="s">
        <v>136</v>
      </c>
      <c r="B150" s="197" t="s">
        <v>496</v>
      </c>
      <c r="C150" s="198">
        <v>1</v>
      </c>
      <c r="D150" s="199">
        <v>995000</v>
      </c>
      <c r="E150" s="198" t="s">
        <v>497</v>
      </c>
      <c r="F150" s="198" t="s">
        <v>143</v>
      </c>
      <c r="G150" s="198" t="s">
        <v>139</v>
      </c>
      <c r="H150" s="200">
        <v>1</v>
      </c>
      <c r="I150" s="199">
        <f t="shared" si="170"/>
        <v>0</v>
      </c>
      <c r="J150" s="199">
        <f t="shared" si="171"/>
        <v>995000</v>
      </c>
      <c r="K150" s="199">
        <f t="shared" si="172"/>
        <v>995000</v>
      </c>
      <c r="L150" s="199"/>
      <c r="M150" s="199">
        <v>995000</v>
      </c>
      <c r="N150" s="199">
        <f t="shared" si="173"/>
        <v>995000</v>
      </c>
      <c r="O150" s="199"/>
      <c r="P150" s="201">
        <v>0</v>
      </c>
      <c r="Q150" s="202">
        <v>12</v>
      </c>
      <c r="R150" s="203">
        <v>45566</v>
      </c>
      <c r="S150" s="204"/>
      <c r="T150" s="204">
        <v>995000</v>
      </c>
      <c r="U150" s="204">
        <f t="shared" si="174"/>
        <v>995000</v>
      </c>
      <c r="V150" s="205">
        <v>1450</v>
      </c>
      <c r="W150" s="200">
        <v>45693</v>
      </c>
      <c r="X150" s="201"/>
      <c r="Y150" s="201">
        <v>-5736.95</v>
      </c>
      <c r="Z150" s="201">
        <f t="shared" si="175"/>
        <v>-5736.95</v>
      </c>
      <c r="AA150" s="198"/>
      <c r="AB150" s="206"/>
      <c r="AC150" s="207"/>
      <c r="AD150" s="201"/>
      <c r="AE150" s="204">
        <f t="shared" si="176"/>
        <v>0</v>
      </c>
      <c r="AF150" s="203">
        <f t="shared" si="177"/>
        <v>45566</v>
      </c>
      <c r="AG150" s="201">
        <f t="shared" si="178"/>
        <v>0</v>
      </c>
      <c r="AH150" s="199">
        <f t="shared" si="179"/>
        <v>989263.05</v>
      </c>
      <c r="AI150" s="199">
        <f t="shared" si="180"/>
        <v>989263.05</v>
      </c>
      <c r="AJ150" s="201">
        <f t="shared" si="167"/>
        <v>0</v>
      </c>
      <c r="AK150" s="201">
        <f t="shared" si="167"/>
        <v>989263.05</v>
      </c>
      <c r="AL150" s="201">
        <f t="shared" si="181"/>
        <v>989263.05</v>
      </c>
      <c r="AM150" s="198"/>
      <c r="AN150" s="203"/>
      <c r="AO150" s="208"/>
      <c r="AP150" s="201">
        <f t="shared" si="182"/>
        <v>0</v>
      </c>
      <c r="AQ150" s="201">
        <f t="shared" si="183"/>
        <v>733476.9</v>
      </c>
      <c r="AR150" s="201">
        <f t="shared" si="184"/>
        <v>733476.9</v>
      </c>
      <c r="AS150" s="201">
        <f t="shared" si="185"/>
        <v>74.143767929065987</v>
      </c>
      <c r="AT150" s="201"/>
      <c r="AU150" s="209">
        <v>733476.9</v>
      </c>
      <c r="AV150" s="201">
        <f t="shared" si="186"/>
        <v>733476.9</v>
      </c>
      <c r="AW150" s="201">
        <f t="shared" si="195"/>
        <v>0</v>
      </c>
      <c r="AX150" s="201">
        <f t="shared" si="187"/>
        <v>74.143767929065987</v>
      </c>
      <c r="AY150" s="208"/>
      <c r="AZ150" s="201">
        <f t="shared" si="188"/>
        <v>0</v>
      </c>
      <c r="BA150" s="201">
        <f t="shared" si="189"/>
        <v>0</v>
      </c>
      <c r="BB150" s="201">
        <f t="shared" si="190"/>
        <v>0</v>
      </c>
      <c r="BC150" s="201"/>
      <c r="BD150" s="223">
        <v>0</v>
      </c>
      <c r="BE150" s="201">
        <f t="shared" si="191"/>
        <v>0</v>
      </c>
      <c r="BF150" s="208"/>
      <c r="BG150" s="201">
        <f t="shared" si="168"/>
        <v>0</v>
      </c>
      <c r="BH150" s="201">
        <f t="shared" si="168"/>
        <v>733476.9</v>
      </c>
      <c r="BI150" s="201">
        <f t="shared" si="192"/>
        <v>733476.9</v>
      </c>
      <c r="BJ150" s="201">
        <f t="shared" si="200"/>
        <v>74.143767929065987</v>
      </c>
      <c r="BK150" s="210">
        <v>20</v>
      </c>
      <c r="BL150" s="210">
        <v>75</v>
      </c>
      <c r="BM150" s="211"/>
      <c r="BN150" s="211"/>
      <c r="BO150" s="212">
        <f t="shared" si="193"/>
        <v>0</v>
      </c>
      <c r="BP150" s="201">
        <f t="shared" si="194"/>
        <v>255786.15000000002</v>
      </c>
      <c r="BQ150" s="201">
        <f t="shared" si="196"/>
        <v>255786.15000000002</v>
      </c>
      <c r="BR150" s="201">
        <f t="shared" si="169"/>
        <v>0</v>
      </c>
      <c r="BS150" s="201">
        <f t="shared" si="169"/>
        <v>255786.15000000002</v>
      </c>
      <c r="BT150" s="201">
        <f t="shared" si="197"/>
        <v>255786.15000000002</v>
      </c>
      <c r="BU150" s="213">
        <f t="shared" si="198"/>
        <v>0</v>
      </c>
      <c r="BV150" s="201">
        <v>5736.95</v>
      </c>
      <c r="BW150" s="201"/>
      <c r="BX150" s="201">
        <f t="shared" si="199"/>
        <v>5736.95</v>
      </c>
      <c r="BY150" s="199">
        <v>331666</v>
      </c>
      <c r="BZ150" s="199">
        <v>331668</v>
      </c>
      <c r="CA150" s="199">
        <v>331666</v>
      </c>
      <c r="CB150" s="199"/>
      <c r="CC150" s="199"/>
      <c r="CD150" s="199"/>
      <c r="CE150" s="199">
        <v>0</v>
      </c>
      <c r="CF150" s="199">
        <v>0</v>
      </c>
      <c r="CG150" s="199">
        <v>0</v>
      </c>
      <c r="CH150" s="199">
        <v>0</v>
      </c>
      <c r="CI150" s="199">
        <v>0</v>
      </c>
      <c r="CJ150" s="199">
        <v>0</v>
      </c>
      <c r="CK150" s="214" t="s">
        <v>498</v>
      </c>
      <c r="CL150" s="214" t="s">
        <v>276</v>
      </c>
      <c r="CM150" s="211">
        <v>185</v>
      </c>
      <c r="CN150" s="215"/>
      <c r="CO150" s="215"/>
      <c r="CP150" s="216"/>
      <c r="CQ150" s="217"/>
      <c r="CR150" s="211"/>
      <c r="CS150" s="218"/>
      <c r="CT150" s="218"/>
      <c r="CU150" s="218"/>
      <c r="CV150" s="211"/>
      <c r="CW150" s="211"/>
      <c r="CX150" s="211"/>
      <c r="CY150" s="211"/>
      <c r="CZ150" s="211"/>
      <c r="DA150" s="211"/>
      <c r="DB150" s="211"/>
      <c r="DC150" s="219"/>
      <c r="DD150" s="219"/>
      <c r="DE150" s="219"/>
      <c r="DF150" s="211"/>
      <c r="DG150" s="211"/>
      <c r="DH150" s="211"/>
      <c r="DI150" s="211"/>
      <c r="DJ150" s="211"/>
      <c r="DK150" s="220" t="s">
        <v>32</v>
      </c>
      <c r="DT150" s="222"/>
    </row>
    <row r="151" spans="1:124" s="176" customFormat="1" ht="42" x14ac:dyDescent="0.2">
      <c r="A151" s="195" t="s">
        <v>136</v>
      </c>
      <c r="B151" s="197" t="s">
        <v>499</v>
      </c>
      <c r="C151" s="198">
        <v>1</v>
      </c>
      <c r="D151" s="199">
        <v>920000</v>
      </c>
      <c r="E151" s="198" t="s">
        <v>467</v>
      </c>
      <c r="F151" s="198" t="s">
        <v>143</v>
      </c>
      <c r="G151" s="198" t="s">
        <v>139</v>
      </c>
      <c r="H151" s="200">
        <v>1</v>
      </c>
      <c r="I151" s="199">
        <f t="shared" si="170"/>
        <v>0</v>
      </c>
      <c r="J151" s="199">
        <f t="shared" si="171"/>
        <v>920000</v>
      </c>
      <c r="K151" s="199">
        <f t="shared" si="172"/>
        <v>920000</v>
      </c>
      <c r="L151" s="199"/>
      <c r="M151" s="199">
        <v>920000</v>
      </c>
      <c r="N151" s="199">
        <f t="shared" si="173"/>
        <v>920000</v>
      </c>
      <c r="O151" s="199"/>
      <c r="P151" s="201">
        <v>0</v>
      </c>
      <c r="Q151" s="202">
        <v>12</v>
      </c>
      <c r="R151" s="203">
        <v>45566</v>
      </c>
      <c r="S151" s="204"/>
      <c r="T151" s="204">
        <v>920000</v>
      </c>
      <c r="U151" s="204">
        <f t="shared" si="174"/>
        <v>920000</v>
      </c>
      <c r="V151" s="205">
        <v>1450</v>
      </c>
      <c r="W151" s="200">
        <v>45693</v>
      </c>
      <c r="X151" s="201"/>
      <c r="Y151" s="201">
        <v>-3312.14</v>
      </c>
      <c r="Z151" s="201">
        <f t="shared" si="175"/>
        <v>-3312.14</v>
      </c>
      <c r="AA151" s="198"/>
      <c r="AB151" s="206"/>
      <c r="AC151" s="207"/>
      <c r="AD151" s="201"/>
      <c r="AE151" s="204">
        <f t="shared" si="176"/>
        <v>0</v>
      </c>
      <c r="AF151" s="203">
        <f t="shared" si="177"/>
        <v>45566</v>
      </c>
      <c r="AG151" s="201">
        <f t="shared" si="178"/>
        <v>0</v>
      </c>
      <c r="AH151" s="199">
        <f t="shared" si="179"/>
        <v>916687.86</v>
      </c>
      <c r="AI151" s="199">
        <f t="shared" si="180"/>
        <v>916687.86</v>
      </c>
      <c r="AJ151" s="201">
        <f t="shared" si="167"/>
        <v>0</v>
      </c>
      <c r="AK151" s="201">
        <f t="shared" si="167"/>
        <v>916687.86</v>
      </c>
      <c r="AL151" s="201">
        <f t="shared" si="181"/>
        <v>916687.86</v>
      </c>
      <c r="AM151" s="198"/>
      <c r="AN151" s="203"/>
      <c r="AO151" s="208"/>
      <c r="AP151" s="201">
        <f t="shared" si="182"/>
        <v>0</v>
      </c>
      <c r="AQ151" s="201">
        <f t="shared" si="183"/>
        <v>916381.8</v>
      </c>
      <c r="AR151" s="201">
        <f t="shared" si="184"/>
        <v>916381.8</v>
      </c>
      <c r="AS151" s="201">
        <f t="shared" si="185"/>
        <v>99.96661240828476</v>
      </c>
      <c r="AT151" s="201"/>
      <c r="AU151" s="209">
        <v>916381.8</v>
      </c>
      <c r="AV151" s="201">
        <f t="shared" si="186"/>
        <v>916381.8</v>
      </c>
      <c r="AW151" s="201">
        <f t="shared" si="195"/>
        <v>0</v>
      </c>
      <c r="AX151" s="201">
        <f t="shared" si="187"/>
        <v>99.96661240828476</v>
      </c>
      <c r="AY151" s="208"/>
      <c r="AZ151" s="201">
        <f t="shared" si="188"/>
        <v>0</v>
      </c>
      <c r="BA151" s="201">
        <f t="shared" si="189"/>
        <v>0</v>
      </c>
      <c r="BB151" s="201">
        <f t="shared" si="190"/>
        <v>0</v>
      </c>
      <c r="BC151" s="201"/>
      <c r="BD151" s="223">
        <v>0</v>
      </c>
      <c r="BE151" s="201">
        <f t="shared" si="191"/>
        <v>0</v>
      </c>
      <c r="BF151" s="208"/>
      <c r="BG151" s="201">
        <f t="shared" si="168"/>
        <v>0</v>
      </c>
      <c r="BH151" s="201">
        <f t="shared" si="168"/>
        <v>916381.8</v>
      </c>
      <c r="BI151" s="201">
        <f t="shared" si="192"/>
        <v>916381.8</v>
      </c>
      <c r="BJ151" s="201">
        <f t="shared" si="200"/>
        <v>99.96661240828476</v>
      </c>
      <c r="BK151" s="210">
        <v>20</v>
      </c>
      <c r="BL151" s="210">
        <v>90</v>
      </c>
      <c r="BM151" s="211"/>
      <c r="BN151" s="211"/>
      <c r="BO151" s="212">
        <f t="shared" si="193"/>
        <v>0</v>
      </c>
      <c r="BP151" s="201">
        <f t="shared" si="194"/>
        <v>306.05999999993946</v>
      </c>
      <c r="BQ151" s="201">
        <f t="shared" si="196"/>
        <v>306.05999999993946</v>
      </c>
      <c r="BR151" s="201">
        <f t="shared" si="169"/>
        <v>0</v>
      </c>
      <c r="BS151" s="201">
        <f t="shared" si="169"/>
        <v>306.05999999993946</v>
      </c>
      <c r="BT151" s="201">
        <f t="shared" si="197"/>
        <v>306.05999999993946</v>
      </c>
      <c r="BU151" s="213">
        <f t="shared" si="198"/>
        <v>0</v>
      </c>
      <c r="BV151" s="201">
        <v>3312.14</v>
      </c>
      <c r="BW151" s="201"/>
      <c r="BX151" s="201">
        <f t="shared" si="199"/>
        <v>3312.14</v>
      </c>
      <c r="BY151" s="199">
        <v>100000</v>
      </c>
      <c r="BZ151" s="199">
        <v>300000</v>
      </c>
      <c r="CA151" s="199">
        <v>205000</v>
      </c>
      <c r="CB151" s="199">
        <v>105000</v>
      </c>
      <c r="CC151" s="199">
        <v>105000</v>
      </c>
      <c r="CD151" s="199">
        <v>105000</v>
      </c>
      <c r="CE151" s="199">
        <v>0</v>
      </c>
      <c r="CF151" s="199">
        <v>0</v>
      </c>
      <c r="CG151" s="199">
        <v>0</v>
      </c>
      <c r="CH151" s="199">
        <v>0</v>
      </c>
      <c r="CI151" s="199">
        <v>0</v>
      </c>
      <c r="CJ151" s="199">
        <v>0</v>
      </c>
      <c r="CK151" s="214" t="s">
        <v>500</v>
      </c>
      <c r="CL151" s="214" t="s">
        <v>276</v>
      </c>
      <c r="CM151" s="211">
        <v>185</v>
      </c>
      <c r="CN151" s="215"/>
      <c r="CO151" s="215"/>
      <c r="CP151" s="216"/>
      <c r="CQ151" s="217"/>
      <c r="CR151" s="211"/>
      <c r="CS151" s="218"/>
      <c r="CT151" s="218"/>
      <c r="CU151" s="218"/>
      <c r="CV151" s="211"/>
      <c r="CW151" s="211"/>
      <c r="CX151" s="211"/>
      <c r="CY151" s="211"/>
      <c r="CZ151" s="211"/>
      <c r="DA151" s="211"/>
      <c r="DB151" s="211"/>
      <c r="DC151" s="219"/>
      <c r="DD151" s="219"/>
      <c r="DE151" s="219"/>
      <c r="DF151" s="211"/>
      <c r="DG151" s="211"/>
      <c r="DH151" s="211"/>
      <c r="DI151" s="211"/>
      <c r="DJ151" s="211"/>
      <c r="DK151" s="220" t="s">
        <v>32</v>
      </c>
      <c r="DT151" s="222"/>
    </row>
    <row r="152" spans="1:124" s="176" customFormat="1" ht="42" x14ac:dyDescent="0.2">
      <c r="A152" s="195" t="s">
        <v>136</v>
      </c>
      <c r="B152" s="197" t="s">
        <v>501</v>
      </c>
      <c r="C152" s="198">
        <v>1</v>
      </c>
      <c r="D152" s="199">
        <v>950000</v>
      </c>
      <c r="E152" s="198" t="s">
        <v>462</v>
      </c>
      <c r="F152" s="198" t="s">
        <v>462</v>
      </c>
      <c r="G152" s="198" t="s">
        <v>139</v>
      </c>
      <c r="H152" s="200">
        <v>1</v>
      </c>
      <c r="I152" s="199">
        <f t="shared" si="170"/>
        <v>0</v>
      </c>
      <c r="J152" s="199">
        <f t="shared" si="171"/>
        <v>950000</v>
      </c>
      <c r="K152" s="199">
        <f t="shared" si="172"/>
        <v>950000</v>
      </c>
      <c r="L152" s="199"/>
      <c r="M152" s="199">
        <v>950000</v>
      </c>
      <c r="N152" s="199">
        <f t="shared" si="173"/>
        <v>950000</v>
      </c>
      <c r="O152" s="199"/>
      <c r="P152" s="201">
        <v>0</v>
      </c>
      <c r="Q152" s="202">
        <v>12</v>
      </c>
      <c r="R152" s="203">
        <v>45566</v>
      </c>
      <c r="S152" s="204"/>
      <c r="T152" s="204">
        <v>950000</v>
      </c>
      <c r="U152" s="204">
        <f t="shared" si="174"/>
        <v>950000</v>
      </c>
      <c r="V152" s="205"/>
      <c r="W152" s="200"/>
      <c r="X152" s="201"/>
      <c r="Y152" s="201"/>
      <c r="Z152" s="201">
        <f t="shared" si="175"/>
        <v>0</v>
      </c>
      <c r="AA152" s="198"/>
      <c r="AB152" s="206"/>
      <c r="AC152" s="207"/>
      <c r="AD152" s="201"/>
      <c r="AE152" s="204">
        <f t="shared" si="176"/>
        <v>0</v>
      </c>
      <c r="AF152" s="203">
        <f t="shared" si="177"/>
        <v>45566</v>
      </c>
      <c r="AG152" s="201">
        <f t="shared" si="178"/>
        <v>0</v>
      </c>
      <c r="AH152" s="199">
        <f t="shared" si="179"/>
        <v>950000</v>
      </c>
      <c r="AI152" s="199">
        <f t="shared" si="180"/>
        <v>950000</v>
      </c>
      <c r="AJ152" s="201">
        <f t="shared" si="167"/>
        <v>0</v>
      </c>
      <c r="AK152" s="201">
        <f t="shared" si="167"/>
        <v>950000</v>
      </c>
      <c r="AL152" s="201">
        <f t="shared" si="181"/>
        <v>950000</v>
      </c>
      <c r="AM152" s="198"/>
      <c r="AN152" s="203"/>
      <c r="AO152" s="208"/>
      <c r="AP152" s="201">
        <f t="shared" si="182"/>
        <v>0</v>
      </c>
      <c r="AQ152" s="201">
        <f t="shared" si="183"/>
        <v>903409.96</v>
      </c>
      <c r="AR152" s="201">
        <f t="shared" si="184"/>
        <v>903409.96</v>
      </c>
      <c r="AS152" s="201">
        <f t="shared" si="185"/>
        <v>95.095785263157893</v>
      </c>
      <c r="AT152" s="201"/>
      <c r="AU152" s="209">
        <v>903409.96</v>
      </c>
      <c r="AV152" s="201">
        <f t="shared" si="186"/>
        <v>903409.96</v>
      </c>
      <c r="AW152" s="201">
        <f t="shared" si="195"/>
        <v>10.526315789473685</v>
      </c>
      <c r="AX152" s="201">
        <f t="shared" si="187"/>
        <v>95.095785263157893</v>
      </c>
      <c r="AY152" s="208"/>
      <c r="AZ152" s="201">
        <f t="shared" si="188"/>
        <v>0</v>
      </c>
      <c r="BA152" s="201">
        <f t="shared" si="189"/>
        <v>0</v>
      </c>
      <c r="BB152" s="201">
        <f t="shared" si="190"/>
        <v>0</v>
      </c>
      <c r="BC152" s="201"/>
      <c r="BD152" s="223">
        <v>0</v>
      </c>
      <c r="BE152" s="201">
        <f t="shared" si="191"/>
        <v>0</v>
      </c>
      <c r="BF152" s="208"/>
      <c r="BG152" s="201">
        <f t="shared" si="168"/>
        <v>0</v>
      </c>
      <c r="BH152" s="201">
        <f t="shared" si="168"/>
        <v>903409.96</v>
      </c>
      <c r="BI152" s="201">
        <f t="shared" si="192"/>
        <v>903409.96</v>
      </c>
      <c r="BJ152" s="201">
        <f t="shared" si="200"/>
        <v>95.095785263157893</v>
      </c>
      <c r="BK152" s="210">
        <v>20</v>
      </c>
      <c r="BL152" s="210">
        <v>75</v>
      </c>
      <c r="BM152" s="211"/>
      <c r="BN152" s="211"/>
      <c r="BO152" s="212">
        <f t="shared" si="193"/>
        <v>0</v>
      </c>
      <c r="BP152" s="201">
        <f t="shared" si="194"/>
        <v>46590.040000000037</v>
      </c>
      <c r="BQ152" s="201">
        <f t="shared" si="196"/>
        <v>46590.040000000037</v>
      </c>
      <c r="BR152" s="201">
        <f t="shared" si="169"/>
        <v>0</v>
      </c>
      <c r="BS152" s="201">
        <f t="shared" si="169"/>
        <v>46590.040000000037</v>
      </c>
      <c r="BT152" s="201">
        <f t="shared" si="197"/>
        <v>46590.040000000037</v>
      </c>
      <c r="BU152" s="213">
        <f t="shared" si="198"/>
        <v>0</v>
      </c>
      <c r="BV152" s="201"/>
      <c r="BW152" s="201"/>
      <c r="BX152" s="201">
        <f t="shared" si="199"/>
        <v>0</v>
      </c>
      <c r="BY152" s="199">
        <v>0</v>
      </c>
      <c r="BZ152" s="199">
        <v>50000</v>
      </c>
      <c r="CA152" s="199">
        <v>60000</v>
      </c>
      <c r="CB152" s="199">
        <v>70000</v>
      </c>
      <c r="CC152" s="199">
        <v>80000</v>
      </c>
      <c r="CD152" s="199">
        <v>100000</v>
      </c>
      <c r="CE152" s="199">
        <v>100000</v>
      </c>
      <c r="CF152" s="199">
        <v>100000</v>
      </c>
      <c r="CG152" s="199">
        <v>100000</v>
      </c>
      <c r="CH152" s="199">
        <v>100000</v>
      </c>
      <c r="CI152" s="199">
        <v>100000</v>
      </c>
      <c r="CJ152" s="199">
        <v>90000</v>
      </c>
      <c r="CK152" s="214" t="s">
        <v>502</v>
      </c>
      <c r="CL152" s="214" t="s">
        <v>276</v>
      </c>
      <c r="CM152" s="211">
        <v>185</v>
      </c>
      <c r="CN152" s="215"/>
      <c r="CO152" s="215"/>
      <c r="CP152" s="216"/>
      <c r="CQ152" s="217"/>
      <c r="CR152" s="211"/>
      <c r="CS152" s="218"/>
      <c r="CT152" s="218"/>
      <c r="CU152" s="218"/>
      <c r="CV152" s="211"/>
      <c r="CW152" s="211"/>
      <c r="CX152" s="211"/>
      <c r="CY152" s="211"/>
      <c r="CZ152" s="211"/>
      <c r="DA152" s="211"/>
      <c r="DB152" s="211"/>
      <c r="DC152" s="219"/>
      <c r="DD152" s="219"/>
      <c r="DE152" s="219"/>
      <c r="DF152" s="211"/>
      <c r="DG152" s="211"/>
      <c r="DH152" s="211"/>
      <c r="DI152" s="211"/>
      <c r="DJ152" s="211"/>
      <c r="DK152" s="220" t="s">
        <v>32</v>
      </c>
      <c r="DT152" s="222"/>
    </row>
    <row r="153" spans="1:124" s="176" customFormat="1" ht="42" x14ac:dyDescent="0.2">
      <c r="A153" s="195" t="s">
        <v>136</v>
      </c>
      <c r="B153" s="197" t="s">
        <v>503</v>
      </c>
      <c r="C153" s="198">
        <v>1</v>
      </c>
      <c r="D153" s="199">
        <v>998000</v>
      </c>
      <c r="E153" s="198" t="s">
        <v>111</v>
      </c>
      <c r="F153" s="198" t="s">
        <v>473</v>
      </c>
      <c r="G153" s="198" t="s">
        <v>139</v>
      </c>
      <c r="H153" s="200">
        <v>1</v>
      </c>
      <c r="I153" s="199">
        <f t="shared" si="170"/>
        <v>0</v>
      </c>
      <c r="J153" s="199">
        <f t="shared" si="171"/>
        <v>998000</v>
      </c>
      <c r="K153" s="199">
        <f t="shared" si="172"/>
        <v>998000</v>
      </c>
      <c r="L153" s="199"/>
      <c r="M153" s="199">
        <v>998000</v>
      </c>
      <c r="N153" s="199">
        <f t="shared" si="173"/>
        <v>998000</v>
      </c>
      <c r="O153" s="199"/>
      <c r="P153" s="201">
        <v>0</v>
      </c>
      <c r="Q153" s="202">
        <v>12</v>
      </c>
      <c r="R153" s="203">
        <v>45566</v>
      </c>
      <c r="S153" s="204"/>
      <c r="T153" s="204">
        <v>998000</v>
      </c>
      <c r="U153" s="204">
        <f t="shared" si="174"/>
        <v>998000</v>
      </c>
      <c r="V153" s="205"/>
      <c r="W153" s="200"/>
      <c r="X153" s="201"/>
      <c r="Y153" s="201"/>
      <c r="Z153" s="201">
        <f t="shared" si="175"/>
        <v>0</v>
      </c>
      <c r="AA153" s="198"/>
      <c r="AB153" s="206"/>
      <c r="AC153" s="207"/>
      <c r="AD153" s="201"/>
      <c r="AE153" s="204">
        <f t="shared" si="176"/>
        <v>0</v>
      </c>
      <c r="AF153" s="203">
        <f t="shared" si="177"/>
        <v>45566</v>
      </c>
      <c r="AG153" s="201">
        <f t="shared" si="178"/>
        <v>0</v>
      </c>
      <c r="AH153" s="199">
        <f t="shared" si="179"/>
        <v>998000</v>
      </c>
      <c r="AI153" s="199">
        <f t="shared" si="180"/>
        <v>998000</v>
      </c>
      <c r="AJ153" s="201">
        <f t="shared" si="167"/>
        <v>0</v>
      </c>
      <c r="AK153" s="201">
        <f t="shared" si="167"/>
        <v>998000</v>
      </c>
      <c r="AL153" s="201">
        <f t="shared" si="181"/>
        <v>998000</v>
      </c>
      <c r="AM153" s="198"/>
      <c r="AN153" s="203"/>
      <c r="AO153" s="208"/>
      <c r="AP153" s="201">
        <f t="shared" si="182"/>
        <v>0</v>
      </c>
      <c r="AQ153" s="201">
        <f t="shared" si="183"/>
        <v>954882.57</v>
      </c>
      <c r="AR153" s="201">
        <f t="shared" si="184"/>
        <v>954882.57</v>
      </c>
      <c r="AS153" s="201">
        <f t="shared" si="185"/>
        <v>95.679616232464923</v>
      </c>
      <c r="AT153" s="201"/>
      <c r="AU153" s="209">
        <v>954882.57</v>
      </c>
      <c r="AV153" s="201">
        <f t="shared" si="186"/>
        <v>954882.57</v>
      </c>
      <c r="AW153" s="201">
        <f t="shared" si="195"/>
        <v>0</v>
      </c>
      <c r="AX153" s="201">
        <f t="shared" si="187"/>
        <v>95.679616232464923</v>
      </c>
      <c r="AY153" s="208"/>
      <c r="AZ153" s="201">
        <f t="shared" si="188"/>
        <v>0</v>
      </c>
      <c r="BA153" s="201">
        <f t="shared" si="189"/>
        <v>5970</v>
      </c>
      <c r="BB153" s="201">
        <f t="shared" si="190"/>
        <v>5970</v>
      </c>
      <c r="BC153" s="201"/>
      <c r="BD153" s="223">
        <v>5970</v>
      </c>
      <c r="BE153" s="201">
        <f t="shared" si="191"/>
        <v>5970</v>
      </c>
      <c r="BF153" s="208"/>
      <c r="BG153" s="201">
        <f t="shared" si="168"/>
        <v>0</v>
      </c>
      <c r="BH153" s="201">
        <f t="shared" si="168"/>
        <v>960852.57</v>
      </c>
      <c r="BI153" s="201">
        <f t="shared" si="192"/>
        <v>960852.57</v>
      </c>
      <c r="BJ153" s="201">
        <f t="shared" si="200"/>
        <v>96.277812625250505</v>
      </c>
      <c r="BK153" s="210">
        <v>20</v>
      </c>
      <c r="BL153" s="210">
        <v>90</v>
      </c>
      <c r="BM153" s="211"/>
      <c r="BN153" s="211"/>
      <c r="BO153" s="212">
        <f t="shared" si="193"/>
        <v>0</v>
      </c>
      <c r="BP153" s="201">
        <f t="shared" si="194"/>
        <v>43117.430000000051</v>
      </c>
      <c r="BQ153" s="201">
        <f t="shared" si="196"/>
        <v>43117.430000000051</v>
      </c>
      <c r="BR153" s="201">
        <f t="shared" si="169"/>
        <v>0</v>
      </c>
      <c r="BS153" s="201">
        <f t="shared" si="169"/>
        <v>43117.430000000051</v>
      </c>
      <c r="BT153" s="201">
        <f t="shared" si="197"/>
        <v>43117.430000000051</v>
      </c>
      <c r="BU153" s="213">
        <f t="shared" si="198"/>
        <v>0</v>
      </c>
      <c r="BV153" s="201"/>
      <c r="BW153" s="201"/>
      <c r="BX153" s="201">
        <f t="shared" si="199"/>
        <v>0</v>
      </c>
      <c r="BY153" s="199">
        <v>0</v>
      </c>
      <c r="BZ153" s="199">
        <v>332000</v>
      </c>
      <c r="CA153" s="199">
        <v>334000</v>
      </c>
      <c r="CB153" s="199">
        <v>332000</v>
      </c>
      <c r="CC153" s="199">
        <v>0</v>
      </c>
      <c r="CD153" s="199">
        <v>0</v>
      </c>
      <c r="CE153" s="199">
        <v>0</v>
      </c>
      <c r="CF153" s="199">
        <v>0</v>
      </c>
      <c r="CG153" s="199">
        <v>0</v>
      </c>
      <c r="CH153" s="199">
        <v>0</v>
      </c>
      <c r="CI153" s="199">
        <v>0</v>
      </c>
      <c r="CJ153" s="199">
        <v>0</v>
      </c>
      <c r="CK153" s="214" t="s">
        <v>504</v>
      </c>
      <c r="CL153" s="214" t="s">
        <v>276</v>
      </c>
      <c r="CM153" s="211">
        <v>185</v>
      </c>
      <c r="CN153" s="215"/>
      <c r="CO153" s="215"/>
      <c r="CP153" s="216"/>
      <c r="CQ153" s="217"/>
      <c r="CR153" s="211"/>
      <c r="CS153" s="218"/>
      <c r="CT153" s="218"/>
      <c r="CU153" s="218"/>
      <c r="CV153" s="211"/>
      <c r="CW153" s="211"/>
      <c r="CX153" s="211"/>
      <c r="CY153" s="211"/>
      <c r="CZ153" s="211"/>
      <c r="DA153" s="211"/>
      <c r="DB153" s="211"/>
      <c r="DC153" s="219"/>
      <c r="DD153" s="219"/>
      <c r="DE153" s="219"/>
      <c r="DF153" s="211"/>
      <c r="DG153" s="211"/>
      <c r="DH153" s="211"/>
      <c r="DI153" s="211"/>
      <c r="DJ153" s="211"/>
      <c r="DK153" s="220" t="s">
        <v>32</v>
      </c>
      <c r="DT153" s="222"/>
    </row>
    <row r="154" spans="1:124" s="176" customFormat="1" ht="42" x14ac:dyDescent="0.2">
      <c r="A154" s="195" t="s">
        <v>136</v>
      </c>
      <c r="B154" s="197" t="s">
        <v>505</v>
      </c>
      <c r="C154" s="198">
        <v>1</v>
      </c>
      <c r="D154" s="199">
        <v>880000</v>
      </c>
      <c r="E154" s="198" t="s">
        <v>142</v>
      </c>
      <c r="F154" s="198" t="s">
        <v>143</v>
      </c>
      <c r="G154" s="198" t="s">
        <v>139</v>
      </c>
      <c r="H154" s="200">
        <v>1</v>
      </c>
      <c r="I154" s="199">
        <f t="shared" si="170"/>
        <v>0</v>
      </c>
      <c r="J154" s="199">
        <f t="shared" si="171"/>
        <v>880000</v>
      </c>
      <c r="K154" s="199">
        <f t="shared" si="172"/>
        <v>880000</v>
      </c>
      <c r="L154" s="199"/>
      <c r="M154" s="199">
        <v>880000</v>
      </c>
      <c r="N154" s="199">
        <f t="shared" si="173"/>
        <v>880000</v>
      </c>
      <c r="O154" s="199"/>
      <c r="P154" s="201">
        <v>0</v>
      </c>
      <c r="Q154" s="202">
        <v>12</v>
      </c>
      <c r="R154" s="203">
        <v>45566</v>
      </c>
      <c r="S154" s="204"/>
      <c r="T154" s="204">
        <v>880000</v>
      </c>
      <c r="U154" s="204">
        <f t="shared" si="174"/>
        <v>880000</v>
      </c>
      <c r="V154" s="205">
        <v>1450</v>
      </c>
      <c r="W154" s="200">
        <v>45693</v>
      </c>
      <c r="X154" s="201"/>
      <c r="Y154" s="201">
        <v>-5275</v>
      </c>
      <c r="Z154" s="201">
        <f t="shared" si="175"/>
        <v>-5275</v>
      </c>
      <c r="AA154" s="198"/>
      <c r="AB154" s="206"/>
      <c r="AC154" s="207"/>
      <c r="AD154" s="201"/>
      <c r="AE154" s="204">
        <f t="shared" si="176"/>
        <v>0</v>
      </c>
      <c r="AF154" s="203">
        <f t="shared" si="177"/>
        <v>45566</v>
      </c>
      <c r="AG154" s="201">
        <f t="shared" si="178"/>
        <v>0</v>
      </c>
      <c r="AH154" s="199">
        <f t="shared" si="179"/>
        <v>874725</v>
      </c>
      <c r="AI154" s="199">
        <f t="shared" si="180"/>
        <v>874725</v>
      </c>
      <c r="AJ154" s="201">
        <f t="shared" si="167"/>
        <v>0</v>
      </c>
      <c r="AK154" s="201">
        <f t="shared" si="167"/>
        <v>874725</v>
      </c>
      <c r="AL154" s="201">
        <f t="shared" si="181"/>
        <v>874725</v>
      </c>
      <c r="AM154" s="198"/>
      <c r="AN154" s="203"/>
      <c r="AO154" s="208"/>
      <c r="AP154" s="201">
        <f t="shared" si="182"/>
        <v>0</v>
      </c>
      <c r="AQ154" s="201">
        <f t="shared" si="183"/>
        <v>873893.1</v>
      </c>
      <c r="AR154" s="201">
        <f t="shared" si="184"/>
        <v>873893.1</v>
      </c>
      <c r="AS154" s="201">
        <f t="shared" si="185"/>
        <v>99.904895824401962</v>
      </c>
      <c r="AT154" s="201"/>
      <c r="AU154" s="209">
        <v>873893.1</v>
      </c>
      <c r="AV154" s="201">
        <f t="shared" si="186"/>
        <v>873893.1</v>
      </c>
      <c r="AW154" s="201">
        <f t="shared" si="195"/>
        <v>0</v>
      </c>
      <c r="AX154" s="201">
        <f t="shared" si="187"/>
        <v>99.904895824401962</v>
      </c>
      <c r="AY154" s="208"/>
      <c r="AZ154" s="201">
        <f t="shared" si="188"/>
        <v>0</v>
      </c>
      <c r="BA154" s="201">
        <f t="shared" si="189"/>
        <v>0</v>
      </c>
      <c r="BB154" s="201">
        <f t="shared" si="190"/>
        <v>0</v>
      </c>
      <c r="BC154" s="201"/>
      <c r="BD154" s="223">
        <v>0</v>
      </c>
      <c r="BE154" s="201">
        <f t="shared" si="191"/>
        <v>0</v>
      </c>
      <c r="BF154" s="208"/>
      <c r="BG154" s="201">
        <f t="shared" si="168"/>
        <v>0</v>
      </c>
      <c r="BH154" s="201">
        <f t="shared" si="168"/>
        <v>873893.1</v>
      </c>
      <c r="BI154" s="201">
        <f t="shared" si="192"/>
        <v>873893.1</v>
      </c>
      <c r="BJ154" s="201">
        <f t="shared" si="200"/>
        <v>99.904895824401962</v>
      </c>
      <c r="BK154" s="210">
        <v>20</v>
      </c>
      <c r="BL154" s="210">
        <v>90</v>
      </c>
      <c r="BM154" s="211"/>
      <c r="BN154" s="211"/>
      <c r="BO154" s="212">
        <f t="shared" si="193"/>
        <v>0</v>
      </c>
      <c r="BP154" s="201">
        <f t="shared" si="194"/>
        <v>831.90000000002328</v>
      </c>
      <c r="BQ154" s="201">
        <f t="shared" si="196"/>
        <v>831.90000000002328</v>
      </c>
      <c r="BR154" s="201">
        <f t="shared" si="169"/>
        <v>0</v>
      </c>
      <c r="BS154" s="201">
        <f t="shared" si="169"/>
        <v>831.90000000002328</v>
      </c>
      <c r="BT154" s="201">
        <f t="shared" si="197"/>
        <v>831.90000000002328</v>
      </c>
      <c r="BU154" s="213">
        <f t="shared" si="198"/>
        <v>0</v>
      </c>
      <c r="BV154" s="201">
        <v>5275</v>
      </c>
      <c r="BW154" s="201"/>
      <c r="BX154" s="201">
        <f t="shared" si="199"/>
        <v>5275</v>
      </c>
      <c r="BY154" s="199">
        <v>100000</v>
      </c>
      <c r="BZ154" s="199">
        <v>300000</v>
      </c>
      <c r="CA154" s="199">
        <v>165000</v>
      </c>
      <c r="CB154" s="199">
        <v>105000</v>
      </c>
      <c r="CC154" s="199">
        <v>105000</v>
      </c>
      <c r="CD154" s="199">
        <v>105000</v>
      </c>
      <c r="CE154" s="199">
        <v>0</v>
      </c>
      <c r="CF154" s="199">
        <v>0</v>
      </c>
      <c r="CG154" s="199">
        <v>0</v>
      </c>
      <c r="CH154" s="199">
        <v>0</v>
      </c>
      <c r="CI154" s="199">
        <v>0</v>
      </c>
      <c r="CJ154" s="199">
        <v>0</v>
      </c>
      <c r="CK154" s="214" t="s">
        <v>506</v>
      </c>
      <c r="CL154" s="214" t="s">
        <v>276</v>
      </c>
      <c r="CM154" s="211">
        <v>185</v>
      </c>
      <c r="CN154" s="215"/>
      <c r="CO154" s="215"/>
      <c r="CP154" s="216"/>
      <c r="CQ154" s="217"/>
      <c r="CR154" s="211"/>
      <c r="CS154" s="218"/>
      <c r="CT154" s="218"/>
      <c r="CU154" s="218"/>
      <c r="CV154" s="211"/>
      <c r="CW154" s="211"/>
      <c r="CX154" s="211"/>
      <c r="CY154" s="211"/>
      <c r="CZ154" s="211"/>
      <c r="DA154" s="211"/>
      <c r="DB154" s="211"/>
      <c r="DC154" s="219"/>
      <c r="DD154" s="219"/>
      <c r="DE154" s="219"/>
      <c r="DF154" s="211"/>
      <c r="DG154" s="211"/>
      <c r="DH154" s="211"/>
      <c r="DI154" s="211"/>
      <c r="DJ154" s="211"/>
      <c r="DK154" s="220" t="s">
        <v>32</v>
      </c>
      <c r="DT154" s="222"/>
    </row>
    <row r="155" spans="1:124" s="176" customFormat="1" ht="42" x14ac:dyDescent="0.2">
      <c r="A155" s="195" t="s">
        <v>136</v>
      </c>
      <c r="B155" s="197" t="s">
        <v>507</v>
      </c>
      <c r="C155" s="198">
        <v>1</v>
      </c>
      <c r="D155" s="199">
        <v>950000</v>
      </c>
      <c r="E155" s="198" t="s">
        <v>472</v>
      </c>
      <c r="F155" s="198" t="s">
        <v>473</v>
      </c>
      <c r="G155" s="198" t="s">
        <v>139</v>
      </c>
      <c r="H155" s="200">
        <v>1</v>
      </c>
      <c r="I155" s="199">
        <f t="shared" si="170"/>
        <v>0</v>
      </c>
      <c r="J155" s="199">
        <f t="shared" si="171"/>
        <v>950000</v>
      </c>
      <c r="K155" s="199">
        <f t="shared" si="172"/>
        <v>950000</v>
      </c>
      <c r="L155" s="199"/>
      <c r="M155" s="199">
        <v>950000</v>
      </c>
      <c r="N155" s="199">
        <f t="shared" si="173"/>
        <v>950000</v>
      </c>
      <c r="O155" s="199"/>
      <c r="P155" s="201">
        <v>0</v>
      </c>
      <c r="Q155" s="202">
        <v>12</v>
      </c>
      <c r="R155" s="203">
        <v>45566</v>
      </c>
      <c r="S155" s="204"/>
      <c r="T155" s="204">
        <v>950000</v>
      </c>
      <c r="U155" s="204">
        <f t="shared" si="174"/>
        <v>950000</v>
      </c>
      <c r="V155" s="205">
        <v>690</v>
      </c>
      <c r="W155" s="200">
        <v>45622</v>
      </c>
      <c r="X155" s="201"/>
      <c r="Y155" s="201">
        <v>-21756</v>
      </c>
      <c r="Z155" s="201">
        <f t="shared" si="175"/>
        <v>-21756</v>
      </c>
      <c r="AA155" s="198"/>
      <c r="AB155" s="206"/>
      <c r="AC155" s="207"/>
      <c r="AD155" s="201"/>
      <c r="AE155" s="204">
        <f t="shared" si="176"/>
        <v>0</v>
      </c>
      <c r="AF155" s="203">
        <f t="shared" si="177"/>
        <v>45566</v>
      </c>
      <c r="AG155" s="201">
        <f t="shared" si="178"/>
        <v>0</v>
      </c>
      <c r="AH155" s="199">
        <f t="shared" si="179"/>
        <v>928244</v>
      </c>
      <c r="AI155" s="199">
        <f t="shared" si="180"/>
        <v>928244</v>
      </c>
      <c r="AJ155" s="201">
        <f t="shared" si="167"/>
        <v>0</v>
      </c>
      <c r="AK155" s="201">
        <f t="shared" si="167"/>
        <v>928244</v>
      </c>
      <c r="AL155" s="201">
        <f t="shared" si="181"/>
        <v>928244</v>
      </c>
      <c r="AM155" s="198"/>
      <c r="AN155" s="203"/>
      <c r="AO155" s="208"/>
      <c r="AP155" s="201">
        <f t="shared" si="182"/>
        <v>0</v>
      </c>
      <c r="AQ155" s="201">
        <f t="shared" si="183"/>
        <v>865551.51</v>
      </c>
      <c r="AR155" s="201">
        <f t="shared" si="184"/>
        <v>865551.51</v>
      </c>
      <c r="AS155" s="201">
        <f t="shared" si="185"/>
        <v>93.246119554772235</v>
      </c>
      <c r="AT155" s="201"/>
      <c r="AU155" s="209">
        <v>865551.51</v>
      </c>
      <c r="AV155" s="201">
        <f t="shared" si="186"/>
        <v>865551.51</v>
      </c>
      <c r="AW155" s="201">
        <f t="shared" si="195"/>
        <v>0</v>
      </c>
      <c r="AX155" s="201">
        <f t="shared" si="187"/>
        <v>93.246119554772235</v>
      </c>
      <c r="AY155" s="208"/>
      <c r="AZ155" s="201">
        <f t="shared" si="188"/>
        <v>0</v>
      </c>
      <c r="BA155" s="201">
        <f t="shared" si="189"/>
        <v>0</v>
      </c>
      <c r="BB155" s="201">
        <f t="shared" si="190"/>
        <v>0</v>
      </c>
      <c r="BC155" s="201"/>
      <c r="BD155" s="223">
        <v>0</v>
      </c>
      <c r="BE155" s="201">
        <f t="shared" si="191"/>
        <v>0</v>
      </c>
      <c r="BF155" s="208"/>
      <c r="BG155" s="201">
        <f t="shared" si="168"/>
        <v>0</v>
      </c>
      <c r="BH155" s="201">
        <f t="shared" si="168"/>
        <v>865551.51</v>
      </c>
      <c r="BI155" s="201">
        <f t="shared" si="192"/>
        <v>865551.51</v>
      </c>
      <c r="BJ155" s="201">
        <f t="shared" si="200"/>
        <v>93.246119554772235</v>
      </c>
      <c r="BK155" s="210">
        <v>20</v>
      </c>
      <c r="BL155" s="210">
        <v>60</v>
      </c>
      <c r="BM155" s="211"/>
      <c r="BN155" s="211"/>
      <c r="BO155" s="212">
        <f t="shared" si="193"/>
        <v>0</v>
      </c>
      <c r="BP155" s="201">
        <f t="shared" si="194"/>
        <v>62692.489999999991</v>
      </c>
      <c r="BQ155" s="201">
        <f t="shared" si="196"/>
        <v>62692.489999999991</v>
      </c>
      <c r="BR155" s="201">
        <f t="shared" si="169"/>
        <v>0</v>
      </c>
      <c r="BS155" s="201">
        <f t="shared" si="169"/>
        <v>62692.489999999991</v>
      </c>
      <c r="BT155" s="201">
        <f t="shared" si="197"/>
        <v>62692.489999999991</v>
      </c>
      <c r="BU155" s="213">
        <f t="shared" si="198"/>
        <v>0</v>
      </c>
      <c r="BV155" s="201">
        <v>21756</v>
      </c>
      <c r="BW155" s="201"/>
      <c r="BX155" s="201">
        <f t="shared" si="199"/>
        <v>21756</v>
      </c>
      <c r="BY155" s="199">
        <v>0</v>
      </c>
      <c r="BZ155" s="199">
        <v>315000</v>
      </c>
      <c r="CA155" s="199">
        <v>315000</v>
      </c>
      <c r="CB155" s="199">
        <v>320000</v>
      </c>
      <c r="CC155" s="199"/>
      <c r="CD155" s="199"/>
      <c r="CE155" s="199">
        <v>0</v>
      </c>
      <c r="CF155" s="199">
        <v>0</v>
      </c>
      <c r="CG155" s="199">
        <v>0</v>
      </c>
      <c r="CH155" s="199">
        <v>0</v>
      </c>
      <c r="CI155" s="199">
        <v>0</v>
      </c>
      <c r="CJ155" s="199">
        <v>0</v>
      </c>
      <c r="CK155" s="214" t="s">
        <v>508</v>
      </c>
      <c r="CL155" s="214" t="s">
        <v>276</v>
      </c>
      <c r="CM155" s="211">
        <v>185</v>
      </c>
      <c r="CN155" s="215"/>
      <c r="CO155" s="215"/>
      <c r="CP155" s="216"/>
      <c r="CQ155" s="217"/>
      <c r="CR155" s="211"/>
      <c r="CS155" s="218"/>
      <c r="CT155" s="218"/>
      <c r="CU155" s="218"/>
      <c r="CV155" s="211"/>
      <c r="CW155" s="211"/>
      <c r="CX155" s="211"/>
      <c r="CY155" s="211"/>
      <c r="CZ155" s="211"/>
      <c r="DA155" s="211"/>
      <c r="DB155" s="211"/>
      <c r="DC155" s="219"/>
      <c r="DD155" s="219"/>
      <c r="DE155" s="219"/>
      <c r="DF155" s="211"/>
      <c r="DG155" s="211"/>
      <c r="DH155" s="211"/>
      <c r="DI155" s="211"/>
      <c r="DJ155" s="211"/>
      <c r="DK155" s="220" t="s">
        <v>32</v>
      </c>
      <c r="DT155" s="222"/>
    </row>
    <row r="156" spans="1:124" s="176" customFormat="1" ht="42" x14ac:dyDescent="0.2">
      <c r="A156" s="195" t="s">
        <v>136</v>
      </c>
      <c r="B156" s="197" t="s">
        <v>509</v>
      </c>
      <c r="C156" s="198">
        <v>1</v>
      </c>
      <c r="D156" s="199">
        <v>975800</v>
      </c>
      <c r="E156" s="198" t="s">
        <v>510</v>
      </c>
      <c r="F156" s="198" t="s">
        <v>143</v>
      </c>
      <c r="G156" s="198" t="s">
        <v>139</v>
      </c>
      <c r="H156" s="200">
        <v>1</v>
      </c>
      <c r="I156" s="199">
        <f t="shared" si="170"/>
        <v>0</v>
      </c>
      <c r="J156" s="199">
        <f t="shared" si="171"/>
        <v>975800</v>
      </c>
      <c r="K156" s="199">
        <f t="shared" si="172"/>
        <v>975800</v>
      </c>
      <c r="L156" s="199"/>
      <c r="M156" s="199">
        <v>975800</v>
      </c>
      <c r="N156" s="199">
        <f t="shared" si="173"/>
        <v>975800</v>
      </c>
      <c r="O156" s="199"/>
      <c r="P156" s="201">
        <v>0</v>
      </c>
      <c r="Q156" s="202">
        <v>12</v>
      </c>
      <c r="R156" s="203">
        <v>45566</v>
      </c>
      <c r="S156" s="204"/>
      <c r="T156" s="204">
        <v>975800</v>
      </c>
      <c r="U156" s="204">
        <f t="shared" si="174"/>
        <v>975800</v>
      </c>
      <c r="V156" s="205">
        <v>1450</v>
      </c>
      <c r="W156" s="200">
        <v>45693</v>
      </c>
      <c r="X156" s="201"/>
      <c r="Y156" s="201">
        <v>-4952.16</v>
      </c>
      <c r="Z156" s="201">
        <f t="shared" si="175"/>
        <v>-4952.16</v>
      </c>
      <c r="AA156" s="198"/>
      <c r="AB156" s="206"/>
      <c r="AC156" s="207"/>
      <c r="AD156" s="201"/>
      <c r="AE156" s="204">
        <f t="shared" si="176"/>
        <v>0</v>
      </c>
      <c r="AF156" s="203">
        <f t="shared" si="177"/>
        <v>45566</v>
      </c>
      <c r="AG156" s="201">
        <f t="shared" si="178"/>
        <v>0</v>
      </c>
      <c r="AH156" s="199">
        <f t="shared" si="179"/>
        <v>970847.84</v>
      </c>
      <c r="AI156" s="199">
        <f t="shared" si="180"/>
        <v>970847.84</v>
      </c>
      <c r="AJ156" s="201">
        <f t="shared" si="167"/>
        <v>0</v>
      </c>
      <c r="AK156" s="201">
        <f t="shared" si="167"/>
        <v>970847.84</v>
      </c>
      <c r="AL156" s="201">
        <f t="shared" si="181"/>
        <v>970847.84</v>
      </c>
      <c r="AM156" s="198"/>
      <c r="AN156" s="203"/>
      <c r="AO156" s="208"/>
      <c r="AP156" s="201">
        <f t="shared" si="182"/>
        <v>0</v>
      </c>
      <c r="AQ156" s="201">
        <f t="shared" si="183"/>
        <v>757675.13</v>
      </c>
      <c r="AR156" s="201">
        <f t="shared" si="184"/>
        <v>757675.13</v>
      </c>
      <c r="AS156" s="201">
        <f t="shared" si="185"/>
        <v>78.042624063519568</v>
      </c>
      <c r="AT156" s="201"/>
      <c r="AU156" s="209">
        <v>757675.13</v>
      </c>
      <c r="AV156" s="201">
        <f t="shared" si="186"/>
        <v>757675.13</v>
      </c>
      <c r="AW156" s="201">
        <f t="shared" si="195"/>
        <v>0</v>
      </c>
      <c r="AX156" s="201">
        <f t="shared" si="187"/>
        <v>78.042624063519568</v>
      </c>
      <c r="AY156" s="208"/>
      <c r="AZ156" s="201">
        <f t="shared" si="188"/>
        <v>0</v>
      </c>
      <c r="BA156" s="201">
        <f t="shared" si="189"/>
        <v>0</v>
      </c>
      <c r="BB156" s="201">
        <f t="shared" si="190"/>
        <v>0</v>
      </c>
      <c r="BC156" s="201"/>
      <c r="BD156" s="223">
        <v>0</v>
      </c>
      <c r="BE156" s="201">
        <f t="shared" si="191"/>
        <v>0</v>
      </c>
      <c r="BF156" s="208"/>
      <c r="BG156" s="201">
        <f t="shared" si="168"/>
        <v>0</v>
      </c>
      <c r="BH156" s="201">
        <f t="shared" si="168"/>
        <v>757675.13</v>
      </c>
      <c r="BI156" s="201">
        <f t="shared" si="192"/>
        <v>757675.13</v>
      </c>
      <c r="BJ156" s="201">
        <f t="shared" si="200"/>
        <v>78.042624063519568</v>
      </c>
      <c r="BK156" s="210">
        <v>20</v>
      </c>
      <c r="BL156" s="210">
        <v>75</v>
      </c>
      <c r="BM156" s="211"/>
      <c r="BN156" s="211"/>
      <c r="BO156" s="212">
        <f t="shared" si="193"/>
        <v>0</v>
      </c>
      <c r="BP156" s="201">
        <f t="shared" si="194"/>
        <v>213172.70999999996</v>
      </c>
      <c r="BQ156" s="201">
        <f t="shared" si="196"/>
        <v>213172.70999999996</v>
      </c>
      <c r="BR156" s="201">
        <f t="shared" si="169"/>
        <v>0</v>
      </c>
      <c r="BS156" s="201">
        <f t="shared" si="169"/>
        <v>213172.70999999996</v>
      </c>
      <c r="BT156" s="201">
        <f t="shared" si="197"/>
        <v>213172.70999999996</v>
      </c>
      <c r="BU156" s="213">
        <f t="shared" si="198"/>
        <v>0</v>
      </c>
      <c r="BV156" s="201">
        <v>4952.16</v>
      </c>
      <c r="BW156" s="201"/>
      <c r="BX156" s="201">
        <f t="shared" si="199"/>
        <v>4952.16</v>
      </c>
      <c r="BY156" s="199">
        <v>975800</v>
      </c>
      <c r="BZ156" s="199">
        <v>325266</v>
      </c>
      <c r="CA156" s="199">
        <v>325268</v>
      </c>
      <c r="CB156" s="199">
        <v>325266</v>
      </c>
      <c r="CC156" s="199"/>
      <c r="CD156" s="199"/>
      <c r="CE156" s="199"/>
      <c r="CF156" s="199">
        <v>0</v>
      </c>
      <c r="CG156" s="199">
        <v>0</v>
      </c>
      <c r="CH156" s="199">
        <v>0</v>
      </c>
      <c r="CI156" s="199">
        <v>0</v>
      </c>
      <c r="CJ156" s="199">
        <v>0</v>
      </c>
      <c r="CK156" s="214" t="s">
        <v>511</v>
      </c>
      <c r="CL156" s="214" t="s">
        <v>276</v>
      </c>
      <c r="CM156" s="211">
        <v>185</v>
      </c>
      <c r="CN156" s="215"/>
      <c r="CO156" s="215"/>
      <c r="CP156" s="216"/>
      <c r="CQ156" s="217"/>
      <c r="CR156" s="211"/>
      <c r="CS156" s="218"/>
      <c r="CT156" s="218"/>
      <c r="CU156" s="218"/>
      <c r="CV156" s="211"/>
      <c r="CW156" s="211"/>
      <c r="CX156" s="211"/>
      <c r="CY156" s="211"/>
      <c r="CZ156" s="211"/>
      <c r="DA156" s="211"/>
      <c r="DB156" s="211"/>
      <c r="DC156" s="219"/>
      <c r="DD156" s="219"/>
      <c r="DE156" s="219"/>
      <c r="DF156" s="211"/>
      <c r="DG156" s="211"/>
      <c r="DH156" s="211"/>
      <c r="DI156" s="211"/>
      <c r="DJ156" s="211"/>
      <c r="DK156" s="220" t="s">
        <v>32</v>
      </c>
      <c r="DT156" s="222"/>
    </row>
    <row r="157" spans="1:124" s="176" customFormat="1" ht="42" x14ac:dyDescent="0.2">
      <c r="A157" s="195" t="s">
        <v>136</v>
      </c>
      <c r="B157" s="197" t="s">
        <v>512</v>
      </c>
      <c r="C157" s="198">
        <v>1</v>
      </c>
      <c r="D157" s="199">
        <v>999000</v>
      </c>
      <c r="E157" s="198" t="s">
        <v>497</v>
      </c>
      <c r="F157" s="198" t="s">
        <v>143</v>
      </c>
      <c r="G157" s="198" t="s">
        <v>139</v>
      </c>
      <c r="H157" s="200">
        <v>1</v>
      </c>
      <c r="I157" s="199">
        <f t="shared" si="170"/>
        <v>0</v>
      </c>
      <c r="J157" s="199">
        <f t="shared" si="171"/>
        <v>999000</v>
      </c>
      <c r="K157" s="199">
        <f t="shared" si="172"/>
        <v>999000</v>
      </c>
      <c r="L157" s="199"/>
      <c r="M157" s="199">
        <v>999000</v>
      </c>
      <c r="N157" s="199">
        <f t="shared" si="173"/>
        <v>999000</v>
      </c>
      <c r="O157" s="199"/>
      <c r="P157" s="201">
        <v>0</v>
      </c>
      <c r="Q157" s="202">
        <v>12</v>
      </c>
      <c r="R157" s="203">
        <v>45566</v>
      </c>
      <c r="S157" s="204"/>
      <c r="T157" s="204">
        <v>999000</v>
      </c>
      <c r="U157" s="204">
        <f t="shared" si="174"/>
        <v>999000</v>
      </c>
      <c r="V157" s="205">
        <v>1450</v>
      </c>
      <c r="W157" s="200">
        <v>45693</v>
      </c>
      <c r="X157" s="201"/>
      <c r="Y157" s="201">
        <v>-5859</v>
      </c>
      <c r="Z157" s="201">
        <f t="shared" si="175"/>
        <v>-5859</v>
      </c>
      <c r="AA157" s="198"/>
      <c r="AB157" s="206"/>
      <c r="AC157" s="207"/>
      <c r="AD157" s="201"/>
      <c r="AE157" s="204">
        <f t="shared" si="176"/>
        <v>0</v>
      </c>
      <c r="AF157" s="203">
        <f t="shared" si="177"/>
        <v>45566</v>
      </c>
      <c r="AG157" s="201">
        <f t="shared" si="178"/>
        <v>0</v>
      </c>
      <c r="AH157" s="199">
        <f t="shared" si="179"/>
        <v>993141</v>
      </c>
      <c r="AI157" s="199">
        <f t="shared" si="180"/>
        <v>993141</v>
      </c>
      <c r="AJ157" s="201">
        <f t="shared" si="167"/>
        <v>0</v>
      </c>
      <c r="AK157" s="201">
        <f t="shared" si="167"/>
        <v>993141</v>
      </c>
      <c r="AL157" s="201">
        <f t="shared" si="181"/>
        <v>993141</v>
      </c>
      <c r="AM157" s="198"/>
      <c r="AN157" s="203"/>
      <c r="AO157" s="208"/>
      <c r="AP157" s="201">
        <f t="shared" si="182"/>
        <v>0</v>
      </c>
      <c r="AQ157" s="201">
        <f t="shared" si="183"/>
        <v>444103.96</v>
      </c>
      <c r="AR157" s="201">
        <f t="shared" si="184"/>
        <v>444103.96</v>
      </c>
      <c r="AS157" s="201">
        <f t="shared" si="185"/>
        <v>44.717110662030869</v>
      </c>
      <c r="AT157" s="201"/>
      <c r="AU157" s="209">
        <v>444103.96</v>
      </c>
      <c r="AV157" s="201">
        <f t="shared" si="186"/>
        <v>444103.96</v>
      </c>
      <c r="AW157" s="201">
        <f t="shared" si="195"/>
        <v>0</v>
      </c>
      <c r="AX157" s="201">
        <f t="shared" si="187"/>
        <v>44.717110662030869</v>
      </c>
      <c r="AY157" s="208"/>
      <c r="AZ157" s="201">
        <f t="shared" si="188"/>
        <v>0</v>
      </c>
      <c r="BA157" s="201">
        <f t="shared" si="189"/>
        <v>32972.449999999997</v>
      </c>
      <c r="BB157" s="201">
        <f t="shared" si="190"/>
        <v>32972.449999999997</v>
      </c>
      <c r="BC157" s="201"/>
      <c r="BD157" s="223">
        <v>32972.449999999997</v>
      </c>
      <c r="BE157" s="201">
        <f t="shared" si="191"/>
        <v>32972.449999999997</v>
      </c>
      <c r="BF157" s="208"/>
      <c r="BG157" s="201">
        <f t="shared" si="168"/>
        <v>0</v>
      </c>
      <c r="BH157" s="201">
        <f t="shared" si="168"/>
        <v>477076.41000000003</v>
      </c>
      <c r="BI157" s="201">
        <f t="shared" si="192"/>
        <v>477076.41000000003</v>
      </c>
      <c r="BJ157" s="201">
        <f t="shared" si="200"/>
        <v>48.037127658610409</v>
      </c>
      <c r="BK157" s="210">
        <v>20</v>
      </c>
      <c r="BL157" s="210">
        <v>40</v>
      </c>
      <c r="BM157" s="211"/>
      <c r="BN157" s="211"/>
      <c r="BO157" s="212">
        <f t="shared" si="193"/>
        <v>0</v>
      </c>
      <c r="BP157" s="201">
        <f t="shared" si="194"/>
        <v>549037.04</v>
      </c>
      <c r="BQ157" s="201">
        <f t="shared" si="196"/>
        <v>549037.04</v>
      </c>
      <c r="BR157" s="201">
        <f t="shared" si="169"/>
        <v>0</v>
      </c>
      <c r="BS157" s="201">
        <f t="shared" si="169"/>
        <v>549037.04</v>
      </c>
      <c r="BT157" s="201">
        <f t="shared" si="197"/>
        <v>549037.04</v>
      </c>
      <c r="BU157" s="213">
        <f t="shared" si="198"/>
        <v>0</v>
      </c>
      <c r="BV157" s="201">
        <v>5859</v>
      </c>
      <c r="BW157" s="201"/>
      <c r="BX157" s="201">
        <f t="shared" si="199"/>
        <v>5859</v>
      </c>
      <c r="BY157" s="199">
        <v>999000</v>
      </c>
      <c r="BZ157" s="199">
        <v>333000</v>
      </c>
      <c r="CA157" s="199">
        <v>333000</v>
      </c>
      <c r="CB157" s="199">
        <v>333000</v>
      </c>
      <c r="CC157" s="199"/>
      <c r="CD157" s="199"/>
      <c r="CE157" s="199"/>
      <c r="CF157" s="199">
        <v>0</v>
      </c>
      <c r="CG157" s="199">
        <v>0</v>
      </c>
      <c r="CH157" s="199">
        <v>0</v>
      </c>
      <c r="CI157" s="199">
        <v>0</v>
      </c>
      <c r="CJ157" s="199">
        <v>0</v>
      </c>
      <c r="CK157" s="214" t="s">
        <v>513</v>
      </c>
      <c r="CL157" s="214" t="s">
        <v>276</v>
      </c>
      <c r="CM157" s="211">
        <v>185</v>
      </c>
      <c r="CN157" s="215"/>
      <c r="CO157" s="215"/>
      <c r="CP157" s="216"/>
      <c r="CQ157" s="217"/>
      <c r="CR157" s="211"/>
      <c r="CS157" s="218"/>
      <c r="CT157" s="218"/>
      <c r="CU157" s="218"/>
      <c r="CV157" s="211"/>
      <c r="CW157" s="211"/>
      <c r="CX157" s="211"/>
      <c r="CY157" s="211"/>
      <c r="CZ157" s="211"/>
      <c r="DA157" s="211"/>
      <c r="DB157" s="211"/>
      <c r="DC157" s="219"/>
      <c r="DD157" s="219"/>
      <c r="DE157" s="219"/>
      <c r="DF157" s="211"/>
      <c r="DG157" s="211"/>
      <c r="DH157" s="211"/>
      <c r="DI157" s="211"/>
      <c r="DJ157" s="211"/>
      <c r="DK157" s="220" t="s">
        <v>32</v>
      </c>
      <c r="DT157" s="222"/>
    </row>
    <row r="158" spans="1:124" s="176" customFormat="1" ht="42" x14ac:dyDescent="0.2">
      <c r="A158" s="195" t="s">
        <v>136</v>
      </c>
      <c r="B158" s="197" t="s">
        <v>514</v>
      </c>
      <c r="C158" s="198">
        <v>1</v>
      </c>
      <c r="D158" s="199">
        <v>490000</v>
      </c>
      <c r="E158" s="198" t="s">
        <v>142</v>
      </c>
      <c r="F158" s="198" t="s">
        <v>143</v>
      </c>
      <c r="G158" s="198" t="s">
        <v>139</v>
      </c>
      <c r="H158" s="200">
        <v>1</v>
      </c>
      <c r="I158" s="199">
        <f t="shared" si="170"/>
        <v>0</v>
      </c>
      <c r="J158" s="199">
        <f t="shared" si="171"/>
        <v>490000</v>
      </c>
      <c r="K158" s="199">
        <f t="shared" si="172"/>
        <v>490000</v>
      </c>
      <c r="L158" s="199"/>
      <c r="M158" s="199">
        <v>490000</v>
      </c>
      <c r="N158" s="199">
        <f t="shared" si="173"/>
        <v>490000</v>
      </c>
      <c r="O158" s="199"/>
      <c r="P158" s="201">
        <v>0</v>
      </c>
      <c r="Q158" s="202">
        <v>12</v>
      </c>
      <c r="R158" s="203">
        <v>45566</v>
      </c>
      <c r="S158" s="204"/>
      <c r="T158" s="204">
        <v>490000</v>
      </c>
      <c r="U158" s="204">
        <f t="shared" si="174"/>
        <v>490000</v>
      </c>
      <c r="V158" s="205">
        <v>1450</v>
      </c>
      <c r="W158" s="200">
        <v>45693</v>
      </c>
      <c r="X158" s="201"/>
      <c r="Y158" s="201">
        <v>-2392.38</v>
      </c>
      <c r="Z158" s="201">
        <f t="shared" si="175"/>
        <v>-2392.38</v>
      </c>
      <c r="AA158" s="198"/>
      <c r="AB158" s="206"/>
      <c r="AC158" s="207"/>
      <c r="AD158" s="201"/>
      <c r="AE158" s="204">
        <f t="shared" si="176"/>
        <v>0</v>
      </c>
      <c r="AF158" s="203">
        <f t="shared" si="177"/>
        <v>45566</v>
      </c>
      <c r="AG158" s="201">
        <f t="shared" si="178"/>
        <v>0</v>
      </c>
      <c r="AH158" s="199">
        <f t="shared" si="179"/>
        <v>487607.62</v>
      </c>
      <c r="AI158" s="199">
        <f t="shared" si="180"/>
        <v>487607.62</v>
      </c>
      <c r="AJ158" s="201">
        <f t="shared" si="167"/>
        <v>0</v>
      </c>
      <c r="AK158" s="201">
        <f t="shared" si="167"/>
        <v>487607.62</v>
      </c>
      <c r="AL158" s="201">
        <f t="shared" si="181"/>
        <v>487607.62</v>
      </c>
      <c r="AM158" s="198"/>
      <c r="AN158" s="203"/>
      <c r="AO158" s="208"/>
      <c r="AP158" s="201">
        <f t="shared" si="182"/>
        <v>0</v>
      </c>
      <c r="AQ158" s="201">
        <f t="shared" si="183"/>
        <v>487414.86</v>
      </c>
      <c r="AR158" s="201">
        <f t="shared" si="184"/>
        <v>487414.86</v>
      </c>
      <c r="AS158" s="201">
        <f t="shared" si="185"/>
        <v>99.960468214175975</v>
      </c>
      <c r="AT158" s="201"/>
      <c r="AU158" s="209">
        <v>487414.86</v>
      </c>
      <c r="AV158" s="201">
        <f t="shared" si="186"/>
        <v>487414.86</v>
      </c>
      <c r="AW158" s="201">
        <f t="shared" si="195"/>
        <v>0</v>
      </c>
      <c r="AX158" s="201">
        <f t="shared" si="187"/>
        <v>99.960468214175975</v>
      </c>
      <c r="AY158" s="208"/>
      <c r="AZ158" s="201">
        <f t="shared" si="188"/>
        <v>0</v>
      </c>
      <c r="BA158" s="201">
        <f t="shared" si="189"/>
        <v>0</v>
      </c>
      <c r="BB158" s="201">
        <f t="shared" si="190"/>
        <v>0</v>
      </c>
      <c r="BC158" s="201"/>
      <c r="BD158" s="223">
        <v>0</v>
      </c>
      <c r="BE158" s="201">
        <f t="shared" si="191"/>
        <v>0</v>
      </c>
      <c r="BF158" s="208"/>
      <c r="BG158" s="201">
        <f t="shared" si="168"/>
        <v>0</v>
      </c>
      <c r="BH158" s="201">
        <f t="shared" si="168"/>
        <v>487414.86</v>
      </c>
      <c r="BI158" s="201">
        <f t="shared" si="192"/>
        <v>487414.86</v>
      </c>
      <c r="BJ158" s="201">
        <f t="shared" si="200"/>
        <v>99.960468214175975</v>
      </c>
      <c r="BK158" s="210">
        <v>40</v>
      </c>
      <c r="BL158" s="210">
        <v>100</v>
      </c>
      <c r="BM158" s="211"/>
      <c r="BN158" s="211"/>
      <c r="BO158" s="212">
        <f t="shared" si="193"/>
        <v>0</v>
      </c>
      <c r="BP158" s="201">
        <f t="shared" si="194"/>
        <v>192.76000000000931</v>
      </c>
      <c r="BQ158" s="201">
        <f t="shared" si="196"/>
        <v>192.76000000000931</v>
      </c>
      <c r="BR158" s="201">
        <f t="shared" si="169"/>
        <v>0</v>
      </c>
      <c r="BS158" s="201">
        <f t="shared" si="169"/>
        <v>192.76000000000931</v>
      </c>
      <c r="BT158" s="201">
        <f t="shared" si="197"/>
        <v>192.76000000000931</v>
      </c>
      <c r="BU158" s="213">
        <f t="shared" si="198"/>
        <v>0</v>
      </c>
      <c r="BV158" s="201">
        <v>2392.38</v>
      </c>
      <c r="BW158" s="201"/>
      <c r="BX158" s="201">
        <f t="shared" si="199"/>
        <v>2392.38</v>
      </c>
      <c r="BY158" s="199">
        <v>490000</v>
      </c>
      <c r="BZ158" s="199">
        <v>100000</v>
      </c>
      <c r="CA158" s="199">
        <v>240000</v>
      </c>
      <c r="CB158" s="199">
        <v>150000</v>
      </c>
      <c r="CC158" s="199"/>
      <c r="CD158" s="199"/>
      <c r="CE158" s="199"/>
      <c r="CF158" s="199"/>
      <c r="CG158" s="199"/>
      <c r="CH158" s="199"/>
      <c r="CI158" s="199"/>
      <c r="CJ158" s="199"/>
      <c r="CK158" s="214" t="s">
        <v>515</v>
      </c>
      <c r="CL158" s="214" t="s">
        <v>276</v>
      </c>
      <c r="CM158" s="211">
        <v>185</v>
      </c>
      <c r="CN158" s="215"/>
      <c r="CO158" s="215"/>
      <c r="CP158" s="216"/>
      <c r="CQ158" s="217"/>
      <c r="CR158" s="211"/>
      <c r="CS158" s="218"/>
      <c r="CT158" s="218"/>
      <c r="CU158" s="218"/>
      <c r="CV158" s="211"/>
      <c r="CW158" s="211"/>
      <c r="CX158" s="211"/>
      <c r="CY158" s="211"/>
      <c r="CZ158" s="211"/>
      <c r="DA158" s="211"/>
      <c r="DB158" s="211"/>
      <c r="DC158" s="219"/>
      <c r="DD158" s="219"/>
      <c r="DE158" s="219"/>
      <c r="DF158" s="211"/>
      <c r="DG158" s="211"/>
      <c r="DH158" s="211"/>
      <c r="DI158" s="211"/>
      <c r="DJ158" s="211"/>
      <c r="DK158" s="220" t="s">
        <v>32</v>
      </c>
      <c r="DT158" s="222"/>
    </row>
    <row r="159" spans="1:124" s="176" customFormat="1" ht="42" x14ac:dyDescent="0.2">
      <c r="A159" s="195" t="s">
        <v>136</v>
      </c>
      <c r="B159" s="197" t="s">
        <v>516</v>
      </c>
      <c r="C159" s="198">
        <v>1</v>
      </c>
      <c r="D159" s="199">
        <v>1411000</v>
      </c>
      <c r="E159" s="198" t="s">
        <v>138</v>
      </c>
      <c r="F159" s="198" t="s">
        <v>138</v>
      </c>
      <c r="G159" s="198" t="s">
        <v>139</v>
      </c>
      <c r="H159" s="200">
        <v>1</v>
      </c>
      <c r="I159" s="199">
        <f t="shared" si="170"/>
        <v>0</v>
      </c>
      <c r="J159" s="199">
        <f t="shared" si="171"/>
        <v>1411000</v>
      </c>
      <c r="K159" s="199">
        <f t="shared" si="172"/>
        <v>1411000</v>
      </c>
      <c r="L159" s="199"/>
      <c r="M159" s="199">
        <v>1411000</v>
      </c>
      <c r="N159" s="199">
        <f t="shared" si="173"/>
        <v>1411000</v>
      </c>
      <c r="O159" s="199"/>
      <c r="P159" s="201">
        <v>0</v>
      </c>
      <c r="Q159" s="202">
        <v>12</v>
      </c>
      <c r="R159" s="203">
        <v>45566</v>
      </c>
      <c r="S159" s="204"/>
      <c r="T159" s="204">
        <v>1411000</v>
      </c>
      <c r="U159" s="204">
        <f t="shared" si="174"/>
        <v>1411000</v>
      </c>
      <c r="V159" s="205"/>
      <c r="W159" s="200"/>
      <c r="X159" s="201"/>
      <c r="Y159" s="201"/>
      <c r="Z159" s="201">
        <f t="shared" si="175"/>
        <v>0</v>
      </c>
      <c r="AA159" s="198"/>
      <c r="AB159" s="206"/>
      <c r="AC159" s="207"/>
      <c r="AD159" s="201"/>
      <c r="AE159" s="204">
        <f t="shared" si="176"/>
        <v>0</v>
      </c>
      <c r="AF159" s="203">
        <f t="shared" si="177"/>
        <v>45566</v>
      </c>
      <c r="AG159" s="201">
        <f t="shared" si="178"/>
        <v>0</v>
      </c>
      <c r="AH159" s="199">
        <f t="shared" si="179"/>
        <v>1411000</v>
      </c>
      <c r="AI159" s="199">
        <f t="shared" si="180"/>
        <v>1411000</v>
      </c>
      <c r="AJ159" s="201">
        <f t="shared" si="167"/>
        <v>0</v>
      </c>
      <c r="AK159" s="201">
        <f t="shared" si="167"/>
        <v>1411000</v>
      </c>
      <c r="AL159" s="201">
        <f t="shared" si="181"/>
        <v>1411000</v>
      </c>
      <c r="AM159" s="198"/>
      <c r="AN159" s="203"/>
      <c r="AO159" s="208"/>
      <c r="AP159" s="201">
        <f t="shared" si="182"/>
        <v>0</v>
      </c>
      <c r="AQ159" s="201">
        <f t="shared" si="183"/>
        <v>1381063.27</v>
      </c>
      <c r="AR159" s="201">
        <f t="shared" si="184"/>
        <v>1381063.27</v>
      </c>
      <c r="AS159" s="201">
        <f t="shared" si="185"/>
        <v>97.878332388377032</v>
      </c>
      <c r="AT159" s="201"/>
      <c r="AU159" s="209">
        <v>1381063.27</v>
      </c>
      <c r="AV159" s="201">
        <f t="shared" si="186"/>
        <v>1381063.27</v>
      </c>
      <c r="AW159" s="201">
        <f t="shared" si="195"/>
        <v>8.5046066619418852</v>
      </c>
      <c r="AX159" s="201">
        <f t="shared" si="187"/>
        <v>97.878332388377032</v>
      </c>
      <c r="AY159" s="208"/>
      <c r="AZ159" s="201">
        <f t="shared" si="188"/>
        <v>0</v>
      </c>
      <c r="BA159" s="201">
        <f t="shared" si="189"/>
        <v>0</v>
      </c>
      <c r="BB159" s="201">
        <f t="shared" si="190"/>
        <v>0</v>
      </c>
      <c r="BC159" s="201"/>
      <c r="BD159" s="223">
        <v>0</v>
      </c>
      <c r="BE159" s="201">
        <f t="shared" si="191"/>
        <v>0</v>
      </c>
      <c r="BF159" s="208"/>
      <c r="BG159" s="201">
        <f t="shared" si="168"/>
        <v>0</v>
      </c>
      <c r="BH159" s="201">
        <f t="shared" si="168"/>
        <v>1381063.27</v>
      </c>
      <c r="BI159" s="201">
        <f t="shared" si="192"/>
        <v>1381063.27</v>
      </c>
      <c r="BJ159" s="201">
        <f t="shared" si="200"/>
        <v>97.878332388377032</v>
      </c>
      <c r="BK159" s="210">
        <v>20</v>
      </c>
      <c r="BL159" s="210">
        <v>100</v>
      </c>
      <c r="BM159" s="211"/>
      <c r="BN159" s="211"/>
      <c r="BO159" s="212">
        <f t="shared" si="193"/>
        <v>0</v>
      </c>
      <c r="BP159" s="201">
        <f t="shared" si="194"/>
        <v>29936.729999999981</v>
      </c>
      <c r="BQ159" s="201">
        <f t="shared" si="196"/>
        <v>29936.729999999981</v>
      </c>
      <c r="BR159" s="201">
        <f t="shared" si="169"/>
        <v>0</v>
      </c>
      <c r="BS159" s="201">
        <f t="shared" si="169"/>
        <v>29936.729999999981</v>
      </c>
      <c r="BT159" s="201">
        <f t="shared" si="197"/>
        <v>29936.729999999981</v>
      </c>
      <c r="BU159" s="213">
        <f t="shared" si="198"/>
        <v>0</v>
      </c>
      <c r="BV159" s="201"/>
      <c r="BW159" s="201"/>
      <c r="BX159" s="201">
        <f t="shared" si="199"/>
        <v>0</v>
      </c>
      <c r="BY159" s="199">
        <v>1411000</v>
      </c>
      <c r="BZ159" s="199">
        <v>100000</v>
      </c>
      <c r="CA159" s="199">
        <v>111000</v>
      </c>
      <c r="CB159" s="199">
        <v>120000</v>
      </c>
      <c r="CC159" s="199">
        <v>120000</v>
      </c>
      <c r="CD159" s="199">
        <v>120000</v>
      </c>
      <c r="CE159" s="199">
        <v>120000</v>
      </c>
      <c r="CF159" s="199">
        <v>120000</v>
      </c>
      <c r="CG159" s="199">
        <v>120000</v>
      </c>
      <c r="CH159" s="199">
        <v>120000</v>
      </c>
      <c r="CI159" s="199">
        <v>120000</v>
      </c>
      <c r="CJ159" s="199">
        <v>120000</v>
      </c>
      <c r="CK159" s="214" t="s">
        <v>517</v>
      </c>
      <c r="CL159" s="214" t="s">
        <v>276</v>
      </c>
      <c r="CM159" s="211">
        <v>185</v>
      </c>
      <c r="CN159" s="215"/>
      <c r="CO159" s="215"/>
      <c r="CP159" s="216"/>
      <c r="CQ159" s="217"/>
      <c r="CR159" s="211"/>
      <c r="CS159" s="218"/>
      <c r="CT159" s="218"/>
      <c r="CU159" s="218"/>
      <c r="CV159" s="211"/>
      <c r="CW159" s="211"/>
      <c r="CX159" s="211"/>
      <c r="CY159" s="211"/>
      <c r="CZ159" s="211"/>
      <c r="DA159" s="211"/>
      <c r="DB159" s="211"/>
      <c r="DC159" s="219"/>
      <c r="DD159" s="219"/>
      <c r="DE159" s="219"/>
      <c r="DF159" s="211"/>
      <c r="DG159" s="211"/>
      <c r="DH159" s="211"/>
      <c r="DI159" s="211"/>
      <c r="DJ159" s="211"/>
      <c r="DK159" s="220" t="s">
        <v>32</v>
      </c>
      <c r="DT159" s="222"/>
    </row>
    <row r="160" spans="1:124" s="176" customFormat="1" ht="42" x14ac:dyDescent="0.2">
      <c r="A160" s="195" t="s">
        <v>136</v>
      </c>
      <c r="B160" s="197" t="s">
        <v>518</v>
      </c>
      <c r="C160" s="198">
        <v>1</v>
      </c>
      <c r="D160" s="199">
        <v>8500000</v>
      </c>
      <c r="E160" s="198" t="s">
        <v>467</v>
      </c>
      <c r="F160" s="198" t="s">
        <v>143</v>
      </c>
      <c r="G160" s="198" t="s">
        <v>139</v>
      </c>
      <c r="H160" s="200">
        <v>1</v>
      </c>
      <c r="I160" s="199">
        <f t="shared" si="170"/>
        <v>0</v>
      </c>
      <c r="J160" s="199">
        <f t="shared" si="171"/>
        <v>8500000</v>
      </c>
      <c r="K160" s="199">
        <f t="shared" si="172"/>
        <v>8500000</v>
      </c>
      <c r="L160" s="199"/>
      <c r="M160" s="199">
        <v>8500000</v>
      </c>
      <c r="N160" s="199">
        <f t="shared" si="173"/>
        <v>8500000</v>
      </c>
      <c r="O160" s="199"/>
      <c r="P160" s="201">
        <v>0</v>
      </c>
      <c r="Q160" s="202">
        <v>12</v>
      </c>
      <c r="R160" s="203">
        <v>45566</v>
      </c>
      <c r="S160" s="204"/>
      <c r="T160" s="204">
        <v>8500000</v>
      </c>
      <c r="U160" s="204">
        <f t="shared" si="174"/>
        <v>8500000</v>
      </c>
      <c r="V160" s="205">
        <v>1450</v>
      </c>
      <c r="W160" s="200">
        <v>45693</v>
      </c>
      <c r="X160" s="201"/>
      <c r="Y160" s="201">
        <v>-698334</v>
      </c>
      <c r="Z160" s="201">
        <f t="shared" si="175"/>
        <v>-698334</v>
      </c>
      <c r="AA160" s="198"/>
      <c r="AB160" s="206"/>
      <c r="AC160" s="207"/>
      <c r="AD160" s="201"/>
      <c r="AE160" s="204">
        <f t="shared" si="176"/>
        <v>0</v>
      </c>
      <c r="AF160" s="203">
        <f t="shared" si="177"/>
        <v>45566</v>
      </c>
      <c r="AG160" s="201">
        <f t="shared" si="178"/>
        <v>0</v>
      </c>
      <c r="AH160" s="199">
        <f t="shared" si="179"/>
        <v>7801666</v>
      </c>
      <c r="AI160" s="199">
        <f t="shared" si="180"/>
        <v>7801666</v>
      </c>
      <c r="AJ160" s="201">
        <f t="shared" si="167"/>
        <v>0</v>
      </c>
      <c r="AK160" s="201">
        <f t="shared" si="167"/>
        <v>7801666</v>
      </c>
      <c r="AL160" s="201">
        <f t="shared" si="181"/>
        <v>7801666</v>
      </c>
      <c r="AM160" s="198"/>
      <c r="AN160" s="203"/>
      <c r="AO160" s="208"/>
      <c r="AP160" s="201">
        <f t="shared" si="182"/>
        <v>0</v>
      </c>
      <c r="AQ160" s="201">
        <f t="shared" si="183"/>
        <v>5353695.6500000004</v>
      </c>
      <c r="AR160" s="201">
        <f t="shared" si="184"/>
        <v>5353695.6500000004</v>
      </c>
      <c r="AS160" s="201">
        <f t="shared" si="185"/>
        <v>68.622466662889707</v>
      </c>
      <c r="AT160" s="201"/>
      <c r="AU160" s="209">
        <v>5353695.6500000004</v>
      </c>
      <c r="AV160" s="201">
        <f t="shared" si="186"/>
        <v>5353695.6500000004</v>
      </c>
      <c r="AW160" s="201">
        <f t="shared" si="195"/>
        <v>8.9724425526547797</v>
      </c>
      <c r="AX160" s="201">
        <f t="shared" si="187"/>
        <v>68.622466662889707</v>
      </c>
      <c r="AY160" s="208"/>
      <c r="AZ160" s="201">
        <f t="shared" si="188"/>
        <v>0</v>
      </c>
      <c r="BA160" s="201">
        <f t="shared" si="189"/>
        <v>299290</v>
      </c>
      <c r="BB160" s="201">
        <f t="shared" si="190"/>
        <v>299290</v>
      </c>
      <c r="BC160" s="201"/>
      <c r="BD160" s="223">
        <v>299290</v>
      </c>
      <c r="BE160" s="201">
        <f t="shared" si="191"/>
        <v>299290</v>
      </c>
      <c r="BF160" s="208"/>
      <c r="BG160" s="201">
        <f t="shared" si="168"/>
        <v>0</v>
      </c>
      <c r="BH160" s="201">
        <f t="shared" si="168"/>
        <v>5652985.6500000004</v>
      </c>
      <c r="BI160" s="201">
        <f t="shared" si="192"/>
        <v>5652985.6500000004</v>
      </c>
      <c r="BJ160" s="201">
        <f t="shared" si="200"/>
        <v>72.458698565152616</v>
      </c>
      <c r="BK160" s="210">
        <v>10</v>
      </c>
      <c r="BL160" s="210">
        <v>60</v>
      </c>
      <c r="BM160" s="211"/>
      <c r="BN160" s="211"/>
      <c r="BO160" s="212">
        <f t="shared" si="193"/>
        <v>0</v>
      </c>
      <c r="BP160" s="201">
        <f t="shared" si="194"/>
        <v>2447970.3499999996</v>
      </c>
      <c r="BQ160" s="201">
        <f t="shared" si="196"/>
        <v>2447970.3499999996</v>
      </c>
      <c r="BR160" s="201">
        <f t="shared" si="169"/>
        <v>0</v>
      </c>
      <c r="BS160" s="201">
        <f t="shared" si="169"/>
        <v>2447970.3499999996</v>
      </c>
      <c r="BT160" s="201">
        <f t="shared" si="197"/>
        <v>2447970.3499999996</v>
      </c>
      <c r="BU160" s="213">
        <f t="shared" si="198"/>
        <v>0</v>
      </c>
      <c r="BV160" s="201">
        <v>698334</v>
      </c>
      <c r="BW160" s="201"/>
      <c r="BX160" s="201">
        <f t="shared" si="199"/>
        <v>698334</v>
      </c>
      <c r="BY160" s="199">
        <v>8500000</v>
      </c>
      <c r="BZ160" s="199">
        <v>700000</v>
      </c>
      <c r="CA160" s="199">
        <v>800000</v>
      </c>
      <c r="CB160" s="199">
        <v>700000</v>
      </c>
      <c r="CC160" s="199">
        <v>700000</v>
      </c>
      <c r="CD160" s="199">
        <v>700000</v>
      </c>
      <c r="CE160" s="199">
        <v>700000</v>
      </c>
      <c r="CF160" s="199">
        <v>700000</v>
      </c>
      <c r="CG160" s="199">
        <v>700000</v>
      </c>
      <c r="CH160" s="199">
        <v>700000</v>
      </c>
      <c r="CI160" s="199">
        <v>700000</v>
      </c>
      <c r="CJ160" s="199">
        <v>700000</v>
      </c>
      <c r="CK160" s="214" t="s">
        <v>519</v>
      </c>
      <c r="CL160" s="214" t="s">
        <v>276</v>
      </c>
      <c r="CM160" s="211">
        <v>185</v>
      </c>
      <c r="CN160" s="215"/>
      <c r="CO160" s="215"/>
      <c r="CP160" s="216"/>
      <c r="CQ160" s="217"/>
      <c r="CR160" s="211"/>
      <c r="CS160" s="218"/>
      <c r="CT160" s="218"/>
      <c r="CU160" s="218"/>
      <c r="CV160" s="211"/>
      <c r="CW160" s="211"/>
      <c r="CX160" s="211"/>
      <c r="CY160" s="211"/>
      <c r="CZ160" s="211"/>
      <c r="DA160" s="211"/>
      <c r="DB160" s="211"/>
      <c r="DC160" s="219"/>
      <c r="DD160" s="219"/>
      <c r="DE160" s="219"/>
      <c r="DF160" s="211"/>
      <c r="DG160" s="211"/>
      <c r="DH160" s="211"/>
      <c r="DI160" s="211"/>
      <c r="DJ160" s="211"/>
      <c r="DK160" s="220" t="s">
        <v>32</v>
      </c>
      <c r="DT160" s="222"/>
    </row>
    <row r="161" spans="1:124" s="176" customFormat="1" x14ac:dyDescent="0.2">
      <c r="A161" s="195" t="s">
        <v>136</v>
      </c>
      <c r="B161" s="197" t="s">
        <v>520</v>
      </c>
      <c r="C161" s="198">
        <v>1</v>
      </c>
      <c r="D161" s="199">
        <v>7500000</v>
      </c>
      <c r="E161" s="198" t="s">
        <v>521</v>
      </c>
      <c r="F161" s="198" t="s">
        <v>195</v>
      </c>
      <c r="G161" s="198" t="s">
        <v>139</v>
      </c>
      <c r="H161" s="200">
        <v>1</v>
      </c>
      <c r="I161" s="199">
        <f t="shared" si="170"/>
        <v>0</v>
      </c>
      <c r="J161" s="199">
        <f t="shared" si="171"/>
        <v>7500000</v>
      </c>
      <c r="K161" s="199">
        <f t="shared" si="172"/>
        <v>7500000</v>
      </c>
      <c r="L161" s="199"/>
      <c r="M161" s="199">
        <v>7500000</v>
      </c>
      <c r="N161" s="199">
        <f t="shared" si="173"/>
        <v>7500000</v>
      </c>
      <c r="O161" s="199"/>
      <c r="P161" s="201">
        <v>0</v>
      </c>
      <c r="Q161" s="202">
        <v>12</v>
      </c>
      <c r="R161" s="203">
        <v>45566</v>
      </c>
      <c r="S161" s="204"/>
      <c r="T161" s="204">
        <v>7500000</v>
      </c>
      <c r="U161" s="204">
        <f t="shared" si="174"/>
        <v>7500000</v>
      </c>
      <c r="V161" s="205">
        <v>228</v>
      </c>
      <c r="W161" s="200">
        <v>45586</v>
      </c>
      <c r="X161" s="201"/>
      <c r="Y161" s="201">
        <v>-316600</v>
      </c>
      <c r="Z161" s="201">
        <f t="shared" si="175"/>
        <v>-316600</v>
      </c>
      <c r="AA161" s="198"/>
      <c r="AB161" s="206"/>
      <c r="AC161" s="207"/>
      <c r="AD161" s="201"/>
      <c r="AE161" s="204">
        <f t="shared" si="176"/>
        <v>0</v>
      </c>
      <c r="AF161" s="203">
        <f t="shared" si="177"/>
        <v>45566</v>
      </c>
      <c r="AG161" s="201">
        <f t="shared" si="178"/>
        <v>0</v>
      </c>
      <c r="AH161" s="199">
        <f t="shared" si="179"/>
        <v>7500000</v>
      </c>
      <c r="AI161" s="199">
        <f t="shared" si="180"/>
        <v>7500000</v>
      </c>
      <c r="AJ161" s="201">
        <f t="shared" si="167"/>
        <v>0</v>
      </c>
      <c r="AK161" s="201">
        <f t="shared" si="167"/>
        <v>7183400</v>
      </c>
      <c r="AL161" s="201">
        <f t="shared" si="181"/>
        <v>7183400</v>
      </c>
      <c r="AM161" s="205">
        <v>229</v>
      </c>
      <c r="AN161" s="200">
        <v>45586</v>
      </c>
      <c r="AO161" s="208">
        <v>316600</v>
      </c>
      <c r="AP161" s="201">
        <f t="shared" si="182"/>
        <v>0</v>
      </c>
      <c r="AQ161" s="201">
        <f t="shared" si="183"/>
        <v>5354085.8899999997</v>
      </c>
      <c r="AR161" s="201">
        <f t="shared" si="184"/>
        <v>5354085.8899999997</v>
      </c>
      <c r="AS161" s="201">
        <f t="shared" si="185"/>
        <v>71.387811866666652</v>
      </c>
      <c r="AT161" s="201"/>
      <c r="AU161" s="209">
        <v>5078520.8899999997</v>
      </c>
      <c r="AV161" s="201">
        <f t="shared" si="186"/>
        <v>5078520.8899999997</v>
      </c>
      <c r="AW161" s="201">
        <f t="shared" si="195"/>
        <v>0</v>
      </c>
      <c r="AX161" s="201">
        <f t="shared" si="187"/>
        <v>70.69801055210624</v>
      </c>
      <c r="AY161" s="208">
        <v>275565</v>
      </c>
      <c r="AZ161" s="201">
        <f t="shared" si="188"/>
        <v>0</v>
      </c>
      <c r="BA161" s="201">
        <f t="shared" si="189"/>
        <v>22100</v>
      </c>
      <c r="BB161" s="201">
        <f t="shared" si="190"/>
        <v>22100</v>
      </c>
      <c r="BC161" s="201"/>
      <c r="BD161" s="223">
        <v>22100</v>
      </c>
      <c r="BE161" s="201">
        <f t="shared" si="191"/>
        <v>22100</v>
      </c>
      <c r="BF161" s="208"/>
      <c r="BG161" s="201">
        <f t="shared" si="168"/>
        <v>0</v>
      </c>
      <c r="BH161" s="201">
        <f t="shared" si="168"/>
        <v>5376185.8899999997</v>
      </c>
      <c r="BI161" s="201">
        <f t="shared" si="192"/>
        <v>5376185.8899999997</v>
      </c>
      <c r="BJ161" s="201">
        <f t="shared" si="200"/>
        <v>71.682478533333338</v>
      </c>
      <c r="BK161" s="210">
        <v>10</v>
      </c>
      <c r="BL161" s="210">
        <v>55</v>
      </c>
      <c r="BM161" s="211"/>
      <c r="BN161" s="211"/>
      <c r="BO161" s="212">
        <f t="shared" si="193"/>
        <v>0</v>
      </c>
      <c r="BP161" s="201">
        <f t="shared" si="194"/>
        <v>2145914.1100000003</v>
      </c>
      <c r="BQ161" s="201">
        <f t="shared" si="196"/>
        <v>2145914.1100000003</v>
      </c>
      <c r="BR161" s="201">
        <f t="shared" si="169"/>
        <v>0</v>
      </c>
      <c r="BS161" s="201">
        <f t="shared" si="169"/>
        <v>2104879.1100000003</v>
      </c>
      <c r="BT161" s="201">
        <f t="shared" si="197"/>
        <v>2104879.1100000003</v>
      </c>
      <c r="BU161" s="213">
        <f t="shared" si="198"/>
        <v>41035</v>
      </c>
      <c r="BV161" s="201">
        <v>316600</v>
      </c>
      <c r="BW161" s="201"/>
      <c r="BX161" s="201">
        <f t="shared" si="199"/>
        <v>316600</v>
      </c>
      <c r="BY161" s="199">
        <v>7500000</v>
      </c>
      <c r="BZ161" s="199">
        <v>1250000</v>
      </c>
      <c r="CA161" s="199">
        <v>1250000</v>
      </c>
      <c r="CB161" s="199">
        <v>1250000</v>
      </c>
      <c r="CC161" s="199">
        <v>1250000</v>
      </c>
      <c r="CD161" s="199">
        <v>1250000</v>
      </c>
      <c r="CE161" s="199">
        <v>1250000</v>
      </c>
      <c r="CF161" s="199"/>
      <c r="CG161" s="199"/>
      <c r="CH161" s="199"/>
      <c r="CI161" s="199">
        <v>0</v>
      </c>
      <c r="CJ161" s="199">
        <v>0</v>
      </c>
      <c r="CK161" s="214" t="s">
        <v>522</v>
      </c>
      <c r="CL161" s="214" t="s">
        <v>276</v>
      </c>
      <c r="CM161" s="211">
        <v>185</v>
      </c>
      <c r="CN161" s="215">
        <v>1600</v>
      </c>
      <c r="CO161" s="215"/>
      <c r="CP161" s="216"/>
      <c r="CQ161" s="217"/>
      <c r="CR161" s="211"/>
      <c r="CS161" s="218"/>
      <c r="CT161" s="218"/>
      <c r="CU161" s="218"/>
      <c r="CV161" s="211"/>
      <c r="CW161" s="211"/>
      <c r="CX161" s="211"/>
      <c r="CY161" s="211"/>
      <c r="CZ161" s="211"/>
      <c r="DA161" s="211"/>
      <c r="DB161" s="211"/>
      <c r="DC161" s="219"/>
      <c r="DD161" s="219"/>
      <c r="DE161" s="219"/>
      <c r="DF161" s="211"/>
      <c r="DG161" s="211"/>
      <c r="DH161" s="211"/>
      <c r="DI161" s="211"/>
      <c r="DJ161" s="211"/>
      <c r="DK161" s="220" t="s">
        <v>32</v>
      </c>
      <c r="DT161" s="222"/>
    </row>
    <row r="162" spans="1:124" s="176" customFormat="1" ht="42" x14ac:dyDescent="0.2">
      <c r="A162" s="195" t="s">
        <v>154</v>
      </c>
      <c r="B162" s="197" t="s">
        <v>523</v>
      </c>
      <c r="C162" s="198">
        <v>1</v>
      </c>
      <c r="D162" s="199">
        <v>1000000</v>
      </c>
      <c r="E162" s="198" t="s">
        <v>156</v>
      </c>
      <c r="F162" s="198" t="s">
        <v>150</v>
      </c>
      <c r="G162" s="198" t="s">
        <v>151</v>
      </c>
      <c r="H162" s="200">
        <v>1</v>
      </c>
      <c r="I162" s="199">
        <f t="shared" si="170"/>
        <v>0</v>
      </c>
      <c r="J162" s="199">
        <f t="shared" si="171"/>
        <v>1000000</v>
      </c>
      <c r="K162" s="199">
        <f t="shared" si="172"/>
        <v>1000000</v>
      </c>
      <c r="L162" s="199"/>
      <c r="M162" s="199">
        <v>1000000</v>
      </c>
      <c r="N162" s="199">
        <f t="shared" si="173"/>
        <v>1000000</v>
      </c>
      <c r="O162" s="199"/>
      <c r="P162" s="201">
        <v>0</v>
      </c>
      <c r="Q162" s="202">
        <v>12</v>
      </c>
      <c r="R162" s="203">
        <v>45566</v>
      </c>
      <c r="S162" s="204"/>
      <c r="T162" s="204">
        <v>1000000</v>
      </c>
      <c r="U162" s="204">
        <f t="shared" si="174"/>
        <v>1000000</v>
      </c>
      <c r="V162" s="205"/>
      <c r="W162" s="200"/>
      <c r="X162" s="201"/>
      <c r="Y162" s="201"/>
      <c r="Z162" s="201">
        <f t="shared" si="175"/>
        <v>0</v>
      </c>
      <c r="AA162" s="198"/>
      <c r="AB162" s="206"/>
      <c r="AC162" s="207"/>
      <c r="AD162" s="201"/>
      <c r="AE162" s="204">
        <f t="shared" si="176"/>
        <v>0</v>
      </c>
      <c r="AF162" s="203">
        <f t="shared" si="177"/>
        <v>45566</v>
      </c>
      <c r="AG162" s="201">
        <f t="shared" si="178"/>
        <v>0</v>
      </c>
      <c r="AH162" s="199">
        <f t="shared" si="179"/>
        <v>1000000</v>
      </c>
      <c r="AI162" s="199">
        <f t="shared" si="180"/>
        <v>1000000</v>
      </c>
      <c r="AJ162" s="201">
        <f t="shared" si="167"/>
        <v>0</v>
      </c>
      <c r="AK162" s="201">
        <f t="shared" si="167"/>
        <v>1000000</v>
      </c>
      <c r="AL162" s="201">
        <f t="shared" si="181"/>
        <v>1000000</v>
      </c>
      <c r="AM162" s="198"/>
      <c r="AN162" s="203"/>
      <c r="AO162" s="208"/>
      <c r="AP162" s="201">
        <f t="shared" si="182"/>
        <v>0</v>
      </c>
      <c r="AQ162" s="201">
        <f t="shared" si="183"/>
        <v>1000000</v>
      </c>
      <c r="AR162" s="201">
        <f t="shared" si="184"/>
        <v>1000000</v>
      </c>
      <c r="AS162" s="201">
        <f t="shared" si="185"/>
        <v>100</v>
      </c>
      <c r="AT162" s="201"/>
      <c r="AU162" s="223">
        <v>1000000</v>
      </c>
      <c r="AV162" s="201">
        <f t="shared" si="186"/>
        <v>1000000</v>
      </c>
      <c r="AW162" s="201">
        <f t="shared" si="195"/>
        <v>10</v>
      </c>
      <c r="AX162" s="201">
        <f t="shared" si="187"/>
        <v>100</v>
      </c>
      <c r="AY162" s="208"/>
      <c r="AZ162" s="201">
        <f t="shared" si="188"/>
        <v>0</v>
      </c>
      <c r="BA162" s="201">
        <f t="shared" si="189"/>
        <v>0</v>
      </c>
      <c r="BB162" s="201">
        <f t="shared" si="190"/>
        <v>0</v>
      </c>
      <c r="BC162" s="201"/>
      <c r="BD162" s="223">
        <v>0</v>
      </c>
      <c r="BE162" s="201">
        <f t="shared" si="191"/>
        <v>0</v>
      </c>
      <c r="BF162" s="208"/>
      <c r="BG162" s="201">
        <f t="shared" si="168"/>
        <v>0</v>
      </c>
      <c r="BH162" s="201">
        <f t="shared" si="168"/>
        <v>1000000</v>
      </c>
      <c r="BI162" s="201">
        <f t="shared" si="192"/>
        <v>1000000</v>
      </c>
      <c r="BJ162" s="201">
        <f t="shared" si="200"/>
        <v>100</v>
      </c>
      <c r="BK162" s="210">
        <v>20</v>
      </c>
      <c r="BL162" s="210">
        <v>100</v>
      </c>
      <c r="BM162" s="211"/>
      <c r="BN162" s="211"/>
      <c r="BO162" s="212">
        <f t="shared" si="193"/>
        <v>0</v>
      </c>
      <c r="BP162" s="201">
        <f t="shared" si="194"/>
        <v>0</v>
      </c>
      <c r="BQ162" s="201">
        <f t="shared" si="196"/>
        <v>0</v>
      </c>
      <c r="BR162" s="201">
        <f t="shared" si="169"/>
        <v>0</v>
      </c>
      <c r="BS162" s="201">
        <f t="shared" si="169"/>
        <v>0</v>
      </c>
      <c r="BT162" s="201">
        <f t="shared" si="197"/>
        <v>0</v>
      </c>
      <c r="BU162" s="213">
        <f t="shared" si="198"/>
        <v>0</v>
      </c>
      <c r="BV162" s="201"/>
      <c r="BW162" s="201"/>
      <c r="BX162" s="201">
        <f t="shared" si="199"/>
        <v>0</v>
      </c>
      <c r="BY162" s="199">
        <v>1000000</v>
      </c>
      <c r="BZ162" s="199">
        <v>0</v>
      </c>
      <c r="CA162" s="199">
        <v>100000</v>
      </c>
      <c r="CB162" s="199">
        <v>100000</v>
      </c>
      <c r="CC162" s="199">
        <v>100000</v>
      </c>
      <c r="CD162" s="199">
        <v>100000</v>
      </c>
      <c r="CE162" s="199">
        <v>100000</v>
      </c>
      <c r="CF162" s="199">
        <v>100000</v>
      </c>
      <c r="CG162" s="199">
        <v>100000</v>
      </c>
      <c r="CH162" s="199">
        <v>100000</v>
      </c>
      <c r="CI162" s="199">
        <v>100000</v>
      </c>
      <c r="CJ162" s="199">
        <v>100000</v>
      </c>
      <c r="CK162" s="214" t="s">
        <v>524</v>
      </c>
      <c r="CL162" s="214" t="s">
        <v>276</v>
      </c>
      <c r="CM162" s="211">
        <v>185</v>
      </c>
      <c r="CN162" s="215"/>
      <c r="CO162" s="215"/>
      <c r="CP162" s="216"/>
      <c r="CQ162" s="217"/>
      <c r="CR162" s="211"/>
      <c r="CS162" s="218"/>
      <c r="CT162" s="218"/>
      <c r="CU162" s="218"/>
      <c r="CV162" s="211"/>
      <c r="CW162" s="211"/>
      <c r="CX162" s="211"/>
      <c r="CY162" s="211"/>
      <c r="CZ162" s="211"/>
      <c r="DA162" s="211"/>
      <c r="DB162" s="211"/>
      <c r="DC162" s="219"/>
      <c r="DD162" s="219"/>
      <c r="DE162" s="219"/>
      <c r="DF162" s="211"/>
      <c r="DG162" s="211"/>
      <c r="DH162" s="211"/>
      <c r="DI162" s="211"/>
      <c r="DJ162" s="211"/>
      <c r="DK162" s="220" t="s">
        <v>32</v>
      </c>
      <c r="DT162" s="222"/>
    </row>
    <row r="163" spans="1:124" s="176" customFormat="1" ht="63" x14ac:dyDescent="0.2">
      <c r="A163" s="195" t="s">
        <v>154</v>
      </c>
      <c r="B163" s="197" t="s">
        <v>525</v>
      </c>
      <c r="C163" s="198">
        <v>1</v>
      </c>
      <c r="D163" s="199">
        <v>1500000</v>
      </c>
      <c r="E163" s="198" t="s">
        <v>526</v>
      </c>
      <c r="F163" s="198" t="s">
        <v>527</v>
      </c>
      <c r="G163" s="198" t="s">
        <v>151</v>
      </c>
      <c r="H163" s="200">
        <v>1</v>
      </c>
      <c r="I163" s="199">
        <f t="shared" si="170"/>
        <v>440000</v>
      </c>
      <c r="J163" s="199">
        <f t="shared" si="171"/>
        <v>1060000</v>
      </c>
      <c r="K163" s="199">
        <f t="shared" si="172"/>
        <v>1500000</v>
      </c>
      <c r="L163" s="199">
        <f>440000</f>
        <v>440000</v>
      </c>
      <c r="M163" s="199">
        <f>8000+1052000</f>
        <v>1060000</v>
      </c>
      <c r="N163" s="199">
        <f t="shared" si="173"/>
        <v>1500000</v>
      </c>
      <c r="O163" s="199"/>
      <c r="P163" s="201">
        <v>0</v>
      </c>
      <c r="Q163" s="202">
        <v>11</v>
      </c>
      <c r="R163" s="203">
        <v>45566</v>
      </c>
      <c r="S163" s="204"/>
      <c r="T163" s="204">
        <v>1052000</v>
      </c>
      <c r="U163" s="204">
        <f t="shared" si="174"/>
        <v>1052000</v>
      </c>
      <c r="V163" s="205">
        <v>1206</v>
      </c>
      <c r="W163" s="200">
        <v>45672</v>
      </c>
      <c r="X163" s="201"/>
      <c r="Y163" s="201">
        <v>-495</v>
      </c>
      <c r="Z163" s="201">
        <f t="shared" si="175"/>
        <v>-495</v>
      </c>
      <c r="AA163" s="198">
        <v>1295</v>
      </c>
      <c r="AB163" s="206">
        <v>45679</v>
      </c>
      <c r="AC163" s="207">
        <v>439200</v>
      </c>
      <c r="AD163" s="201">
        <f>7686+-1020+-6436.16</f>
        <v>229.84000000000015</v>
      </c>
      <c r="AE163" s="204">
        <f t="shared" si="176"/>
        <v>439429.84</v>
      </c>
      <c r="AF163" s="203">
        <f t="shared" si="177"/>
        <v>45566</v>
      </c>
      <c r="AG163" s="201">
        <f t="shared" si="178"/>
        <v>439200</v>
      </c>
      <c r="AH163" s="199">
        <f t="shared" si="179"/>
        <v>1051734.8400000001</v>
      </c>
      <c r="AI163" s="199">
        <f t="shared" si="180"/>
        <v>1490934.84</v>
      </c>
      <c r="AJ163" s="201">
        <f t="shared" si="167"/>
        <v>439200</v>
      </c>
      <c r="AK163" s="201">
        <f t="shared" si="167"/>
        <v>1051734.8400000001</v>
      </c>
      <c r="AL163" s="201">
        <f t="shared" si="181"/>
        <v>1490934.84</v>
      </c>
      <c r="AM163" s="198"/>
      <c r="AN163" s="203"/>
      <c r="AO163" s="208"/>
      <c r="AP163" s="201">
        <f t="shared" si="182"/>
        <v>439200</v>
      </c>
      <c r="AQ163" s="201">
        <f t="shared" si="183"/>
        <v>1051734.8400000001</v>
      </c>
      <c r="AR163" s="201">
        <f t="shared" si="184"/>
        <v>1490934.84</v>
      </c>
      <c r="AS163" s="201">
        <f t="shared" si="185"/>
        <v>100</v>
      </c>
      <c r="AT163" s="201">
        <v>439200</v>
      </c>
      <c r="AU163" s="223">
        <f>1490934.84-AT163</f>
        <v>1051734.8400000001</v>
      </c>
      <c r="AV163" s="201">
        <f t="shared" si="186"/>
        <v>1490934.84</v>
      </c>
      <c r="AW163" s="201">
        <f t="shared" si="195"/>
        <v>0</v>
      </c>
      <c r="AX163" s="201">
        <f t="shared" si="187"/>
        <v>100</v>
      </c>
      <c r="AY163" s="208"/>
      <c r="AZ163" s="201">
        <f t="shared" si="188"/>
        <v>0</v>
      </c>
      <c r="BA163" s="201">
        <f t="shared" si="189"/>
        <v>0</v>
      </c>
      <c r="BB163" s="201">
        <f t="shared" si="190"/>
        <v>0</v>
      </c>
      <c r="BC163" s="201"/>
      <c r="BD163" s="223">
        <v>0</v>
      </c>
      <c r="BE163" s="201">
        <f t="shared" si="191"/>
        <v>0</v>
      </c>
      <c r="BF163" s="208"/>
      <c r="BG163" s="201">
        <f t="shared" si="168"/>
        <v>439200</v>
      </c>
      <c r="BH163" s="201">
        <f t="shared" si="168"/>
        <v>1051734.8400000001</v>
      </c>
      <c r="BI163" s="201">
        <f t="shared" si="192"/>
        <v>1490934.84</v>
      </c>
      <c r="BJ163" s="201">
        <f t="shared" si="200"/>
        <v>100</v>
      </c>
      <c r="BK163" s="210">
        <v>33.729999999999997</v>
      </c>
      <c r="BL163" s="210">
        <v>100</v>
      </c>
      <c r="BM163" s="211"/>
      <c r="BN163" s="211"/>
      <c r="BO163" s="212">
        <f t="shared" si="193"/>
        <v>0</v>
      </c>
      <c r="BP163" s="201">
        <f t="shared" si="194"/>
        <v>0</v>
      </c>
      <c r="BQ163" s="201">
        <f t="shared" si="196"/>
        <v>0</v>
      </c>
      <c r="BR163" s="201">
        <f t="shared" si="169"/>
        <v>0</v>
      </c>
      <c r="BS163" s="201">
        <f t="shared" si="169"/>
        <v>0</v>
      </c>
      <c r="BT163" s="201">
        <f t="shared" si="197"/>
        <v>0</v>
      </c>
      <c r="BU163" s="213">
        <f t="shared" si="198"/>
        <v>0</v>
      </c>
      <c r="BV163" s="201">
        <f>495+1020+6436.16</f>
        <v>7951.16</v>
      </c>
      <c r="BW163" s="201"/>
      <c r="BX163" s="201">
        <f t="shared" si="199"/>
        <v>7951.16</v>
      </c>
      <c r="BY163" s="199">
        <v>200000</v>
      </c>
      <c r="BZ163" s="199">
        <v>350000</v>
      </c>
      <c r="CA163" s="199">
        <v>350000</v>
      </c>
      <c r="CB163" s="199">
        <v>300000</v>
      </c>
      <c r="CC163" s="199">
        <v>200000</v>
      </c>
      <c r="CD163" s="199">
        <v>100000</v>
      </c>
      <c r="CE163" s="199">
        <v>0</v>
      </c>
      <c r="CF163" s="199">
        <v>0</v>
      </c>
      <c r="CG163" s="199">
        <v>0</v>
      </c>
      <c r="CH163" s="199">
        <v>0</v>
      </c>
      <c r="CI163" s="199">
        <v>0</v>
      </c>
      <c r="CJ163" s="199">
        <v>0</v>
      </c>
      <c r="CK163" s="214" t="s">
        <v>528</v>
      </c>
      <c r="CL163" s="214" t="s">
        <v>276</v>
      </c>
      <c r="CM163" s="211">
        <v>185</v>
      </c>
      <c r="CN163" s="215"/>
      <c r="CO163" s="215"/>
      <c r="CP163" s="216"/>
      <c r="CQ163" s="217"/>
      <c r="CR163" s="211"/>
      <c r="CS163" s="218"/>
      <c r="CT163" s="218"/>
      <c r="CU163" s="218"/>
      <c r="CV163" s="211"/>
      <c r="CW163" s="211"/>
      <c r="CX163" s="211"/>
      <c r="CY163" s="211"/>
      <c r="CZ163" s="211"/>
      <c r="DA163" s="211"/>
      <c r="DB163" s="211"/>
      <c r="DC163" s="219"/>
      <c r="DD163" s="219"/>
      <c r="DE163" s="219"/>
      <c r="DF163" s="211"/>
      <c r="DG163" s="211"/>
      <c r="DH163" s="211"/>
      <c r="DI163" s="211"/>
      <c r="DJ163" s="211"/>
      <c r="DK163" s="220" t="s">
        <v>53</v>
      </c>
      <c r="DT163" s="222"/>
    </row>
    <row r="164" spans="1:124" s="176" customFormat="1" ht="63" x14ac:dyDescent="0.2">
      <c r="A164" s="195" t="s">
        <v>154</v>
      </c>
      <c r="B164" s="197" t="s">
        <v>529</v>
      </c>
      <c r="C164" s="198">
        <v>1</v>
      </c>
      <c r="D164" s="199">
        <v>1500000</v>
      </c>
      <c r="E164" s="198" t="s">
        <v>526</v>
      </c>
      <c r="F164" s="198" t="s">
        <v>527</v>
      </c>
      <c r="G164" s="198" t="s">
        <v>151</v>
      </c>
      <c r="H164" s="200">
        <v>1</v>
      </c>
      <c r="I164" s="199">
        <f t="shared" si="170"/>
        <v>493000</v>
      </c>
      <c r="J164" s="199">
        <f t="shared" si="171"/>
        <v>1007000</v>
      </c>
      <c r="K164" s="199">
        <f t="shared" si="172"/>
        <v>1500000</v>
      </c>
      <c r="L164" s="199">
        <f>493000</f>
        <v>493000</v>
      </c>
      <c r="M164" s="199">
        <f>9000+998000</f>
        <v>1007000</v>
      </c>
      <c r="N164" s="199">
        <f t="shared" si="173"/>
        <v>1500000</v>
      </c>
      <c r="O164" s="199"/>
      <c r="P164" s="201">
        <v>0</v>
      </c>
      <c r="Q164" s="202">
        <v>11</v>
      </c>
      <c r="R164" s="203">
        <v>45566</v>
      </c>
      <c r="S164" s="204"/>
      <c r="T164" s="204">
        <v>998000</v>
      </c>
      <c r="U164" s="204">
        <f t="shared" si="174"/>
        <v>998000</v>
      </c>
      <c r="V164" s="205">
        <v>1206</v>
      </c>
      <c r="W164" s="200">
        <v>45672</v>
      </c>
      <c r="X164" s="201"/>
      <c r="Y164" s="201">
        <v>-3455</v>
      </c>
      <c r="Z164" s="201">
        <f t="shared" si="175"/>
        <v>-3455</v>
      </c>
      <c r="AA164" s="198">
        <v>1295</v>
      </c>
      <c r="AB164" s="206">
        <v>45679</v>
      </c>
      <c r="AC164" s="207">
        <v>492800</v>
      </c>
      <c r="AD164" s="201">
        <f>8624+-1355+-95.34</f>
        <v>7173.66</v>
      </c>
      <c r="AE164" s="204">
        <f t="shared" si="176"/>
        <v>499973.66</v>
      </c>
      <c r="AF164" s="203">
        <f t="shared" si="177"/>
        <v>45566</v>
      </c>
      <c r="AG164" s="201">
        <f t="shared" si="178"/>
        <v>492800</v>
      </c>
      <c r="AH164" s="199">
        <f t="shared" si="179"/>
        <v>1001718.66</v>
      </c>
      <c r="AI164" s="199">
        <f t="shared" si="180"/>
        <v>1494518.6600000001</v>
      </c>
      <c r="AJ164" s="201">
        <f t="shared" si="167"/>
        <v>492800</v>
      </c>
      <c r="AK164" s="201">
        <f t="shared" si="167"/>
        <v>1001718.66</v>
      </c>
      <c r="AL164" s="201">
        <f t="shared" si="181"/>
        <v>1494518.6600000001</v>
      </c>
      <c r="AM164" s="198"/>
      <c r="AN164" s="203"/>
      <c r="AO164" s="208"/>
      <c r="AP164" s="201">
        <f t="shared" si="182"/>
        <v>492800</v>
      </c>
      <c r="AQ164" s="201">
        <f t="shared" si="183"/>
        <v>1001718.6599999999</v>
      </c>
      <c r="AR164" s="201">
        <f t="shared" si="184"/>
        <v>1494518.66</v>
      </c>
      <c r="AS164" s="201">
        <f t="shared" si="185"/>
        <v>99.999999999999986</v>
      </c>
      <c r="AT164" s="201">
        <v>492800</v>
      </c>
      <c r="AU164" s="223">
        <f>1494518.66-AT164</f>
        <v>1001718.6599999999</v>
      </c>
      <c r="AV164" s="201">
        <f t="shared" si="186"/>
        <v>1494518.66</v>
      </c>
      <c r="AW164" s="201">
        <f t="shared" si="195"/>
        <v>0</v>
      </c>
      <c r="AX164" s="201">
        <f t="shared" si="187"/>
        <v>99.999999999999986</v>
      </c>
      <c r="AY164" s="208"/>
      <c r="AZ164" s="201">
        <f t="shared" si="188"/>
        <v>0</v>
      </c>
      <c r="BA164" s="201">
        <f t="shared" si="189"/>
        <v>0</v>
      </c>
      <c r="BB164" s="201">
        <f t="shared" si="190"/>
        <v>0</v>
      </c>
      <c r="BC164" s="201"/>
      <c r="BD164" s="223">
        <v>0</v>
      </c>
      <c r="BE164" s="201">
        <f t="shared" si="191"/>
        <v>0</v>
      </c>
      <c r="BF164" s="208"/>
      <c r="BG164" s="201">
        <f t="shared" si="168"/>
        <v>492800</v>
      </c>
      <c r="BH164" s="201">
        <f t="shared" si="168"/>
        <v>1001718.6599999999</v>
      </c>
      <c r="BI164" s="201">
        <f t="shared" si="192"/>
        <v>1494518.66</v>
      </c>
      <c r="BJ164" s="201">
        <f t="shared" si="200"/>
        <v>99.999999999999986</v>
      </c>
      <c r="BK164" s="210">
        <v>37.97</v>
      </c>
      <c r="BL164" s="210">
        <v>100</v>
      </c>
      <c r="BM164" s="211"/>
      <c r="BN164" s="211"/>
      <c r="BO164" s="212">
        <f t="shared" si="193"/>
        <v>0</v>
      </c>
      <c r="BP164" s="201">
        <f t="shared" si="194"/>
        <v>0</v>
      </c>
      <c r="BQ164" s="201">
        <f t="shared" si="196"/>
        <v>0</v>
      </c>
      <c r="BR164" s="201">
        <f t="shared" si="169"/>
        <v>0</v>
      </c>
      <c r="BS164" s="201">
        <f t="shared" si="169"/>
        <v>0</v>
      </c>
      <c r="BT164" s="201">
        <f t="shared" si="197"/>
        <v>0</v>
      </c>
      <c r="BU164" s="213">
        <f t="shared" si="198"/>
        <v>0</v>
      </c>
      <c r="BV164" s="201">
        <f>3455+1355+95.34</f>
        <v>4905.34</v>
      </c>
      <c r="BW164" s="201"/>
      <c r="BX164" s="201">
        <f t="shared" si="199"/>
        <v>4905.34</v>
      </c>
      <c r="BY164" s="199">
        <v>200000</v>
      </c>
      <c r="BZ164" s="199">
        <v>350000</v>
      </c>
      <c r="CA164" s="199">
        <v>350000</v>
      </c>
      <c r="CB164" s="199">
        <v>300000</v>
      </c>
      <c r="CC164" s="199">
        <v>200000</v>
      </c>
      <c r="CD164" s="199">
        <v>100000</v>
      </c>
      <c r="CE164" s="199">
        <v>0</v>
      </c>
      <c r="CF164" s="199">
        <v>0</v>
      </c>
      <c r="CG164" s="199">
        <v>0</v>
      </c>
      <c r="CH164" s="199">
        <v>0</v>
      </c>
      <c r="CI164" s="199">
        <v>0</v>
      </c>
      <c r="CJ164" s="199">
        <v>0</v>
      </c>
      <c r="CK164" s="214" t="s">
        <v>530</v>
      </c>
      <c r="CL164" s="214" t="s">
        <v>276</v>
      </c>
      <c r="CM164" s="211">
        <v>185</v>
      </c>
      <c r="CN164" s="215"/>
      <c r="CO164" s="215"/>
      <c r="CP164" s="216"/>
      <c r="CQ164" s="217"/>
      <c r="CR164" s="211"/>
      <c r="CS164" s="218"/>
      <c r="CT164" s="218"/>
      <c r="CU164" s="218"/>
      <c r="CV164" s="211"/>
      <c r="CW164" s="211"/>
      <c r="CX164" s="211"/>
      <c r="CY164" s="211"/>
      <c r="CZ164" s="211"/>
      <c r="DA164" s="211"/>
      <c r="DB164" s="211"/>
      <c r="DC164" s="219"/>
      <c r="DD164" s="219"/>
      <c r="DE164" s="219"/>
      <c r="DF164" s="211"/>
      <c r="DG164" s="211"/>
      <c r="DH164" s="211"/>
      <c r="DI164" s="211"/>
      <c r="DJ164" s="211"/>
      <c r="DK164" s="220" t="s">
        <v>53</v>
      </c>
      <c r="DT164" s="222"/>
    </row>
    <row r="165" spans="1:124" s="176" customFormat="1" ht="42" x14ac:dyDescent="0.2">
      <c r="A165" s="195" t="s">
        <v>154</v>
      </c>
      <c r="B165" s="197" t="s">
        <v>531</v>
      </c>
      <c r="C165" s="198">
        <v>1</v>
      </c>
      <c r="D165" s="199">
        <v>1100000</v>
      </c>
      <c r="E165" s="198" t="s">
        <v>532</v>
      </c>
      <c r="F165" s="198" t="s">
        <v>256</v>
      </c>
      <c r="G165" s="198" t="s">
        <v>151</v>
      </c>
      <c r="H165" s="200">
        <v>1</v>
      </c>
      <c r="I165" s="199">
        <f t="shared" si="170"/>
        <v>0</v>
      </c>
      <c r="J165" s="199">
        <f t="shared" si="171"/>
        <v>1100000</v>
      </c>
      <c r="K165" s="199">
        <f t="shared" si="172"/>
        <v>1100000</v>
      </c>
      <c r="L165" s="199">
        <v>0</v>
      </c>
      <c r="M165" s="199">
        <v>1100000</v>
      </c>
      <c r="N165" s="199">
        <f t="shared" si="173"/>
        <v>1100000</v>
      </c>
      <c r="O165" s="199"/>
      <c r="P165" s="201">
        <v>0</v>
      </c>
      <c r="Q165" s="202">
        <v>12</v>
      </c>
      <c r="R165" s="203">
        <v>45566</v>
      </c>
      <c r="S165" s="204"/>
      <c r="T165" s="204">
        <v>1100000</v>
      </c>
      <c r="U165" s="204">
        <f t="shared" si="174"/>
        <v>1100000</v>
      </c>
      <c r="V165" s="205">
        <v>1206</v>
      </c>
      <c r="W165" s="200">
        <v>45672</v>
      </c>
      <c r="X165" s="201"/>
      <c r="Y165" s="201">
        <v>-11177</v>
      </c>
      <c r="Z165" s="201">
        <f t="shared" si="175"/>
        <v>-11177</v>
      </c>
      <c r="AA165" s="198">
        <v>1716</v>
      </c>
      <c r="AB165" s="206">
        <v>45723</v>
      </c>
      <c r="AC165" s="207"/>
      <c r="AD165" s="201">
        <v>-1420</v>
      </c>
      <c r="AE165" s="204">
        <f t="shared" si="176"/>
        <v>-1420</v>
      </c>
      <c r="AF165" s="203">
        <f t="shared" si="177"/>
        <v>45566</v>
      </c>
      <c r="AG165" s="201">
        <f t="shared" si="178"/>
        <v>0</v>
      </c>
      <c r="AH165" s="199">
        <f t="shared" si="179"/>
        <v>1087403</v>
      </c>
      <c r="AI165" s="199">
        <f t="shared" si="180"/>
        <v>1087403</v>
      </c>
      <c r="AJ165" s="201">
        <f t="shared" si="167"/>
        <v>0</v>
      </c>
      <c r="AK165" s="201">
        <f t="shared" si="167"/>
        <v>1087403</v>
      </c>
      <c r="AL165" s="201">
        <f t="shared" si="181"/>
        <v>1087403</v>
      </c>
      <c r="AM165" s="198"/>
      <c r="AN165" s="203"/>
      <c r="AO165" s="208"/>
      <c r="AP165" s="201">
        <f t="shared" si="182"/>
        <v>0</v>
      </c>
      <c r="AQ165" s="201">
        <f t="shared" si="183"/>
        <v>1086707.6499999999</v>
      </c>
      <c r="AR165" s="201">
        <f t="shared" si="184"/>
        <v>1086707.6499999999</v>
      </c>
      <c r="AS165" s="201">
        <f t="shared" si="185"/>
        <v>99.936054066431666</v>
      </c>
      <c r="AT165" s="201"/>
      <c r="AU165" s="223">
        <v>1086707.6499999999</v>
      </c>
      <c r="AV165" s="201">
        <f t="shared" si="186"/>
        <v>1086707.6499999999</v>
      </c>
      <c r="AW165" s="201">
        <f t="shared" si="195"/>
        <v>9.1962225596214093</v>
      </c>
      <c r="AX165" s="201">
        <f t="shared" si="187"/>
        <v>99.936054066431666</v>
      </c>
      <c r="AY165" s="208"/>
      <c r="AZ165" s="201">
        <f t="shared" si="188"/>
        <v>0</v>
      </c>
      <c r="BA165" s="201">
        <f t="shared" si="189"/>
        <v>0</v>
      </c>
      <c r="BB165" s="201">
        <f t="shared" si="190"/>
        <v>0</v>
      </c>
      <c r="BC165" s="201"/>
      <c r="BD165" s="223">
        <v>0</v>
      </c>
      <c r="BE165" s="201">
        <f t="shared" si="191"/>
        <v>0</v>
      </c>
      <c r="BF165" s="208"/>
      <c r="BG165" s="201">
        <f t="shared" si="168"/>
        <v>0</v>
      </c>
      <c r="BH165" s="201">
        <f t="shared" si="168"/>
        <v>1086707.6499999999</v>
      </c>
      <c r="BI165" s="201">
        <f t="shared" si="192"/>
        <v>1086707.6499999999</v>
      </c>
      <c r="BJ165" s="201">
        <f t="shared" si="200"/>
        <v>99.936054066431666</v>
      </c>
      <c r="BK165" s="210">
        <v>20</v>
      </c>
      <c r="BL165" s="210">
        <v>75</v>
      </c>
      <c r="BM165" s="211"/>
      <c r="BN165" s="211"/>
      <c r="BO165" s="212">
        <f t="shared" si="193"/>
        <v>0</v>
      </c>
      <c r="BP165" s="201">
        <f t="shared" si="194"/>
        <v>695.35000000009313</v>
      </c>
      <c r="BQ165" s="201">
        <f t="shared" si="196"/>
        <v>695.35000000009313</v>
      </c>
      <c r="BR165" s="201">
        <f t="shared" si="169"/>
        <v>0</v>
      </c>
      <c r="BS165" s="201">
        <f t="shared" si="169"/>
        <v>695.35000000009313</v>
      </c>
      <c r="BT165" s="201">
        <f t="shared" si="197"/>
        <v>695.35000000009313</v>
      </c>
      <c r="BU165" s="213">
        <f t="shared" si="198"/>
        <v>0</v>
      </c>
      <c r="BV165" s="201">
        <f>11177+1420</f>
        <v>12597</v>
      </c>
      <c r="BW165" s="201"/>
      <c r="BX165" s="201">
        <f t="shared" si="199"/>
        <v>12597</v>
      </c>
      <c r="BY165" s="199">
        <v>50000</v>
      </c>
      <c r="BZ165" s="199">
        <v>100000</v>
      </c>
      <c r="CA165" s="199">
        <v>100000</v>
      </c>
      <c r="CB165" s="199">
        <v>100000</v>
      </c>
      <c r="CC165" s="199">
        <v>100000</v>
      </c>
      <c r="CD165" s="199">
        <v>100000</v>
      </c>
      <c r="CE165" s="199">
        <v>100000</v>
      </c>
      <c r="CF165" s="199">
        <v>100000</v>
      </c>
      <c r="CG165" s="199">
        <v>100000</v>
      </c>
      <c r="CH165" s="199">
        <v>100000</v>
      </c>
      <c r="CI165" s="199">
        <v>100000</v>
      </c>
      <c r="CJ165" s="199">
        <v>50000</v>
      </c>
      <c r="CK165" s="214" t="s">
        <v>533</v>
      </c>
      <c r="CL165" s="214" t="s">
        <v>276</v>
      </c>
      <c r="CM165" s="211">
        <v>185</v>
      </c>
      <c r="CN165" s="215"/>
      <c r="CO165" s="215"/>
      <c r="CP165" s="216"/>
      <c r="CQ165" s="217"/>
      <c r="CR165" s="211"/>
      <c r="CS165" s="218"/>
      <c r="CT165" s="218"/>
      <c r="CU165" s="218"/>
      <c r="CV165" s="211"/>
      <c r="CW165" s="211"/>
      <c r="CX165" s="211"/>
      <c r="CY165" s="211"/>
      <c r="CZ165" s="211"/>
      <c r="DA165" s="211"/>
      <c r="DB165" s="211"/>
      <c r="DC165" s="219"/>
      <c r="DD165" s="219"/>
      <c r="DE165" s="219"/>
      <c r="DF165" s="211"/>
      <c r="DG165" s="211"/>
      <c r="DH165" s="211"/>
      <c r="DI165" s="211"/>
      <c r="DJ165" s="211"/>
      <c r="DK165" s="220" t="s">
        <v>32</v>
      </c>
      <c r="DT165" s="222"/>
    </row>
    <row r="166" spans="1:124" s="176" customFormat="1" ht="63" x14ac:dyDescent="0.2">
      <c r="A166" s="195" t="s">
        <v>154</v>
      </c>
      <c r="B166" s="197" t="s">
        <v>534</v>
      </c>
      <c r="C166" s="198">
        <v>1</v>
      </c>
      <c r="D166" s="199">
        <v>4500000</v>
      </c>
      <c r="E166" s="198" t="s">
        <v>255</v>
      </c>
      <c r="F166" s="198" t="s">
        <v>256</v>
      </c>
      <c r="G166" s="198" t="s">
        <v>151</v>
      </c>
      <c r="H166" s="200">
        <v>1</v>
      </c>
      <c r="I166" s="199">
        <f t="shared" si="170"/>
        <v>0</v>
      </c>
      <c r="J166" s="199">
        <f t="shared" si="171"/>
        <v>4500000</v>
      </c>
      <c r="K166" s="199">
        <f t="shared" si="172"/>
        <v>4500000</v>
      </c>
      <c r="L166" s="199">
        <v>0</v>
      </c>
      <c r="M166" s="199">
        <v>4500000</v>
      </c>
      <c r="N166" s="199">
        <f t="shared" si="173"/>
        <v>4500000</v>
      </c>
      <c r="O166" s="199"/>
      <c r="P166" s="201">
        <v>0</v>
      </c>
      <c r="Q166" s="202">
        <v>12</v>
      </c>
      <c r="R166" s="203">
        <v>45566</v>
      </c>
      <c r="S166" s="204"/>
      <c r="T166" s="204">
        <v>4500000</v>
      </c>
      <c r="U166" s="204">
        <f t="shared" si="174"/>
        <v>4500000</v>
      </c>
      <c r="V166" s="205">
        <v>1206</v>
      </c>
      <c r="W166" s="200">
        <v>45672</v>
      </c>
      <c r="X166" s="201"/>
      <c r="Y166" s="201">
        <v>-43906</v>
      </c>
      <c r="Z166" s="201">
        <f t="shared" si="175"/>
        <v>-43906</v>
      </c>
      <c r="AA166" s="198">
        <v>1716</v>
      </c>
      <c r="AB166" s="206">
        <v>45723</v>
      </c>
      <c r="AC166" s="207"/>
      <c r="AD166" s="201">
        <v>-5700</v>
      </c>
      <c r="AE166" s="204">
        <f t="shared" si="176"/>
        <v>-5700</v>
      </c>
      <c r="AF166" s="203">
        <f t="shared" si="177"/>
        <v>45566</v>
      </c>
      <c r="AG166" s="201">
        <f t="shared" si="178"/>
        <v>0</v>
      </c>
      <c r="AH166" s="199">
        <f t="shared" si="179"/>
        <v>4450394</v>
      </c>
      <c r="AI166" s="199">
        <f t="shared" si="180"/>
        <v>4450394</v>
      </c>
      <c r="AJ166" s="201">
        <f t="shared" si="167"/>
        <v>0</v>
      </c>
      <c r="AK166" s="201">
        <f t="shared" si="167"/>
        <v>4450394</v>
      </c>
      <c r="AL166" s="201">
        <f t="shared" si="181"/>
        <v>4450394</v>
      </c>
      <c r="AM166" s="198"/>
      <c r="AN166" s="203"/>
      <c r="AO166" s="208"/>
      <c r="AP166" s="201">
        <f t="shared" si="182"/>
        <v>0</v>
      </c>
      <c r="AQ166" s="201">
        <f t="shared" si="183"/>
        <v>3641029.2</v>
      </c>
      <c r="AR166" s="201">
        <f t="shared" si="184"/>
        <v>3641029.2</v>
      </c>
      <c r="AS166" s="201">
        <f t="shared" si="185"/>
        <v>81.813637174596224</v>
      </c>
      <c r="AT166" s="201"/>
      <c r="AU166" s="223">
        <v>3641029.2</v>
      </c>
      <c r="AV166" s="201">
        <f t="shared" si="186"/>
        <v>3641029.2</v>
      </c>
      <c r="AW166" s="201">
        <f t="shared" si="195"/>
        <v>8.987968256293712</v>
      </c>
      <c r="AX166" s="201">
        <f t="shared" si="187"/>
        <v>81.813637174596224</v>
      </c>
      <c r="AY166" s="208"/>
      <c r="AZ166" s="201">
        <f t="shared" si="188"/>
        <v>0</v>
      </c>
      <c r="BA166" s="201">
        <f t="shared" si="189"/>
        <v>544854</v>
      </c>
      <c r="BB166" s="201">
        <f t="shared" si="190"/>
        <v>544854</v>
      </c>
      <c r="BC166" s="201"/>
      <c r="BD166" s="223">
        <v>544854</v>
      </c>
      <c r="BE166" s="201">
        <f t="shared" si="191"/>
        <v>544854</v>
      </c>
      <c r="BF166" s="208"/>
      <c r="BG166" s="201">
        <f t="shared" si="168"/>
        <v>0</v>
      </c>
      <c r="BH166" s="201">
        <f t="shared" si="168"/>
        <v>4185883.2</v>
      </c>
      <c r="BI166" s="201">
        <f t="shared" si="192"/>
        <v>4185883.2</v>
      </c>
      <c r="BJ166" s="201">
        <f t="shared" si="200"/>
        <v>94.056463315382857</v>
      </c>
      <c r="BK166" s="210">
        <v>20</v>
      </c>
      <c r="BL166" s="210">
        <v>75</v>
      </c>
      <c r="BM166" s="211"/>
      <c r="BN166" s="211"/>
      <c r="BO166" s="212">
        <f t="shared" si="193"/>
        <v>0</v>
      </c>
      <c r="BP166" s="201">
        <f t="shared" si="194"/>
        <v>809364.79999999981</v>
      </c>
      <c r="BQ166" s="201">
        <f t="shared" si="196"/>
        <v>809364.79999999981</v>
      </c>
      <c r="BR166" s="201">
        <f t="shared" si="169"/>
        <v>0</v>
      </c>
      <c r="BS166" s="201">
        <f t="shared" si="169"/>
        <v>809364.79999999981</v>
      </c>
      <c r="BT166" s="201">
        <f t="shared" si="197"/>
        <v>809364.79999999981</v>
      </c>
      <c r="BU166" s="213">
        <f t="shared" si="198"/>
        <v>0</v>
      </c>
      <c r="BV166" s="201">
        <f>43906+5700</f>
        <v>49606</v>
      </c>
      <c r="BW166" s="201"/>
      <c r="BX166" s="201">
        <f t="shared" si="199"/>
        <v>49606</v>
      </c>
      <c r="BY166" s="199">
        <v>350000</v>
      </c>
      <c r="BZ166" s="199">
        <v>350000</v>
      </c>
      <c r="CA166" s="199">
        <v>350000</v>
      </c>
      <c r="CB166" s="199">
        <v>350000</v>
      </c>
      <c r="CC166" s="199">
        <v>350000</v>
      </c>
      <c r="CD166" s="199">
        <v>350000</v>
      </c>
      <c r="CE166" s="199">
        <v>400000</v>
      </c>
      <c r="CF166" s="199">
        <v>400000</v>
      </c>
      <c r="CG166" s="199">
        <v>400000</v>
      </c>
      <c r="CH166" s="199">
        <v>400000</v>
      </c>
      <c r="CI166" s="199">
        <v>400000</v>
      </c>
      <c r="CJ166" s="199">
        <v>400000</v>
      </c>
      <c r="CK166" s="214" t="s">
        <v>535</v>
      </c>
      <c r="CL166" s="214" t="s">
        <v>276</v>
      </c>
      <c r="CM166" s="211">
        <v>185</v>
      </c>
      <c r="CN166" s="215"/>
      <c r="CO166" s="215"/>
      <c r="CP166" s="216"/>
      <c r="CQ166" s="217"/>
      <c r="CR166" s="211"/>
      <c r="CS166" s="218"/>
      <c r="CT166" s="218"/>
      <c r="CU166" s="218"/>
      <c r="CV166" s="211"/>
      <c r="CW166" s="211"/>
      <c r="CX166" s="211"/>
      <c r="CY166" s="211"/>
      <c r="CZ166" s="211"/>
      <c r="DA166" s="211"/>
      <c r="DB166" s="211"/>
      <c r="DC166" s="219"/>
      <c r="DD166" s="219"/>
      <c r="DE166" s="219"/>
      <c r="DF166" s="211"/>
      <c r="DG166" s="211"/>
      <c r="DH166" s="211"/>
      <c r="DI166" s="211"/>
      <c r="DJ166" s="211"/>
      <c r="DK166" s="220" t="s">
        <v>32</v>
      </c>
      <c r="DT166" s="222"/>
    </row>
    <row r="167" spans="1:124" s="176" customFormat="1" ht="42" x14ac:dyDescent="0.2">
      <c r="A167" s="195" t="s">
        <v>154</v>
      </c>
      <c r="B167" s="197" t="s">
        <v>536</v>
      </c>
      <c r="C167" s="198">
        <v>1</v>
      </c>
      <c r="D167" s="199">
        <v>4500000</v>
      </c>
      <c r="E167" s="198" t="s">
        <v>255</v>
      </c>
      <c r="F167" s="198" t="s">
        <v>256</v>
      </c>
      <c r="G167" s="198" t="s">
        <v>151</v>
      </c>
      <c r="H167" s="200">
        <v>1</v>
      </c>
      <c r="I167" s="199">
        <f t="shared" si="170"/>
        <v>0</v>
      </c>
      <c r="J167" s="199">
        <f t="shared" si="171"/>
        <v>4500000</v>
      </c>
      <c r="K167" s="199">
        <f t="shared" si="172"/>
        <v>4500000</v>
      </c>
      <c r="L167" s="199">
        <v>0</v>
      </c>
      <c r="M167" s="199">
        <v>4500000</v>
      </c>
      <c r="N167" s="199">
        <f t="shared" si="173"/>
        <v>4500000</v>
      </c>
      <c r="O167" s="199"/>
      <c r="P167" s="201">
        <v>0</v>
      </c>
      <c r="Q167" s="202">
        <v>12</v>
      </c>
      <c r="R167" s="203">
        <v>45566</v>
      </c>
      <c r="S167" s="204"/>
      <c r="T167" s="204">
        <v>4500000</v>
      </c>
      <c r="U167" s="204">
        <f t="shared" si="174"/>
        <v>4500000</v>
      </c>
      <c r="V167" s="205">
        <v>1206</v>
      </c>
      <c r="W167" s="200">
        <v>45672</v>
      </c>
      <c r="X167" s="201"/>
      <c r="Y167" s="201">
        <v>-45779</v>
      </c>
      <c r="Z167" s="201">
        <f t="shared" si="175"/>
        <v>-45779</v>
      </c>
      <c r="AA167" s="198">
        <v>1716</v>
      </c>
      <c r="AB167" s="206">
        <v>45723</v>
      </c>
      <c r="AC167" s="207"/>
      <c r="AD167" s="201">
        <v>-250</v>
      </c>
      <c r="AE167" s="204">
        <f t="shared" si="176"/>
        <v>-250</v>
      </c>
      <c r="AF167" s="203">
        <f t="shared" si="177"/>
        <v>45566</v>
      </c>
      <c r="AG167" s="201">
        <f t="shared" si="178"/>
        <v>0</v>
      </c>
      <c r="AH167" s="199">
        <f t="shared" si="179"/>
        <v>4453971</v>
      </c>
      <c r="AI167" s="199">
        <f t="shared" si="180"/>
        <v>4453971</v>
      </c>
      <c r="AJ167" s="201">
        <f t="shared" si="167"/>
        <v>0</v>
      </c>
      <c r="AK167" s="201">
        <f t="shared" si="167"/>
        <v>4453971</v>
      </c>
      <c r="AL167" s="201">
        <f t="shared" si="181"/>
        <v>4453971</v>
      </c>
      <c r="AM167" s="198"/>
      <c r="AN167" s="203"/>
      <c r="AO167" s="208"/>
      <c r="AP167" s="201">
        <f t="shared" si="182"/>
        <v>0</v>
      </c>
      <c r="AQ167" s="201">
        <f t="shared" si="183"/>
        <v>4293981.8</v>
      </c>
      <c r="AR167" s="201">
        <f t="shared" si="184"/>
        <v>4293981.8</v>
      </c>
      <c r="AS167" s="201">
        <f t="shared" si="185"/>
        <v>96.40794248548093</v>
      </c>
      <c r="AT167" s="201"/>
      <c r="AU167" s="223">
        <v>4293981.8</v>
      </c>
      <c r="AV167" s="201">
        <f t="shared" si="186"/>
        <v>4293981.8</v>
      </c>
      <c r="AW167" s="201">
        <f t="shared" si="195"/>
        <v>8.9807499869217828</v>
      </c>
      <c r="AX167" s="201">
        <f t="shared" si="187"/>
        <v>96.40794248548093</v>
      </c>
      <c r="AY167" s="208"/>
      <c r="AZ167" s="201">
        <f t="shared" si="188"/>
        <v>0</v>
      </c>
      <c r="BA167" s="201">
        <f t="shared" si="189"/>
        <v>0</v>
      </c>
      <c r="BB167" s="201">
        <f t="shared" si="190"/>
        <v>0</v>
      </c>
      <c r="BC167" s="201"/>
      <c r="BD167" s="223">
        <v>0</v>
      </c>
      <c r="BE167" s="201">
        <f t="shared" si="191"/>
        <v>0</v>
      </c>
      <c r="BF167" s="208"/>
      <c r="BG167" s="201">
        <f t="shared" si="168"/>
        <v>0</v>
      </c>
      <c r="BH167" s="201">
        <f t="shared" si="168"/>
        <v>4293981.8</v>
      </c>
      <c r="BI167" s="201">
        <f t="shared" si="192"/>
        <v>4293981.8</v>
      </c>
      <c r="BJ167" s="201">
        <f t="shared" si="200"/>
        <v>96.40794248548093</v>
      </c>
      <c r="BK167" s="210">
        <v>20</v>
      </c>
      <c r="BL167" s="210">
        <v>60</v>
      </c>
      <c r="BM167" s="211"/>
      <c r="BN167" s="211"/>
      <c r="BO167" s="212">
        <f t="shared" si="193"/>
        <v>0</v>
      </c>
      <c r="BP167" s="201">
        <f t="shared" si="194"/>
        <v>159989.20000000019</v>
      </c>
      <c r="BQ167" s="201">
        <f t="shared" si="196"/>
        <v>159989.20000000019</v>
      </c>
      <c r="BR167" s="201">
        <f t="shared" si="169"/>
        <v>0</v>
      </c>
      <c r="BS167" s="201">
        <f t="shared" si="169"/>
        <v>159989.20000000019</v>
      </c>
      <c r="BT167" s="201">
        <f t="shared" si="197"/>
        <v>159989.20000000019</v>
      </c>
      <c r="BU167" s="213">
        <f t="shared" si="198"/>
        <v>0</v>
      </c>
      <c r="BV167" s="201">
        <f>45779+250</f>
        <v>46029</v>
      </c>
      <c r="BW167" s="201"/>
      <c r="BX167" s="201">
        <f t="shared" si="199"/>
        <v>46029</v>
      </c>
      <c r="BY167" s="199">
        <v>350000</v>
      </c>
      <c r="BZ167" s="199">
        <v>350000</v>
      </c>
      <c r="CA167" s="199">
        <v>350000</v>
      </c>
      <c r="CB167" s="199">
        <v>350000</v>
      </c>
      <c r="CC167" s="199">
        <v>350000</v>
      </c>
      <c r="CD167" s="199">
        <v>350000</v>
      </c>
      <c r="CE167" s="199">
        <v>400000</v>
      </c>
      <c r="CF167" s="199">
        <v>400000</v>
      </c>
      <c r="CG167" s="199">
        <v>400000</v>
      </c>
      <c r="CH167" s="199">
        <v>400000</v>
      </c>
      <c r="CI167" s="199">
        <v>400000</v>
      </c>
      <c r="CJ167" s="199">
        <v>400000</v>
      </c>
      <c r="CK167" s="214" t="s">
        <v>537</v>
      </c>
      <c r="CL167" s="214" t="s">
        <v>276</v>
      </c>
      <c r="CM167" s="211">
        <v>185</v>
      </c>
      <c r="CN167" s="215"/>
      <c r="CO167" s="215"/>
      <c r="CP167" s="216"/>
      <c r="CQ167" s="217"/>
      <c r="CR167" s="211"/>
      <c r="CS167" s="218"/>
      <c r="CT167" s="218"/>
      <c r="CU167" s="218"/>
      <c r="CV167" s="211"/>
      <c r="CW167" s="211"/>
      <c r="CX167" s="211"/>
      <c r="CY167" s="211"/>
      <c r="CZ167" s="211"/>
      <c r="DA167" s="211"/>
      <c r="DB167" s="211"/>
      <c r="DC167" s="219"/>
      <c r="DD167" s="219"/>
      <c r="DE167" s="219"/>
      <c r="DF167" s="211"/>
      <c r="DG167" s="211"/>
      <c r="DH167" s="211"/>
      <c r="DI167" s="211"/>
      <c r="DJ167" s="211"/>
      <c r="DK167" s="220" t="s">
        <v>32</v>
      </c>
      <c r="DT167" s="222"/>
    </row>
    <row r="168" spans="1:124" s="176" customFormat="1" ht="42" x14ac:dyDescent="0.2">
      <c r="A168" s="195" t="s">
        <v>154</v>
      </c>
      <c r="B168" s="197" t="s">
        <v>538</v>
      </c>
      <c r="C168" s="198">
        <v>1</v>
      </c>
      <c r="D168" s="199">
        <v>2700000</v>
      </c>
      <c r="E168" s="198" t="s">
        <v>255</v>
      </c>
      <c r="F168" s="198" t="s">
        <v>256</v>
      </c>
      <c r="G168" s="198" t="s">
        <v>151</v>
      </c>
      <c r="H168" s="200">
        <v>1</v>
      </c>
      <c r="I168" s="199">
        <f t="shared" si="170"/>
        <v>0</v>
      </c>
      <c r="J168" s="199">
        <f t="shared" si="171"/>
        <v>2700000</v>
      </c>
      <c r="K168" s="199">
        <f t="shared" si="172"/>
        <v>2700000</v>
      </c>
      <c r="L168" s="199"/>
      <c r="M168" s="199">
        <v>2700000</v>
      </c>
      <c r="N168" s="199">
        <f t="shared" si="173"/>
        <v>2700000</v>
      </c>
      <c r="O168" s="199"/>
      <c r="P168" s="201">
        <v>0</v>
      </c>
      <c r="Q168" s="202">
        <v>12</v>
      </c>
      <c r="R168" s="203">
        <v>45566</v>
      </c>
      <c r="S168" s="204"/>
      <c r="T168" s="204">
        <v>2700000</v>
      </c>
      <c r="U168" s="204">
        <f t="shared" si="174"/>
        <v>2700000</v>
      </c>
      <c r="V168" s="205">
        <v>1206</v>
      </c>
      <c r="W168" s="200">
        <v>45672</v>
      </c>
      <c r="X168" s="201"/>
      <c r="Y168" s="201">
        <v>-41016</v>
      </c>
      <c r="Z168" s="201">
        <f t="shared" si="175"/>
        <v>-41016</v>
      </c>
      <c r="AA168" s="198">
        <v>1716</v>
      </c>
      <c r="AB168" s="206">
        <v>45723</v>
      </c>
      <c r="AC168" s="207"/>
      <c r="AD168" s="201">
        <v>-3025</v>
      </c>
      <c r="AE168" s="204">
        <f t="shared" si="176"/>
        <v>-3025</v>
      </c>
      <c r="AF168" s="203">
        <f t="shared" si="177"/>
        <v>45566</v>
      </c>
      <c r="AG168" s="201">
        <f t="shared" si="178"/>
        <v>0</v>
      </c>
      <c r="AH168" s="199">
        <f t="shared" si="179"/>
        <v>2655959</v>
      </c>
      <c r="AI168" s="199">
        <f t="shared" si="180"/>
        <v>2655959</v>
      </c>
      <c r="AJ168" s="201">
        <f t="shared" si="167"/>
        <v>0</v>
      </c>
      <c r="AK168" s="201">
        <f t="shared" si="167"/>
        <v>2655959</v>
      </c>
      <c r="AL168" s="201">
        <f t="shared" si="181"/>
        <v>2655959</v>
      </c>
      <c r="AM168" s="198"/>
      <c r="AN168" s="203"/>
      <c r="AO168" s="208"/>
      <c r="AP168" s="201">
        <f t="shared" si="182"/>
        <v>0</v>
      </c>
      <c r="AQ168" s="201">
        <f t="shared" si="183"/>
        <v>1748058.1</v>
      </c>
      <c r="AR168" s="201">
        <f t="shared" si="184"/>
        <v>1748058.1</v>
      </c>
      <c r="AS168" s="201">
        <f t="shared" si="185"/>
        <v>65.816456504034889</v>
      </c>
      <c r="AT168" s="201"/>
      <c r="AU168" s="223">
        <v>1748058.1</v>
      </c>
      <c r="AV168" s="201">
        <f t="shared" si="186"/>
        <v>1748058.1</v>
      </c>
      <c r="AW168" s="201">
        <f t="shared" si="195"/>
        <v>9.4127959053584789</v>
      </c>
      <c r="AX168" s="201">
        <f t="shared" si="187"/>
        <v>65.816456504034889</v>
      </c>
      <c r="AY168" s="208"/>
      <c r="AZ168" s="201">
        <f t="shared" si="188"/>
        <v>0</v>
      </c>
      <c r="BA168" s="201">
        <f t="shared" si="189"/>
        <v>0</v>
      </c>
      <c r="BB168" s="201">
        <f t="shared" si="190"/>
        <v>0</v>
      </c>
      <c r="BC168" s="201"/>
      <c r="BD168" s="223">
        <v>0</v>
      </c>
      <c r="BE168" s="201">
        <f t="shared" si="191"/>
        <v>0</v>
      </c>
      <c r="BF168" s="208"/>
      <c r="BG168" s="201">
        <f t="shared" si="168"/>
        <v>0</v>
      </c>
      <c r="BH168" s="201">
        <f t="shared" si="168"/>
        <v>1748058.1</v>
      </c>
      <c r="BI168" s="201">
        <f t="shared" si="192"/>
        <v>1748058.1</v>
      </c>
      <c r="BJ168" s="201">
        <f t="shared" si="200"/>
        <v>65.816456504034889</v>
      </c>
      <c r="BK168" s="210">
        <v>20</v>
      </c>
      <c r="BL168" s="210">
        <v>45</v>
      </c>
      <c r="BM168" s="211"/>
      <c r="BN168" s="211"/>
      <c r="BO168" s="212">
        <f t="shared" si="193"/>
        <v>0</v>
      </c>
      <c r="BP168" s="201">
        <f t="shared" si="194"/>
        <v>907900.89999999991</v>
      </c>
      <c r="BQ168" s="201">
        <f t="shared" si="196"/>
        <v>907900.89999999991</v>
      </c>
      <c r="BR168" s="201">
        <f t="shared" si="169"/>
        <v>0</v>
      </c>
      <c r="BS168" s="201">
        <f t="shared" si="169"/>
        <v>907900.89999999991</v>
      </c>
      <c r="BT168" s="201">
        <f t="shared" si="197"/>
        <v>907900.89999999991</v>
      </c>
      <c r="BU168" s="213">
        <f t="shared" si="198"/>
        <v>0</v>
      </c>
      <c r="BV168" s="201">
        <f>41016+3025</f>
        <v>44041</v>
      </c>
      <c r="BW168" s="201"/>
      <c r="BX168" s="201">
        <f t="shared" si="199"/>
        <v>44041</v>
      </c>
      <c r="BY168" s="199">
        <v>200000</v>
      </c>
      <c r="BZ168" s="199">
        <v>200000</v>
      </c>
      <c r="CA168" s="199">
        <v>200000</v>
      </c>
      <c r="CB168" s="199">
        <v>200000</v>
      </c>
      <c r="CC168" s="199">
        <v>250000</v>
      </c>
      <c r="CD168" s="199">
        <v>300000</v>
      </c>
      <c r="CE168" s="199">
        <v>300000</v>
      </c>
      <c r="CF168" s="199">
        <v>250000</v>
      </c>
      <c r="CG168" s="199">
        <v>200000</v>
      </c>
      <c r="CH168" s="199">
        <v>200000</v>
      </c>
      <c r="CI168" s="199">
        <v>200000</v>
      </c>
      <c r="CJ168" s="199">
        <v>200000</v>
      </c>
      <c r="CK168" s="214" t="s">
        <v>539</v>
      </c>
      <c r="CL168" s="214" t="s">
        <v>276</v>
      </c>
      <c r="CM168" s="211">
        <v>185</v>
      </c>
      <c r="CN168" s="215"/>
      <c r="CO168" s="215"/>
      <c r="CP168" s="216"/>
      <c r="CQ168" s="217"/>
      <c r="CR168" s="211"/>
      <c r="CS168" s="218"/>
      <c r="CT168" s="218"/>
      <c r="CU168" s="218"/>
      <c r="CV168" s="211"/>
      <c r="CW168" s="211"/>
      <c r="CX168" s="211"/>
      <c r="CY168" s="211"/>
      <c r="CZ168" s="211"/>
      <c r="DA168" s="211"/>
      <c r="DB168" s="211"/>
      <c r="DC168" s="219"/>
      <c r="DD168" s="219"/>
      <c r="DE168" s="219"/>
      <c r="DF168" s="211"/>
      <c r="DG168" s="211"/>
      <c r="DH168" s="211"/>
      <c r="DI168" s="211"/>
      <c r="DJ168" s="211"/>
      <c r="DK168" s="220" t="s">
        <v>32</v>
      </c>
      <c r="DT168" s="222"/>
    </row>
    <row r="169" spans="1:124" s="176" customFormat="1" ht="63" x14ac:dyDescent="0.2">
      <c r="A169" s="195" t="s">
        <v>154</v>
      </c>
      <c r="B169" s="197" t="s">
        <v>540</v>
      </c>
      <c r="C169" s="198">
        <v>1</v>
      </c>
      <c r="D169" s="199">
        <v>2900000</v>
      </c>
      <c r="E169" s="198" t="s">
        <v>541</v>
      </c>
      <c r="F169" s="198" t="s">
        <v>541</v>
      </c>
      <c r="G169" s="198" t="s">
        <v>151</v>
      </c>
      <c r="H169" s="200">
        <v>1</v>
      </c>
      <c r="I169" s="199">
        <f t="shared" si="170"/>
        <v>0</v>
      </c>
      <c r="J169" s="199">
        <f t="shared" si="171"/>
        <v>2900000</v>
      </c>
      <c r="K169" s="199">
        <f t="shared" si="172"/>
        <v>2900000</v>
      </c>
      <c r="L169" s="199"/>
      <c r="M169" s="199">
        <v>2900000</v>
      </c>
      <c r="N169" s="199">
        <f t="shared" si="173"/>
        <v>2900000</v>
      </c>
      <c r="O169" s="199"/>
      <c r="P169" s="201">
        <v>0</v>
      </c>
      <c r="Q169" s="202">
        <v>12</v>
      </c>
      <c r="R169" s="203">
        <v>45566</v>
      </c>
      <c r="S169" s="204"/>
      <c r="T169" s="204">
        <v>2900000</v>
      </c>
      <c r="U169" s="204">
        <f t="shared" si="174"/>
        <v>2900000</v>
      </c>
      <c r="V169" s="205">
        <v>690</v>
      </c>
      <c r="W169" s="200">
        <v>45622</v>
      </c>
      <c r="X169" s="201"/>
      <c r="Y169" s="201">
        <v>-1020</v>
      </c>
      <c r="Z169" s="201">
        <f t="shared" si="175"/>
        <v>-1020</v>
      </c>
      <c r="AA169" s="198">
        <v>1206</v>
      </c>
      <c r="AB169" s="206">
        <v>45672</v>
      </c>
      <c r="AC169" s="207"/>
      <c r="AD169" s="201">
        <v>-33684</v>
      </c>
      <c r="AE169" s="204">
        <f t="shared" si="176"/>
        <v>-33684</v>
      </c>
      <c r="AF169" s="203">
        <f t="shared" si="177"/>
        <v>45566</v>
      </c>
      <c r="AG169" s="201">
        <f t="shared" si="178"/>
        <v>0</v>
      </c>
      <c r="AH169" s="199">
        <f t="shared" si="179"/>
        <v>2865296</v>
      </c>
      <c r="AI169" s="199">
        <f t="shared" si="180"/>
        <v>2865296</v>
      </c>
      <c r="AJ169" s="201">
        <f t="shared" si="167"/>
        <v>0</v>
      </c>
      <c r="AK169" s="201">
        <f t="shared" si="167"/>
        <v>2865296</v>
      </c>
      <c r="AL169" s="201">
        <f t="shared" si="181"/>
        <v>2865296</v>
      </c>
      <c r="AM169" s="198"/>
      <c r="AN169" s="203"/>
      <c r="AO169" s="208"/>
      <c r="AP169" s="201">
        <f t="shared" si="182"/>
        <v>0</v>
      </c>
      <c r="AQ169" s="201">
        <f t="shared" si="183"/>
        <v>2862397.75</v>
      </c>
      <c r="AR169" s="201">
        <f t="shared" si="184"/>
        <v>2862397.75</v>
      </c>
      <c r="AS169" s="201">
        <f t="shared" si="185"/>
        <v>99.898849891948331</v>
      </c>
      <c r="AT169" s="201"/>
      <c r="AU169" s="223">
        <v>2862397.75</v>
      </c>
      <c r="AV169" s="201">
        <f t="shared" si="186"/>
        <v>2862397.75</v>
      </c>
      <c r="AW169" s="201">
        <f t="shared" si="195"/>
        <v>0</v>
      </c>
      <c r="AX169" s="201">
        <f t="shared" si="187"/>
        <v>99.898849891948331</v>
      </c>
      <c r="AY169" s="208"/>
      <c r="AZ169" s="201">
        <f t="shared" si="188"/>
        <v>0</v>
      </c>
      <c r="BA169" s="201">
        <f t="shared" si="189"/>
        <v>0</v>
      </c>
      <c r="BB169" s="201">
        <f t="shared" si="190"/>
        <v>0</v>
      </c>
      <c r="BC169" s="201"/>
      <c r="BD169" s="223">
        <v>0</v>
      </c>
      <c r="BE169" s="201">
        <f t="shared" si="191"/>
        <v>0</v>
      </c>
      <c r="BF169" s="208"/>
      <c r="BG169" s="201">
        <f t="shared" si="168"/>
        <v>0</v>
      </c>
      <c r="BH169" s="201">
        <f t="shared" si="168"/>
        <v>2862397.75</v>
      </c>
      <c r="BI169" s="201">
        <f t="shared" si="192"/>
        <v>2862397.75</v>
      </c>
      <c r="BJ169" s="201">
        <f t="shared" si="200"/>
        <v>99.898849891948331</v>
      </c>
      <c r="BK169" s="210">
        <v>12.54</v>
      </c>
      <c r="BL169" s="210">
        <v>85</v>
      </c>
      <c r="BM169" s="211"/>
      <c r="BN169" s="211"/>
      <c r="BO169" s="212">
        <f t="shared" si="193"/>
        <v>0</v>
      </c>
      <c r="BP169" s="201">
        <f t="shared" si="194"/>
        <v>2898.25</v>
      </c>
      <c r="BQ169" s="201">
        <f t="shared" si="196"/>
        <v>2898.25</v>
      </c>
      <c r="BR169" s="201">
        <f t="shared" si="169"/>
        <v>0</v>
      </c>
      <c r="BS169" s="201">
        <f t="shared" si="169"/>
        <v>2898.25</v>
      </c>
      <c r="BT169" s="201">
        <f t="shared" si="197"/>
        <v>2898.25</v>
      </c>
      <c r="BU169" s="213">
        <f t="shared" si="198"/>
        <v>0</v>
      </c>
      <c r="BV169" s="201">
        <f>1020+33684</f>
        <v>34704</v>
      </c>
      <c r="BW169" s="201"/>
      <c r="BX169" s="201">
        <f t="shared" si="199"/>
        <v>34704</v>
      </c>
      <c r="BY169" s="199">
        <v>145000</v>
      </c>
      <c r="BZ169" s="199">
        <v>580000</v>
      </c>
      <c r="CA169" s="199">
        <v>580000</v>
      </c>
      <c r="CB169" s="199">
        <v>580000</v>
      </c>
      <c r="CC169" s="199">
        <v>580000</v>
      </c>
      <c r="CD169" s="199">
        <v>435000</v>
      </c>
      <c r="CE169" s="199">
        <v>0</v>
      </c>
      <c r="CF169" s="199">
        <v>0</v>
      </c>
      <c r="CG169" s="199">
        <v>0</v>
      </c>
      <c r="CH169" s="199">
        <v>0</v>
      </c>
      <c r="CI169" s="199">
        <v>0</v>
      </c>
      <c r="CJ169" s="199">
        <v>0</v>
      </c>
      <c r="CK169" s="214" t="s">
        <v>542</v>
      </c>
      <c r="CL169" s="214" t="s">
        <v>276</v>
      </c>
      <c r="CM169" s="211">
        <v>185</v>
      </c>
      <c r="CN169" s="215"/>
      <c r="CO169" s="215"/>
      <c r="CP169" s="216"/>
      <c r="CQ169" s="217"/>
      <c r="CR169" s="211"/>
      <c r="CS169" s="218"/>
      <c r="CT169" s="218"/>
      <c r="CU169" s="218"/>
      <c r="CV169" s="211"/>
      <c r="CW169" s="211"/>
      <c r="CX169" s="211"/>
      <c r="CY169" s="211"/>
      <c r="CZ169" s="211"/>
      <c r="DA169" s="211"/>
      <c r="DB169" s="211"/>
      <c r="DC169" s="219"/>
      <c r="DD169" s="219"/>
      <c r="DE169" s="219"/>
      <c r="DF169" s="211"/>
      <c r="DG169" s="211"/>
      <c r="DH169" s="211"/>
      <c r="DI169" s="211"/>
      <c r="DJ169" s="211"/>
      <c r="DK169" s="220" t="s">
        <v>32</v>
      </c>
      <c r="DT169" s="222"/>
    </row>
    <row r="170" spans="1:124" s="176" customFormat="1" ht="42" x14ac:dyDescent="0.2">
      <c r="A170" s="195" t="s">
        <v>154</v>
      </c>
      <c r="B170" s="197" t="s">
        <v>543</v>
      </c>
      <c r="C170" s="198">
        <v>1</v>
      </c>
      <c r="D170" s="199">
        <v>800000</v>
      </c>
      <c r="E170" s="198" t="s">
        <v>544</v>
      </c>
      <c r="F170" s="198" t="s">
        <v>545</v>
      </c>
      <c r="G170" s="198" t="s">
        <v>151</v>
      </c>
      <c r="H170" s="200">
        <v>1</v>
      </c>
      <c r="I170" s="199">
        <f t="shared" si="170"/>
        <v>0</v>
      </c>
      <c r="J170" s="199">
        <f t="shared" si="171"/>
        <v>800000</v>
      </c>
      <c r="K170" s="199">
        <f t="shared" si="172"/>
        <v>800000</v>
      </c>
      <c r="L170" s="199"/>
      <c r="M170" s="199">
        <v>800000</v>
      </c>
      <c r="N170" s="199">
        <f t="shared" si="173"/>
        <v>800000</v>
      </c>
      <c r="O170" s="199"/>
      <c r="P170" s="201">
        <v>0</v>
      </c>
      <c r="Q170" s="202">
        <v>12</v>
      </c>
      <c r="R170" s="203">
        <v>45566</v>
      </c>
      <c r="S170" s="204"/>
      <c r="T170" s="204">
        <v>800000</v>
      </c>
      <c r="U170" s="204">
        <f t="shared" si="174"/>
        <v>800000</v>
      </c>
      <c r="V170" s="205">
        <v>1206</v>
      </c>
      <c r="W170" s="200">
        <v>45672</v>
      </c>
      <c r="X170" s="201"/>
      <c r="Y170" s="201">
        <v>-2084</v>
      </c>
      <c r="Z170" s="201">
        <f t="shared" si="175"/>
        <v>-2084</v>
      </c>
      <c r="AA170" s="198">
        <v>2399</v>
      </c>
      <c r="AB170" s="206">
        <v>45814</v>
      </c>
      <c r="AC170" s="207"/>
      <c r="AD170" s="201">
        <v>-405.05</v>
      </c>
      <c r="AE170" s="204">
        <f t="shared" si="176"/>
        <v>-405.05</v>
      </c>
      <c r="AF170" s="203">
        <f t="shared" si="177"/>
        <v>45566</v>
      </c>
      <c r="AG170" s="201">
        <f t="shared" si="178"/>
        <v>0</v>
      </c>
      <c r="AH170" s="199">
        <f t="shared" si="179"/>
        <v>797510.95</v>
      </c>
      <c r="AI170" s="199">
        <f t="shared" si="180"/>
        <v>797510.95</v>
      </c>
      <c r="AJ170" s="201">
        <f t="shared" si="167"/>
        <v>0</v>
      </c>
      <c r="AK170" s="201">
        <f t="shared" si="167"/>
        <v>797510.95</v>
      </c>
      <c r="AL170" s="201">
        <f t="shared" si="181"/>
        <v>797510.95</v>
      </c>
      <c r="AM170" s="198"/>
      <c r="AN170" s="203"/>
      <c r="AO170" s="208"/>
      <c r="AP170" s="201">
        <f t="shared" si="182"/>
        <v>0</v>
      </c>
      <c r="AQ170" s="201">
        <f t="shared" si="183"/>
        <v>797510.95</v>
      </c>
      <c r="AR170" s="201">
        <f t="shared" si="184"/>
        <v>797510.95</v>
      </c>
      <c r="AS170" s="201">
        <f t="shared" si="185"/>
        <v>100</v>
      </c>
      <c r="AT170" s="201"/>
      <c r="AU170" s="209">
        <v>797510.95</v>
      </c>
      <c r="AV170" s="201">
        <f t="shared" si="186"/>
        <v>797510.95</v>
      </c>
      <c r="AW170" s="201">
        <f t="shared" si="195"/>
        <v>12.539012787222546</v>
      </c>
      <c r="AX170" s="201">
        <f t="shared" si="187"/>
        <v>100</v>
      </c>
      <c r="AY170" s="208"/>
      <c r="AZ170" s="201">
        <f t="shared" si="188"/>
        <v>0</v>
      </c>
      <c r="BA170" s="201">
        <f t="shared" si="189"/>
        <v>0</v>
      </c>
      <c r="BB170" s="201">
        <f t="shared" si="190"/>
        <v>0</v>
      </c>
      <c r="BC170" s="201"/>
      <c r="BD170" s="209">
        <v>0</v>
      </c>
      <c r="BE170" s="201">
        <f t="shared" si="191"/>
        <v>0</v>
      </c>
      <c r="BF170" s="208"/>
      <c r="BG170" s="201">
        <f t="shared" si="168"/>
        <v>0</v>
      </c>
      <c r="BH170" s="201">
        <f t="shared" si="168"/>
        <v>797510.95</v>
      </c>
      <c r="BI170" s="201">
        <f t="shared" si="192"/>
        <v>797510.95</v>
      </c>
      <c r="BJ170" s="201">
        <f t="shared" si="200"/>
        <v>100</v>
      </c>
      <c r="BK170" s="210">
        <v>20</v>
      </c>
      <c r="BL170" s="210">
        <v>100</v>
      </c>
      <c r="BM170" s="211"/>
      <c r="BN170" s="211"/>
      <c r="BO170" s="212">
        <f t="shared" si="193"/>
        <v>0</v>
      </c>
      <c r="BP170" s="201">
        <f t="shared" si="194"/>
        <v>0</v>
      </c>
      <c r="BQ170" s="201">
        <f t="shared" si="196"/>
        <v>0</v>
      </c>
      <c r="BR170" s="201">
        <f t="shared" si="169"/>
        <v>0</v>
      </c>
      <c r="BS170" s="201">
        <f t="shared" si="169"/>
        <v>0</v>
      </c>
      <c r="BT170" s="201">
        <f t="shared" si="197"/>
        <v>0</v>
      </c>
      <c r="BU170" s="213">
        <f t="shared" si="198"/>
        <v>0</v>
      </c>
      <c r="BV170" s="201">
        <f>2084+405.05</f>
        <v>2489.0500000000002</v>
      </c>
      <c r="BW170" s="201"/>
      <c r="BX170" s="201">
        <f t="shared" si="199"/>
        <v>2489.0500000000002</v>
      </c>
      <c r="BY170" s="199">
        <v>50000</v>
      </c>
      <c r="BZ170" s="199">
        <v>50000</v>
      </c>
      <c r="CA170" s="199">
        <v>50000</v>
      </c>
      <c r="CB170" s="199">
        <v>50000</v>
      </c>
      <c r="CC170" s="199">
        <v>100000</v>
      </c>
      <c r="CD170" s="199">
        <v>100000</v>
      </c>
      <c r="CE170" s="199">
        <v>100000</v>
      </c>
      <c r="CF170" s="199">
        <v>100000</v>
      </c>
      <c r="CG170" s="199">
        <v>50000</v>
      </c>
      <c r="CH170" s="199">
        <v>50000</v>
      </c>
      <c r="CI170" s="199">
        <v>50000</v>
      </c>
      <c r="CJ170" s="199">
        <v>50000</v>
      </c>
      <c r="CK170" s="214" t="s">
        <v>546</v>
      </c>
      <c r="CL170" s="214" t="s">
        <v>276</v>
      </c>
      <c r="CM170" s="211">
        <v>185</v>
      </c>
      <c r="CN170" s="215"/>
      <c r="CO170" s="215"/>
      <c r="CP170" s="216"/>
      <c r="CQ170" s="217"/>
      <c r="CR170" s="211"/>
      <c r="CS170" s="218"/>
      <c r="CT170" s="218"/>
      <c r="CU170" s="218"/>
      <c r="CV170" s="211"/>
      <c r="CW170" s="211"/>
      <c r="CX170" s="211"/>
      <c r="CY170" s="211"/>
      <c r="CZ170" s="211"/>
      <c r="DA170" s="211"/>
      <c r="DB170" s="211"/>
      <c r="DC170" s="219"/>
      <c r="DD170" s="219"/>
      <c r="DE170" s="219"/>
      <c r="DF170" s="211"/>
      <c r="DG170" s="211"/>
      <c r="DH170" s="211"/>
      <c r="DI170" s="211"/>
      <c r="DJ170" s="211"/>
      <c r="DK170" s="220" t="s">
        <v>32</v>
      </c>
      <c r="DT170" s="222"/>
    </row>
    <row r="171" spans="1:124" s="176" customFormat="1" ht="42" x14ac:dyDescent="0.2">
      <c r="A171" s="195" t="s">
        <v>154</v>
      </c>
      <c r="B171" s="197" t="s">
        <v>547</v>
      </c>
      <c r="C171" s="198">
        <v>1</v>
      </c>
      <c r="D171" s="199">
        <v>250000</v>
      </c>
      <c r="E171" s="198" t="s">
        <v>548</v>
      </c>
      <c r="F171" s="198" t="s">
        <v>150</v>
      </c>
      <c r="G171" s="198" t="s">
        <v>151</v>
      </c>
      <c r="H171" s="200">
        <v>1</v>
      </c>
      <c r="I171" s="199">
        <f t="shared" si="170"/>
        <v>0</v>
      </c>
      <c r="J171" s="199">
        <f t="shared" si="171"/>
        <v>250000</v>
      </c>
      <c r="K171" s="199">
        <f t="shared" si="172"/>
        <v>250000</v>
      </c>
      <c r="L171" s="199"/>
      <c r="M171" s="199">
        <v>250000</v>
      </c>
      <c r="N171" s="199">
        <f t="shared" si="173"/>
        <v>250000</v>
      </c>
      <c r="O171" s="199"/>
      <c r="P171" s="201">
        <v>0</v>
      </c>
      <c r="Q171" s="202">
        <v>12</v>
      </c>
      <c r="R171" s="203">
        <v>45566</v>
      </c>
      <c r="S171" s="204"/>
      <c r="T171" s="204">
        <v>250000</v>
      </c>
      <c r="U171" s="204">
        <f t="shared" si="174"/>
        <v>250000</v>
      </c>
      <c r="V171" s="205">
        <v>1206</v>
      </c>
      <c r="W171" s="200">
        <v>45672</v>
      </c>
      <c r="X171" s="201"/>
      <c r="Y171" s="201">
        <v>-34193.800000000003</v>
      </c>
      <c r="Z171" s="201">
        <f t="shared" si="175"/>
        <v>-34193.800000000003</v>
      </c>
      <c r="AA171" s="198">
        <v>1716</v>
      </c>
      <c r="AB171" s="206">
        <v>45723</v>
      </c>
      <c r="AC171" s="207"/>
      <c r="AD171" s="201">
        <v>-315</v>
      </c>
      <c r="AE171" s="204">
        <f t="shared" si="176"/>
        <v>-315</v>
      </c>
      <c r="AF171" s="203">
        <f t="shared" si="177"/>
        <v>45566</v>
      </c>
      <c r="AG171" s="201">
        <f t="shared" si="178"/>
        <v>0</v>
      </c>
      <c r="AH171" s="199">
        <f t="shared" si="179"/>
        <v>215491.20000000001</v>
      </c>
      <c r="AI171" s="199">
        <f t="shared" si="180"/>
        <v>215491.20000000001</v>
      </c>
      <c r="AJ171" s="201">
        <f t="shared" si="167"/>
        <v>0</v>
      </c>
      <c r="AK171" s="201">
        <f t="shared" si="167"/>
        <v>215491.20000000001</v>
      </c>
      <c r="AL171" s="201">
        <f t="shared" si="181"/>
        <v>215491.20000000001</v>
      </c>
      <c r="AM171" s="198"/>
      <c r="AN171" s="203"/>
      <c r="AO171" s="208"/>
      <c r="AP171" s="201">
        <f t="shared" si="182"/>
        <v>0</v>
      </c>
      <c r="AQ171" s="201">
        <f t="shared" si="183"/>
        <v>215491.20000000001</v>
      </c>
      <c r="AR171" s="201">
        <f t="shared" si="184"/>
        <v>215491.20000000001</v>
      </c>
      <c r="AS171" s="201">
        <f t="shared" si="185"/>
        <v>100</v>
      </c>
      <c r="AT171" s="201"/>
      <c r="AU171" s="223">
        <v>215491.20000000001</v>
      </c>
      <c r="AV171" s="201">
        <f t="shared" si="186"/>
        <v>215491.20000000001</v>
      </c>
      <c r="AW171" s="201">
        <f t="shared" si="195"/>
        <v>0</v>
      </c>
      <c r="AX171" s="201">
        <f t="shared" si="187"/>
        <v>100</v>
      </c>
      <c r="AY171" s="208"/>
      <c r="AZ171" s="201">
        <f t="shared" si="188"/>
        <v>0</v>
      </c>
      <c r="BA171" s="201">
        <f t="shared" si="189"/>
        <v>0</v>
      </c>
      <c r="BB171" s="201">
        <f t="shared" si="190"/>
        <v>0</v>
      </c>
      <c r="BC171" s="201"/>
      <c r="BD171" s="209">
        <v>0</v>
      </c>
      <c r="BE171" s="201">
        <f t="shared" si="191"/>
        <v>0</v>
      </c>
      <c r="BF171" s="208"/>
      <c r="BG171" s="201">
        <f t="shared" si="168"/>
        <v>0</v>
      </c>
      <c r="BH171" s="201">
        <f t="shared" si="168"/>
        <v>215491.20000000001</v>
      </c>
      <c r="BI171" s="201">
        <f t="shared" si="192"/>
        <v>215491.20000000001</v>
      </c>
      <c r="BJ171" s="201">
        <f t="shared" si="200"/>
        <v>100</v>
      </c>
      <c r="BK171" s="210">
        <v>25</v>
      </c>
      <c r="BL171" s="210">
        <v>100</v>
      </c>
      <c r="BM171" s="211"/>
      <c r="BN171" s="211"/>
      <c r="BO171" s="212">
        <f t="shared" si="193"/>
        <v>0</v>
      </c>
      <c r="BP171" s="201">
        <f t="shared" si="194"/>
        <v>0</v>
      </c>
      <c r="BQ171" s="201">
        <f t="shared" si="196"/>
        <v>0</v>
      </c>
      <c r="BR171" s="201">
        <f t="shared" si="169"/>
        <v>0</v>
      </c>
      <c r="BS171" s="201">
        <f t="shared" si="169"/>
        <v>0</v>
      </c>
      <c r="BT171" s="201">
        <f t="shared" si="197"/>
        <v>0</v>
      </c>
      <c r="BU171" s="213">
        <f t="shared" si="198"/>
        <v>0</v>
      </c>
      <c r="BV171" s="201">
        <f>34193.8+315</f>
        <v>34508.800000000003</v>
      </c>
      <c r="BW171" s="201"/>
      <c r="BX171" s="201">
        <f t="shared" si="199"/>
        <v>34508.800000000003</v>
      </c>
      <c r="BY171" s="199">
        <v>62500</v>
      </c>
      <c r="BZ171" s="199">
        <v>62500</v>
      </c>
      <c r="CA171" s="199">
        <v>62500</v>
      </c>
      <c r="CB171" s="199">
        <v>62500</v>
      </c>
      <c r="CC171" s="199">
        <v>0</v>
      </c>
      <c r="CD171" s="199">
        <v>0</v>
      </c>
      <c r="CE171" s="199">
        <v>0</v>
      </c>
      <c r="CF171" s="199">
        <v>0</v>
      </c>
      <c r="CG171" s="199">
        <v>0</v>
      </c>
      <c r="CH171" s="199">
        <v>0</v>
      </c>
      <c r="CI171" s="199">
        <v>0</v>
      </c>
      <c r="CJ171" s="199">
        <v>0</v>
      </c>
      <c r="CK171" s="214" t="s">
        <v>549</v>
      </c>
      <c r="CL171" s="214" t="s">
        <v>276</v>
      </c>
      <c r="CM171" s="211">
        <v>185</v>
      </c>
      <c r="CN171" s="215"/>
      <c r="CO171" s="215"/>
      <c r="CP171" s="216"/>
      <c r="CQ171" s="217"/>
      <c r="CR171" s="211"/>
      <c r="CS171" s="218"/>
      <c r="CT171" s="218"/>
      <c r="CU171" s="218"/>
      <c r="CV171" s="211"/>
      <c r="CW171" s="211"/>
      <c r="CX171" s="211"/>
      <c r="CY171" s="211"/>
      <c r="CZ171" s="211"/>
      <c r="DA171" s="211"/>
      <c r="DB171" s="211"/>
      <c r="DC171" s="219"/>
      <c r="DD171" s="219"/>
      <c r="DE171" s="219"/>
      <c r="DF171" s="211"/>
      <c r="DG171" s="211"/>
      <c r="DH171" s="211"/>
      <c r="DI171" s="211"/>
      <c r="DJ171" s="211"/>
      <c r="DK171" s="220" t="s">
        <v>32</v>
      </c>
      <c r="DT171" s="222"/>
    </row>
    <row r="172" spans="1:124" s="176" customFormat="1" ht="42" x14ac:dyDescent="0.2">
      <c r="A172" s="195" t="s">
        <v>154</v>
      </c>
      <c r="B172" s="197" t="s">
        <v>550</v>
      </c>
      <c r="C172" s="198">
        <v>1</v>
      </c>
      <c r="D172" s="199">
        <v>350000</v>
      </c>
      <c r="E172" s="198" t="s">
        <v>551</v>
      </c>
      <c r="F172" s="198" t="s">
        <v>541</v>
      </c>
      <c r="G172" s="198" t="s">
        <v>151</v>
      </c>
      <c r="H172" s="200">
        <v>1</v>
      </c>
      <c r="I172" s="199">
        <f t="shared" si="170"/>
        <v>0</v>
      </c>
      <c r="J172" s="199">
        <f t="shared" si="171"/>
        <v>350000</v>
      </c>
      <c r="K172" s="199">
        <f t="shared" si="172"/>
        <v>350000</v>
      </c>
      <c r="L172" s="199"/>
      <c r="M172" s="199">
        <v>350000</v>
      </c>
      <c r="N172" s="199">
        <f t="shared" si="173"/>
        <v>350000</v>
      </c>
      <c r="O172" s="199"/>
      <c r="P172" s="201">
        <v>0</v>
      </c>
      <c r="Q172" s="202">
        <v>12</v>
      </c>
      <c r="R172" s="203">
        <v>45566</v>
      </c>
      <c r="S172" s="204"/>
      <c r="T172" s="204">
        <v>350000</v>
      </c>
      <c r="U172" s="204">
        <f t="shared" si="174"/>
        <v>350000</v>
      </c>
      <c r="V172" s="205">
        <v>1206</v>
      </c>
      <c r="W172" s="200">
        <v>45672</v>
      </c>
      <c r="X172" s="201"/>
      <c r="Y172" s="201">
        <v>-24598.89</v>
      </c>
      <c r="Z172" s="201">
        <f t="shared" si="175"/>
        <v>-24598.89</v>
      </c>
      <c r="AA172" s="198">
        <v>1716</v>
      </c>
      <c r="AB172" s="206">
        <v>45723</v>
      </c>
      <c r="AC172" s="207"/>
      <c r="AD172" s="201">
        <v>-151</v>
      </c>
      <c r="AE172" s="204">
        <f t="shared" si="176"/>
        <v>-151</v>
      </c>
      <c r="AF172" s="203">
        <f t="shared" si="177"/>
        <v>45566</v>
      </c>
      <c r="AG172" s="201">
        <f t="shared" si="178"/>
        <v>0</v>
      </c>
      <c r="AH172" s="199">
        <f t="shared" si="179"/>
        <v>325250.11</v>
      </c>
      <c r="AI172" s="199">
        <f t="shared" si="180"/>
        <v>325250.11</v>
      </c>
      <c r="AJ172" s="201">
        <f t="shared" si="167"/>
        <v>0</v>
      </c>
      <c r="AK172" s="201">
        <f t="shared" si="167"/>
        <v>325250.11</v>
      </c>
      <c r="AL172" s="201">
        <f t="shared" si="181"/>
        <v>325250.11</v>
      </c>
      <c r="AM172" s="198"/>
      <c r="AN172" s="203"/>
      <c r="AO172" s="208"/>
      <c r="AP172" s="201">
        <f t="shared" si="182"/>
        <v>0</v>
      </c>
      <c r="AQ172" s="201">
        <f t="shared" si="183"/>
        <v>325250.11</v>
      </c>
      <c r="AR172" s="201">
        <f t="shared" si="184"/>
        <v>325250.11</v>
      </c>
      <c r="AS172" s="201">
        <f t="shared" si="185"/>
        <v>100</v>
      </c>
      <c r="AT172" s="201"/>
      <c r="AU172" s="223">
        <v>325250.11</v>
      </c>
      <c r="AV172" s="201">
        <f t="shared" si="186"/>
        <v>325250.11</v>
      </c>
      <c r="AW172" s="201">
        <f t="shared" si="195"/>
        <v>0</v>
      </c>
      <c r="AX172" s="201">
        <f t="shared" si="187"/>
        <v>100</v>
      </c>
      <c r="AY172" s="208"/>
      <c r="AZ172" s="201">
        <f t="shared" si="188"/>
        <v>0</v>
      </c>
      <c r="BA172" s="201">
        <f t="shared" si="189"/>
        <v>0</v>
      </c>
      <c r="BB172" s="201">
        <f t="shared" si="190"/>
        <v>0</v>
      </c>
      <c r="BC172" s="201"/>
      <c r="BD172" s="209">
        <v>0</v>
      </c>
      <c r="BE172" s="201">
        <f t="shared" si="191"/>
        <v>0</v>
      </c>
      <c r="BF172" s="208"/>
      <c r="BG172" s="201">
        <f t="shared" si="168"/>
        <v>0</v>
      </c>
      <c r="BH172" s="201">
        <f t="shared" si="168"/>
        <v>325250.11</v>
      </c>
      <c r="BI172" s="201">
        <f t="shared" si="192"/>
        <v>325250.11</v>
      </c>
      <c r="BJ172" s="201">
        <f t="shared" si="200"/>
        <v>100</v>
      </c>
      <c r="BK172" s="210">
        <v>45</v>
      </c>
      <c r="BL172" s="210">
        <v>100</v>
      </c>
      <c r="BM172" s="211"/>
      <c r="BN172" s="211"/>
      <c r="BO172" s="212">
        <f t="shared" si="193"/>
        <v>0</v>
      </c>
      <c r="BP172" s="201">
        <f t="shared" si="194"/>
        <v>0</v>
      </c>
      <c r="BQ172" s="201">
        <f t="shared" si="196"/>
        <v>0</v>
      </c>
      <c r="BR172" s="201">
        <f t="shared" si="169"/>
        <v>0</v>
      </c>
      <c r="BS172" s="201">
        <f t="shared" si="169"/>
        <v>0</v>
      </c>
      <c r="BT172" s="201">
        <f t="shared" si="197"/>
        <v>0</v>
      </c>
      <c r="BU172" s="213">
        <f t="shared" si="198"/>
        <v>0</v>
      </c>
      <c r="BV172" s="201">
        <f>24598.89+151</f>
        <v>24749.89</v>
      </c>
      <c r="BW172" s="201"/>
      <c r="BX172" s="201">
        <f t="shared" si="199"/>
        <v>24749.89</v>
      </c>
      <c r="BY172" s="199">
        <v>87500</v>
      </c>
      <c r="BZ172" s="199">
        <v>87500</v>
      </c>
      <c r="CA172" s="199">
        <v>87500</v>
      </c>
      <c r="CB172" s="199">
        <v>87500</v>
      </c>
      <c r="CC172" s="199">
        <v>0</v>
      </c>
      <c r="CD172" s="199">
        <v>0</v>
      </c>
      <c r="CE172" s="199">
        <v>0</v>
      </c>
      <c r="CF172" s="199">
        <v>0</v>
      </c>
      <c r="CG172" s="199">
        <v>0</v>
      </c>
      <c r="CH172" s="199">
        <v>0</v>
      </c>
      <c r="CI172" s="199">
        <v>0</v>
      </c>
      <c r="CJ172" s="199">
        <v>0</v>
      </c>
      <c r="CK172" s="214" t="s">
        <v>552</v>
      </c>
      <c r="CL172" s="214" t="s">
        <v>276</v>
      </c>
      <c r="CM172" s="211">
        <v>185</v>
      </c>
      <c r="CN172" s="215"/>
      <c r="CO172" s="215"/>
      <c r="CP172" s="216"/>
      <c r="CQ172" s="217"/>
      <c r="CR172" s="211"/>
      <c r="CS172" s="218"/>
      <c r="CT172" s="218"/>
      <c r="CU172" s="218"/>
      <c r="CV172" s="211"/>
      <c r="CW172" s="211"/>
      <c r="CX172" s="211"/>
      <c r="CY172" s="211"/>
      <c r="CZ172" s="211"/>
      <c r="DA172" s="211"/>
      <c r="DB172" s="211"/>
      <c r="DC172" s="219"/>
      <c r="DD172" s="219"/>
      <c r="DE172" s="219"/>
      <c r="DF172" s="211"/>
      <c r="DG172" s="211"/>
      <c r="DH172" s="211"/>
      <c r="DI172" s="211"/>
      <c r="DJ172" s="211"/>
      <c r="DK172" s="220" t="s">
        <v>32</v>
      </c>
      <c r="DT172" s="222"/>
    </row>
    <row r="173" spans="1:124" s="176" customFormat="1" ht="42" x14ac:dyDescent="0.2">
      <c r="A173" s="195" t="s">
        <v>154</v>
      </c>
      <c r="B173" s="197" t="s">
        <v>553</v>
      </c>
      <c r="C173" s="198">
        <v>1</v>
      </c>
      <c r="D173" s="199">
        <v>800000</v>
      </c>
      <c r="E173" s="198" t="s">
        <v>554</v>
      </c>
      <c r="F173" s="198" t="s">
        <v>555</v>
      </c>
      <c r="G173" s="198" t="s">
        <v>151</v>
      </c>
      <c r="H173" s="200">
        <v>1</v>
      </c>
      <c r="I173" s="199">
        <f t="shared" si="170"/>
        <v>0</v>
      </c>
      <c r="J173" s="199">
        <f t="shared" si="171"/>
        <v>800000</v>
      </c>
      <c r="K173" s="199">
        <f t="shared" si="172"/>
        <v>800000</v>
      </c>
      <c r="L173" s="199"/>
      <c r="M173" s="199">
        <v>800000</v>
      </c>
      <c r="N173" s="199">
        <f t="shared" si="173"/>
        <v>800000</v>
      </c>
      <c r="O173" s="199"/>
      <c r="P173" s="201">
        <v>0</v>
      </c>
      <c r="Q173" s="202">
        <v>12</v>
      </c>
      <c r="R173" s="203">
        <v>45566</v>
      </c>
      <c r="S173" s="204"/>
      <c r="T173" s="204">
        <v>800000</v>
      </c>
      <c r="U173" s="204">
        <f t="shared" si="174"/>
        <v>800000</v>
      </c>
      <c r="V173" s="205">
        <v>1206</v>
      </c>
      <c r="W173" s="200">
        <v>45672</v>
      </c>
      <c r="X173" s="201"/>
      <c r="Y173" s="201">
        <v>-37402</v>
      </c>
      <c r="Z173" s="201">
        <f t="shared" si="175"/>
        <v>-37402</v>
      </c>
      <c r="AA173" s="198">
        <v>2399</v>
      </c>
      <c r="AB173" s="206">
        <v>45814</v>
      </c>
      <c r="AC173" s="207"/>
      <c r="AD173" s="201">
        <v>-1792.67</v>
      </c>
      <c r="AE173" s="204">
        <f t="shared" si="176"/>
        <v>-1792.67</v>
      </c>
      <c r="AF173" s="203">
        <f t="shared" si="177"/>
        <v>45566</v>
      </c>
      <c r="AG173" s="201">
        <f t="shared" si="178"/>
        <v>0</v>
      </c>
      <c r="AH173" s="199">
        <f t="shared" si="179"/>
        <v>760805.33</v>
      </c>
      <c r="AI173" s="199">
        <f t="shared" si="180"/>
        <v>760805.33</v>
      </c>
      <c r="AJ173" s="201">
        <f t="shared" si="167"/>
        <v>0</v>
      </c>
      <c r="AK173" s="201">
        <f t="shared" si="167"/>
        <v>760805.33</v>
      </c>
      <c r="AL173" s="201">
        <f t="shared" si="181"/>
        <v>760805.33</v>
      </c>
      <c r="AM173" s="198"/>
      <c r="AN173" s="203"/>
      <c r="AO173" s="208"/>
      <c r="AP173" s="201">
        <f t="shared" si="182"/>
        <v>0</v>
      </c>
      <c r="AQ173" s="201">
        <f t="shared" si="183"/>
        <v>760805.33</v>
      </c>
      <c r="AR173" s="201">
        <f t="shared" si="184"/>
        <v>760805.33</v>
      </c>
      <c r="AS173" s="201">
        <f t="shared" si="185"/>
        <v>100</v>
      </c>
      <c r="AT173" s="201"/>
      <c r="AU173" s="209">
        <v>760805.33</v>
      </c>
      <c r="AV173" s="201">
        <f t="shared" si="186"/>
        <v>760805.33</v>
      </c>
      <c r="AW173" s="201">
        <f t="shared" si="195"/>
        <v>10.51517344127965</v>
      </c>
      <c r="AX173" s="201">
        <f t="shared" si="187"/>
        <v>100</v>
      </c>
      <c r="AY173" s="208"/>
      <c r="AZ173" s="201">
        <f t="shared" si="188"/>
        <v>0</v>
      </c>
      <c r="BA173" s="201">
        <f t="shared" si="189"/>
        <v>0</v>
      </c>
      <c r="BB173" s="201">
        <f t="shared" si="190"/>
        <v>0</v>
      </c>
      <c r="BC173" s="201"/>
      <c r="BD173" s="209">
        <v>0</v>
      </c>
      <c r="BE173" s="201">
        <f t="shared" si="191"/>
        <v>0</v>
      </c>
      <c r="BF173" s="208"/>
      <c r="BG173" s="201">
        <f t="shared" si="168"/>
        <v>0</v>
      </c>
      <c r="BH173" s="201">
        <f t="shared" si="168"/>
        <v>760805.33</v>
      </c>
      <c r="BI173" s="201">
        <f t="shared" si="192"/>
        <v>760805.33</v>
      </c>
      <c r="BJ173" s="201">
        <f t="shared" si="200"/>
        <v>100</v>
      </c>
      <c r="BK173" s="210">
        <v>20</v>
      </c>
      <c r="BL173" s="210">
        <v>100</v>
      </c>
      <c r="BM173" s="211"/>
      <c r="BN173" s="211"/>
      <c r="BO173" s="212">
        <f t="shared" si="193"/>
        <v>0</v>
      </c>
      <c r="BP173" s="201">
        <f t="shared" si="194"/>
        <v>0</v>
      </c>
      <c r="BQ173" s="201">
        <f t="shared" si="196"/>
        <v>0</v>
      </c>
      <c r="BR173" s="201">
        <f t="shared" si="169"/>
        <v>0</v>
      </c>
      <c r="BS173" s="201">
        <f t="shared" si="169"/>
        <v>0</v>
      </c>
      <c r="BT173" s="201">
        <f t="shared" si="197"/>
        <v>0</v>
      </c>
      <c r="BU173" s="213">
        <f t="shared" si="198"/>
        <v>0</v>
      </c>
      <c r="BV173" s="201">
        <f>37402+1792.67</f>
        <v>39194.67</v>
      </c>
      <c r="BW173" s="201"/>
      <c r="BX173" s="201">
        <f t="shared" si="199"/>
        <v>39194.67</v>
      </c>
      <c r="BY173" s="199">
        <v>80000</v>
      </c>
      <c r="BZ173" s="199">
        <v>100000</v>
      </c>
      <c r="CA173" s="199">
        <v>100000</v>
      </c>
      <c r="CB173" s="199">
        <v>100000</v>
      </c>
      <c r="CC173" s="199">
        <v>100000</v>
      </c>
      <c r="CD173" s="199">
        <v>100000</v>
      </c>
      <c r="CE173" s="199">
        <v>80000</v>
      </c>
      <c r="CF173" s="199">
        <v>80000</v>
      </c>
      <c r="CG173" s="199">
        <v>60000</v>
      </c>
      <c r="CH173" s="199">
        <v>0</v>
      </c>
      <c r="CI173" s="199">
        <v>0</v>
      </c>
      <c r="CJ173" s="199">
        <v>0</v>
      </c>
      <c r="CK173" s="214" t="s">
        <v>556</v>
      </c>
      <c r="CL173" s="214" t="s">
        <v>276</v>
      </c>
      <c r="CM173" s="211">
        <v>185</v>
      </c>
      <c r="CN173" s="215"/>
      <c r="CO173" s="215"/>
      <c r="CP173" s="216"/>
      <c r="CQ173" s="217"/>
      <c r="CR173" s="211"/>
      <c r="CS173" s="218"/>
      <c r="CT173" s="218"/>
      <c r="CU173" s="218"/>
      <c r="CV173" s="211"/>
      <c r="CW173" s="211"/>
      <c r="CX173" s="211"/>
      <c r="CY173" s="211"/>
      <c r="CZ173" s="211"/>
      <c r="DA173" s="211"/>
      <c r="DB173" s="211"/>
      <c r="DC173" s="219"/>
      <c r="DD173" s="219"/>
      <c r="DE173" s="219"/>
      <c r="DF173" s="211"/>
      <c r="DG173" s="211"/>
      <c r="DH173" s="211"/>
      <c r="DI173" s="211"/>
      <c r="DJ173" s="211"/>
      <c r="DK173" s="220" t="s">
        <v>32</v>
      </c>
      <c r="DT173" s="222"/>
    </row>
    <row r="174" spans="1:124" s="176" customFormat="1" ht="42" x14ac:dyDescent="0.2">
      <c r="A174" s="195" t="s">
        <v>154</v>
      </c>
      <c r="B174" s="197" t="s">
        <v>557</v>
      </c>
      <c r="C174" s="198">
        <v>1</v>
      </c>
      <c r="D174" s="199">
        <v>850000</v>
      </c>
      <c r="E174" s="198" t="s">
        <v>558</v>
      </c>
      <c r="F174" s="198" t="s">
        <v>555</v>
      </c>
      <c r="G174" s="198" t="s">
        <v>151</v>
      </c>
      <c r="H174" s="200">
        <v>1</v>
      </c>
      <c r="I174" s="199">
        <f t="shared" si="170"/>
        <v>0</v>
      </c>
      <c r="J174" s="199">
        <f t="shared" si="171"/>
        <v>850000</v>
      </c>
      <c r="K174" s="199">
        <f t="shared" si="172"/>
        <v>850000</v>
      </c>
      <c r="L174" s="199"/>
      <c r="M174" s="199">
        <v>850000</v>
      </c>
      <c r="N174" s="199">
        <f t="shared" si="173"/>
        <v>850000</v>
      </c>
      <c r="O174" s="199"/>
      <c r="P174" s="201">
        <v>0</v>
      </c>
      <c r="Q174" s="202">
        <v>12</v>
      </c>
      <c r="R174" s="203">
        <v>45566</v>
      </c>
      <c r="S174" s="204"/>
      <c r="T174" s="204">
        <v>850000</v>
      </c>
      <c r="U174" s="204">
        <f t="shared" si="174"/>
        <v>850000</v>
      </c>
      <c r="V174" s="205">
        <v>1206</v>
      </c>
      <c r="W174" s="200">
        <v>45672</v>
      </c>
      <c r="X174" s="201"/>
      <c r="Y174" s="201">
        <v>-48123</v>
      </c>
      <c r="Z174" s="201">
        <f t="shared" si="175"/>
        <v>-48123</v>
      </c>
      <c r="AA174" s="198"/>
      <c r="AB174" s="206"/>
      <c r="AC174" s="207"/>
      <c r="AD174" s="201"/>
      <c r="AE174" s="204">
        <f t="shared" si="176"/>
        <v>0</v>
      </c>
      <c r="AF174" s="203">
        <f t="shared" si="177"/>
        <v>45566</v>
      </c>
      <c r="AG174" s="201">
        <f t="shared" si="178"/>
        <v>0</v>
      </c>
      <c r="AH174" s="199">
        <f t="shared" si="179"/>
        <v>801877</v>
      </c>
      <c r="AI174" s="199">
        <f t="shared" si="180"/>
        <v>801877</v>
      </c>
      <c r="AJ174" s="201">
        <f t="shared" si="167"/>
        <v>0</v>
      </c>
      <c r="AK174" s="201">
        <f t="shared" si="167"/>
        <v>801877</v>
      </c>
      <c r="AL174" s="201">
        <f t="shared" si="181"/>
        <v>801877</v>
      </c>
      <c r="AM174" s="198"/>
      <c r="AN174" s="203"/>
      <c r="AO174" s="208"/>
      <c r="AP174" s="201">
        <f t="shared" si="182"/>
        <v>0</v>
      </c>
      <c r="AQ174" s="201">
        <f t="shared" si="183"/>
        <v>784423.45</v>
      </c>
      <c r="AR174" s="201">
        <f t="shared" si="184"/>
        <v>784423.45</v>
      </c>
      <c r="AS174" s="201">
        <f t="shared" si="185"/>
        <v>97.823413067091337</v>
      </c>
      <c r="AT174" s="201"/>
      <c r="AU174" s="223">
        <v>784423.45</v>
      </c>
      <c r="AV174" s="201">
        <f t="shared" si="186"/>
        <v>784423.45</v>
      </c>
      <c r="AW174" s="201">
        <f t="shared" si="195"/>
        <v>6.2353702625215588</v>
      </c>
      <c r="AX174" s="201">
        <f t="shared" si="187"/>
        <v>97.823413067091337</v>
      </c>
      <c r="AY174" s="208"/>
      <c r="AZ174" s="201">
        <f t="shared" si="188"/>
        <v>0</v>
      </c>
      <c r="BA174" s="201">
        <f t="shared" si="189"/>
        <v>0</v>
      </c>
      <c r="BB174" s="201">
        <f t="shared" si="190"/>
        <v>0</v>
      </c>
      <c r="BC174" s="201"/>
      <c r="BD174" s="209">
        <v>0</v>
      </c>
      <c r="BE174" s="201">
        <f t="shared" si="191"/>
        <v>0</v>
      </c>
      <c r="BF174" s="208"/>
      <c r="BG174" s="201">
        <f t="shared" si="168"/>
        <v>0</v>
      </c>
      <c r="BH174" s="201">
        <f t="shared" si="168"/>
        <v>784423.45</v>
      </c>
      <c r="BI174" s="201">
        <f t="shared" si="192"/>
        <v>784423.45</v>
      </c>
      <c r="BJ174" s="201">
        <f t="shared" si="200"/>
        <v>97.823413067091337</v>
      </c>
      <c r="BK174" s="210">
        <v>20</v>
      </c>
      <c r="BL174" s="210">
        <v>95</v>
      </c>
      <c r="BM174" s="211"/>
      <c r="BN174" s="211"/>
      <c r="BO174" s="212">
        <f t="shared" si="193"/>
        <v>0</v>
      </c>
      <c r="BP174" s="201">
        <f t="shared" si="194"/>
        <v>17453.550000000047</v>
      </c>
      <c r="BQ174" s="201">
        <f t="shared" si="196"/>
        <v>17453.550000000047</v>
      </c>
      <c r="BR174" s="201">
        <f t="shared" si="169"/>
        <v>0</v>
      </c>
      <c r="BS174" s="201">
        <f t="shared" si="169"/>
        <v>17453.550000000047</v>
      </c>
      <c r="BT174" s="201">
        <f t="shared" si="197"/>
        <v>17453.550000000047</v>
      </c>
      <c r="BU174" s="213">
        <f t="shared" si="198"/>
        <v>0</v>
      </c>
      <c r="BV174" s="201">
        <v>48123</v>
      </c>
      <c r="BW174" s="201"/>
      <c r="BX174" s="201">
        <f t="shared" si="199"/>
        <v>48123</v>
      </c>
      <c r="BY174" s="199">
        <v>100000</v>
      </c>
      <c r="BZ174" s="199">
        <v>150000</v>
      </c>
      <c r="CA174" s="199">
        <v>150000</v>
      </c>
      <c r="CB174" s="199">
        <v>100000</v>
      </c>
      <c r="CC174" s="199">
        <v>100000</v>
      </c>
      <c r="CD174" s="199">
        <v>100000</v>
      </c>
      <c r="CE174" s="199">
        <v>50000</v>
      </c>
      <c r="CF174" s="199">
        <v>50000</v>
      </c>
      <c r="CG174" s="199">
        <v>50000</v>
      </c>
      <c r="CH174" s="199">
        <v>0</v>
      </c>
      <c r="CI174" s="199">
        <v>0</v>
      </c>
      <c r="CJ174" s="199">
        <v>0</v>
      </c>
      <c r="CK174" s="214" t="s">
        <v>559</v>
      </c>
      <c r="CL174" s="214" t="s">
        <v>276</v>
      </c>
      <c r="CM174" s="211">
        <v>185</v>
      </c>
      <c r="CN174" s="215"/>
      <c r="CO174" s="215"/>
      <c r="CP174" s="216"/>
      <c r="CQ174" s="217"/>
      <c r="CR174" s="211"/>
      <c r="CS174" s="218"/>
      <c r="CT174" s="218"/>
      <c r="CU174" s="218"/>
      <c r="CV174" s="211"/>
      <c r="CW174" s="211"/>
      <c r="CX174" s="211"/>
      <c r="CY174" s="211"/>
      <c r="CZ174" s="211"/>
      <c r="DA174" s="211"/>
      <c r="DB174" s="211"/>
      <c r="DC174" s="219"/>
      <c r="DD174" s="219"/>
      <c r="DE174" s="219"/>
      <c r="DF174" s="211"/>
      <c r="DG174" s="211"/>
      <c r="DH174" s="211"/>
      <c r="DI174" s="211"/>
      <c r="DJ174" s="211"/>
      <c r="DK174" s="220" t="s">
        <v>32</v>
      </c>
      <c r="DT174" s="222"/>
    </row>
    <row r="175" spans="1:124" s="176" customFormat="1" ht="42" x14ac:dyDescent="0.2">
      <c r="A175" s="195" t="s">
        <v>154</v>
      </c>
      <c r="B175" s="197" t="s">
        <v>560</v>
      </c>
      <c r="C175" s="198">
        <v>1</v>
      </c>
      <c r="D175" s="199">
        <v>1300000</v>
      </c>
      <c r="E175" s="198" t="s">
        <v>561</v>
      </c>
      <c r="F175" s="198" t="s">
        <v>541</v>
      </c>
      <c r="G175" s="198" t="s">
        <v>151</v>
      </c>
      <c r="H175" s="200">
        <v>1</v>
      </c>
      <c r="I175" s="199">
        <f t="shared" si="170"/>
        <v>0</v>
      </c>
      <c r="J175" s="199">
        <f t="shared" si="171"/>
        <v>1300000</v>
      </c>
      <c r="K175" s="199">
        <f t="shared" si="172"/>
        <v>1300000</v>
      </c>
      <c r="L175" s="199"/>
      <c r="M175" s="199">
        <v>1300000</v>
      </c>
      <c r="N175" s="199">
        <f t="shared" si="173"/>
        <v>1300000</v>
      </c>
      <c r="O175" s="199"/>
      <c r="P175" s="201">
        <v>0</v>
      </c>
      <c r="Q175" s="202">
        <v>12</v>
      </c>
      <c r="R175" s="203">
        <v>45566</v>
      </c>
      <c r="S175" s="204"/>
      <c r="T175" s="204">
        <v>1300000</v>
      </c>
      <c r="U175" s="204">
        <f t="shared" si="174"/>
        <v>1300000</v>
      </c>
      <c r="V175" s="205">
        <v>690</v>
      </c>
      <c r="W175" s="200">
        <v>45622</v>
      </c>
      <c r="X175" s="201"/>
      <c r="Y175" s="201">
        <v>-2472</v>
      </c>
      <c r="Z175" s="201">
        <f t="shared" si="175"/>
        <v>-2472</v>
      </c>
      <c r="AA175" s="198">
        <v>1206</v>
      </c>
      <c r="AB175" s="206">
        <v>45672</v>
      </c>
      <c r="AC175" s="207"/>
      <c r="AD175" s="201">
        <f>+-15802+-1603.6</f>
        <v>-17405.599999999999</v>
      </c>
      <c r="AE175" s="204">
        <f t="shared" si="176"/>
        <v>-17405.599999999999</v>
      </c>
      <c r="AF175" s="203">
        <f t="shared" si="177"/>
        <v>45566</v>
      </c>
      <c r="AG175" s="201">
        <f t="shared" si="178"/>
        <v>0</v>
      </c>
      <c r="AH175" s="199">
        <f t="shared" si="179"/>
        <v>1280122.3999999999</v>
      </c>
      <c r="AI175" s="199">
        <f t="shared" si="180"/>
        <v>1280122.3999999999</v>
      </c>
      <c r="AJ175" s="201">
        <f t="shared" si="167"/>
        <v>0</v>
      </c>
      <c r="AK175" s="201">
        <f t="shared" si="167"/>
        <v>1280122.3999999999</v>
      </c>
      <c r="AL175" s="201">
        <f t="shared" si="181"/>
        <v>1280122.3999999999</v>
      </c>
      <c r="AM175" s="198"/>
      <c r="AN175" s="203"/>
      <c r="AO175" s="208"/>
      <c r="AP175" s="201">
        <f t="shared" si="182"/>
        <v>0</v>
      </c>
      <c r="AQ175" s="201">
        <f t="shared" si="183"/>
        <v>1280122.3999999999</v>
      </c>
      <c r="AR175" s="201">
        <f t="shared" si="184"/>
        <v>1280122.3999999999</v>
      </c>
      <c r="AS175" s="201">
        <f t="shared" si="185"/>
        <v>100</v>
      </c>
      <c r="AT175" s="201"/>
      <c r="AU175" s="209">
        <v>1280122.3999999999</v>
      </c>
      <c r="AV175" s="201">
        <f t="shared" si="186"/>
        <v>1280122.3999999999</v>
      </c>
      <c r="AW175" s="201">
        <f t="shared" si="195"/>
        <v>7.8117530011192686</v>
      </c>
      <c r="AX175" s="201">
        <f t="shared" si="187"/>
        <v>100</v>
      </c>
      <c r="AY175" s="208"/>
      <c r="AZ175" s="201">
        <f t="shared" si="188"/>
        <v>0</v>
      </c>
      <c r="BA175" s="201">
        <f t="shared" si="189"/>
        <v>0</v>
      </c>
      <c r="BB175" s="201">
        <f t="shared" si="190"/>
        <v>0</v>
      </c>
      <c r="BC175" s="201"/>
      <c r="BD175" s="209">
        <v>0</v>
      </c>
      <c r="BE175" s="201">
        <f t="shared" si="191"/>
        <v>0</v>
      </c>
      <c r="BF175" s="208"/>
      <c r="BG175" s="201">
        <f t="shared" si="168"/>
        <v>0</v>
      </c>
      <c r="BH175" s="201">
        <f t="shared" si="168"/>
        <v>1280122.3999999999</v>
      </c>
      <c r="BI175" s="201">
        <f t="shared" si="192"/>
        <v>1280122.3999999999</v>
      </c>
      <c r="BJ175" s="201">
        <f t="shared" si="200"/>
        <v>100</v>
      </c>
      <c r="BK175" s="210">
        <v>17.79</v>
      </c>
      <c r="BL175" s="210">
        <v>100</v>
      </c>
      <c r="BM175" s="211"/>
      <c r="BN175" s="211"/>
      <c r="BO175" s="212">
        <f t="shared" si="193"/>
        <v>0</v>
      </c>
      <c r="BP175" s="201">
        <f t="shared" si="194"/>
        <v>0</v>
      </c>
      <c r="BQ175" s="201">
        <f t="shared" si="196"/>
        <v>0</v>
      </c>
      <c r="BR175" s="201">
        <f t="shared" si="169"/>
        <v>0</v>
      </c>
      <c r="BS175" s="201">
        <f t="shared" si="169"/>
        <v>0</v>
      </c>
      <c r="BT175" s="201">
        <f t="shared" si="197"/>
        <v>0</v>
      </c>
      <c r="BU175" s="213">
        <f t="shared" si="198"/>
        <v>0</v>
      </c>
      <c r="BV175" s="201">
        <f>2472+15802+1603.6</f>
        <v>19877.599999999999</v>
      </c>
      <c r="BW175" s="201"/>
      <c r="BX175" s="201">
        <f t="shared" si="199"/>
        <v>19877.599999999999</v>
      </c>
      <c r="BY175" s="199">
        <v>0</v>
      </c>
      <c r="BZ175" s="199">
        <v>200000</v>
      </c>
      <c r="CA175" s="199">
        <v>200000</v>
      </c>
      <c r="CB175" s="199">
        <v>200000</v>
      </c>
      <c r="CC175" s="199">
        <v>200000</v>
      </c>
      <c r="CD175" s="199">
        <v>200000</v>
      </c>
      <c r="CE175" s="199">
        <v>100000</v>
      </c>
      <c r="CF175" s="199">
        <v>100000</v>
      </c>
      <c r="CG175" s="199">
        <v>100000</v>
      </c>
      <c r="CH175" s="199">
        <v>0</v>
      </c>
      <c r="CI175" s="199">
        <v>0</v>
      </c>
      <c r="CJ175" s="199">
        <v>0</v>
      </c>
      <c r="CK175" s="214" t="s">
        <v>562</v>
      </c>
      <c r="CL175" s="214" t="s">
        <v>276</v>
      </c>
      <c r="CM175" s="211">
        <v>185</v>
      </c>
      <c r="CN175" s="215"/>
      <c r="CO175" s="215"/>
      <c r="CP175" s="216"/>
      <c r="CQ175" s="217"/>
      <c r="CR175" s="211"/>
      <c r="CS175" s="218"/>
      <c r="CT175" s="218"/>
      <c r="CU175" s="218"/>
      <c r="CV175" s="211"/>
      <c r="CW175" s="211"/>
      <c r="CX175" s="211"/>
      <c r="CY175" s="211"/>
      <c r="CZ175" s="211"/>
      <c r="DA175" s="211"/>
      <c r="DB175" s="211"/>
      <c r="DC175" s="219"/>
      <c r="DD175" s="219"/>
      <c r="DE175" s="219"/>
      <c r="DF175" s="211"/>
      <c r="DG175" s="211"/>
      <c r="DH175" s="211"/>
      <c r="DI175" s="211"/>
      <c r="DJ175" s="211"/>
      <c r="DK175" s="220" t="s">
        <v>32</v>
      </c>
      <c r="DT175" s="222"/>
    </row>
    <row r="176" spans="1:124" s="176" customFormat="1" ht="42" x14ac:dyDescent="0.2">
      <c r="A176" s="195" t="s">
        <v>154</v>
      </c>
      <c r="B176" s="197" t="s">
        <v>563</v>
      </c>
      <c r="C176" s="198">
        <v>1</v>
      </c>
      <c r="D176" s="199">
        <v>250000</v>
      </c>
      <c r="E176" s="198" t="s">
        <v>220</v>
      </c>
      <c r="F176" s="198" t="s">
        <v>221</v>
      </c>
      <c r="G176" s="198" t="s">
        <v>151</v>
      </c>
      <c r="H176" s="200">
        <v>1</v>
      </c>
      <c r="I176" s="199">
        <f t="shared" si="170"/>
        <v>0</v>
      </c>
      <c r="J176" s="199">
        <f t="shared" si="171"/>
        <v>250000</v>
      </c>
      <c r="K176" s="199">
        <f t="shared" si="172"/>
        <v>250000</v>
      </c>
      <c r="L176" s="199"/>
      <c r="M176" s="199">
        <v>250000</v>
      </c>
      <c r="N176" s="199">
        <f t="shared" si="173"/>
        <v>250000</v>
      </c>
      <c r="O176" s="199"/>
      <c r="P176" s="201">
        <v>0</v>
      </c>
      <c r="Q176" s="202">
        <v>12</v>
      </c>
      <c r="R176" s="203">
        <v>45566</v>
      </c>
      <c r="S176" s="204"/>
      <c r="T176" s="204">
        <v>250000</v>
      </c>
      <c r="U176" s="204">
        <f t="shared" si="174"/>
        <v>250000</v>
      </c>
      <c r="V176" s="205">
        <v>690</v>
      </c>
      <c r="W176" s="200">
        <v>45622</v>
      </c>
      <c r="X176" s="201"/>
      <c r="Y176" s="201">
        <v>-120</v>
      </c>
      <c r="Z176" s="201">
        <f t="shared" si="175"/>
        <v>-120</v>
      </c>
      <c r="AA176" s="198">
        <v>1206</v>
      </c>
      <c r="AB176" s="206">
        <v>45672</v>
      </c>
      <c r="AC176" s="207"/>
      <c r="AD176" s="201">
        <f>+-3096+-3801.2</f>
        <v>-6897.2</v>
      </c>
      <c r="AE176" s="204">
        <f t="shared" si="176"/>
        <v>-6897.2</v>
      </c>
      <c r="AF176" s="203">
        <f t="shared" si="177"/>
        <v>45566</v>
      </c>
      <c r="AG176" s="201">
        <f t="shared" si="178"/>
        <v>0</v>
      </c>
      <c r="AH176" s="199">
        <f t="shared" si="179"/>
        <v>242982.8</v>
      </c>
      <c r="AI176" s="199">
        <f t="shared" si="180"/>
        <v>242982.8</v>
      </c>
      <c r="AJ176" s="201">
        <f t="shared" si="167"/>
        <v>0</v>
      </c>
      <c r="AK176" s="201">
        <f t="shared" si="167"/>
        <v>242982.8</v>
      </c>
      <c r="AL176" s="201">
        <f t="shared" si="181"/>
        <v>242982.8</v>
      </c>
      <c r="AM176" s="198"/>
      <c r="AN176" s="203"/>
      <c r="AO176" s="208"/>
      <c r="AP176" s="201">
        <f t="shared" si="182"/>
        <v>0</v>
      </c>
      <c r="AQ176" s="201">
        <f t="shared" si="183"/>
        <v>242982.8</v>
      </c>
      <c r="AR176" s="201">
        <f t="shared" si="184"/>
        <v>242982.8</v>
      </c>
      <c r="AS176" s="201">
        <f t="shared" si="185"/>
        <v>100</v>
      </c>
      <c r="AT176" s="201"/>
      <c r="AU176" s="223">
        <v>242982.8</v>
      </c>
      <c r="AV176" s="201">
        <f t="shared" si="186"/>
        <v>242982.8</v>
      </c>
      <c r="AW176" s="201">
        <f t="shared" si="195"/>
        <v>0</v>
      </c>
      <c r="AX176" s="201">
        <f t="shared" si="187"/>
        <v>100</v>
      </c>
      <c r="AY176" s="208"/>
      <c r="AZ176" s="201">
        <f t="shared" si="188"/>
        <v>0</v>
      </c>
      <c r="BA176" s="201">
        <f t="shared" si="189"/>
        <v>0</v>
      </c>
      <c r="BB176" s="201">
        <f t="shared" si="190"/>
        <v>0</v>
      </c>
      <c r="BC176" s="201"/>
      <c r="BD176" s="223">
        <v>0</v>
      </c>
      <c r="BE176" s="201">
        <f t="shared" si="191"/>
        <v>0</v>
      </c>
      <c r="BF176" s="208"/>
      <c r="BG176" s="201">
        <f t="shared" si="168"/>
        <v>0</v>
      </c>
      <c r="BH176" s="201">
        <f t="shared" si="168"/>
        <v>242982.8</v>
      </c>
      <c r="BI176" s="201">
        <f t="shared" si="192"/>
        <v>242982.8</v>
      </c>
      <c r="BJ176" s="201">
        <f t="shared" si="200"/>
        <v>100</v>
      </c>
      <c r="BK176" s="210">
        <v>76.760000000000005</v>
      </c>
      <c r="BL176" s="210">
        <v>100</v>
      </c>
      <c r="BM176" s="211"/>
      <c r="BN176" s="211"/>
      <c r="BO176" s="212">
        <f t="shared" si="193"/>
        <v>0</v>
      </c>
      <c r="BP176" s="201">
        <f t="shared" si="194"/>
        <v>0</v>
      </c>
      <c r="BQ176" s="201">
        <f t="shared" si="196"/>
        <v>0</v>
      </c>
      <c r="BR176" s="201">
        <f t="shared" ref="BR176:BS192" si="201">+AJ176-AT176</f>
        <v>0</v>
      </c>
      <c r="BS176" s="201">
        <f t="shared" si="201"/>
        <v>0</v>
      </c>
      <c r="BT176" s="201">
        <f t="shared" si="197"/>
        <v>0</v>
      </c>
      <c r="BU176" s="213">
        <f t="shared" si="198"/>
        <v>0</v>
      </c>
      <c r="BV176" s="201">
        <f>120+3096+3801.2</f>
        <v>7017.2</v>
      </c>
      <c r="BW176" s="201"/>
      <c r="BX176" s="201">
        <f t="shared" ref="BX176:BX192" si="202">SUM(BV176:BW176)</f>
        <v>7017.2</v>
      </c>
      <c r="BY176" s="199">
        <v>125000</v>
      </c>
      <c r="BZ176" s="199">
        <v>125000</v>
      </c>
      <c r="CA176" s="199">
        <v>0</v>
      </c>
      <c r="CB176" s="199">
        <v>0</v>
      </c>
      <c r="CC176" s="199">
        <v>0</v>
      </c>
      <c r="CD176" s="199">
        <v>0</v>
      </c>
      <c r="CE176" s="199">
        <v>0</v>
      </c>
      <c r="CF176" s="199">
        <v>0</v>
      </c>
      <c r="CG176" s="199">
        <v>0</v>
      </c>
      <c r="CH176" s="199">
        <v>0</v>
      </c>
      <c r="CI176" s="199">
        <v>0</v>
      </c>
      <c r="CJ176" s="199">
        <v>0</v>
      </c>
      <c r="CK176" s="214" t="s">
        <v>564</v>
      </c>
      <c r="CL176" s="214" t="s">
        <v>276</v>
      </c>
      <c r="CM176" s="211">
        <v>185</v>
      </c>
      <c r="CN176" s="215"/>
      <c r="CO176" s="215"/>
      <c r="CP176" s="216"/>
      <c r="CQ176" s="217"/>
      <c r="CR176" s="211"/>
      <c r="CS176" s="218"/>
      <c r="CT176" s="218"/>
      <c r="CU176" s="218"/>
      <c r="CV176" s="211"/>
      <c r="CW176" s="211"/>
      <c r="CX176" s="211"/>
      <c r="CY176" s="211"/>
      <c r="CZ176" s="211"/>
      <c r="DA176" s="211"/>
      <c r="DB176" s="211"/>
      <c r="DC176" s="219"/>
      <c r="DD176" s="219"/>
      <c r="DE176" s="219"/>
      <c r="DF176" s="211"/>
      <c r="DG176" s="211"/>
      <c r="DH176" s="211"/>
      <c r="DI176" s="211"/>
      <c r="DJ176" s="211"/>
      <c r="DK176" s="220" t="s">
        <v>32</v>
      </c>
      <c r="DT176" s="222"/>
    </row>
    <row r="177" spans="1:124" s="176" customFormat="1" ht="42" x14ac:dyDescent="0.2">
      <c r="A177" s="195" t="s">
        <v>154</v>
      </c>
      <c r="B177" s="197" t="s">
        <v>565</v>
      </c>
      <c r="C177" s="198">
        <v>1</v>
      </c>
      <c r="D177" s="199">
        <v>2500000</v>
      </c>
      <c r="E177" s="198" t="s">
        <v>566</v>
      </c>
      <c r="F177" s="198" t="s">
        <v>566</v>
      </c>
      <c r="G177" s="198" t="s">
        <v>151</v>
      </c>
      <c r="H177" s="200">
        <v>1</v>
      </c>
      <c r="I177" s="199">
        <f t="shared" si="170"/>
        <v>0</v>
      </c>
      <c r="J177" s="199">
        <f t="shared" si="171"/>
        <v>2500000</v>
      </c>
      <c r="K177" s="199">
        <f t="shared" si="172"/>
        <v>2500000</v>
      </c>
      <c r="L177" s="199"/>
      <c r="M177" s="199">
        <v>2500000</v>
      </c>
      <c r="N177" s="199">
        <f t="shared" si="173"/>
        <v>2500000</v>
      </c>
      <c r="O177" s="199"/>
      <c r="P177" s="201">
        <v>0</v>
      </c>
      <c r="Q177" s="202">
        <v>12</v>
      </c>
      <c r="R177" s="203">
        <v>45566</v>
      </c>
      <c r="S177" s="204"/>
      <c r="T177" s="204">
        <v>2500000</v>
      </c>
      <c r="U177" s="204">
        <f t="shared" si="174"/>
        <v>2500000</v>
      </c>
      <c r="V177" s="198">
        <v>1206</v>
      </c>
      <c r="W177" s="206">
        <v>45672</v>
      </c>
      <c r="X177" s="201"/>
      <c r="Y177" s="201">
        <v>-33273.800000000003</v>
      </c>
      <c r="Z177" s="201">
        <f t="shared" si="175"/>
        <v>-33273.800000000003</v>
      </c>
      <c r="AA177" s="198">
        <v>1716</v>
      </c>
      <c r="AB177" s="206">
        <v>45723</v>
      </c>
      <c r="AC177" s="207"/>
      <c r="AD177" s="201">
        <v>-59215</v>
      </c>
      <c r="AE177" s="204">
        <f t="shared" si="176"/>
        <v>-59215</v>
      </c>
      <c r="AF177" s="203">
        <f t="shared" si="177"/>
        <v>45566</v>
      </c>
      <c r="AG177" s="201">
        <f t="shared" si="178"/>
        <v>0</v>
      </c>
      <c r="AH177" s="199">
        <f t="shared" si="179"/>
        <v>2407511.2000000002</v>
      </c>
      <c r="AI177" s="199">
        <f t="shared" si="180"/>
        <v>2407511.2000000002</v>
      </c>
      <c r="AJ177" s="201">
        <f t="shared" si="167"/>
        <v>0</v>
      </c>
      <c r="AK177" s="201">
        <f t="shared" si="167"/>
        <v>2407511.2000000002</v>
      </c>
      <c r="AL177" s="201">
        <f t="shared" si="181"/>
        <v>2407511.2000000002</v>
      </c>
      <c r="AM177" s="198"/>
      <c r="AN177" s="203"/>
      <c r="AO177" s="208"/>
      <c r="AP177" s="201">
        <f t="shared" si="182"/>
        <v>0</v>
      </c>
      <c r="AQ177" s="201">
        <f t="shared" si="183"/>
        <v>2401310.63</v>
      </c>
      <c r="AR177" s="201">
        <f t="shared" si="184"/>
        <v>2401310.63</v>
      </c>
      <c r="AS177" s="201">
        <f t="shared" si="185"/>
        <v>99.742448965554132</v>
      </c>
      <c r="AT177" s="201"/>
      <c r="AU177" s="223">
        <v>2401310.63</v>
      </c>
      <c r="AV177" s="201">
        <f t="shared" si="186"/>
        <v>2401310.63</v>
      </c>
      <c r="AW177" s="201">
        <f t="shared" si="195"/>
        <v>0</v>
      </c>
      <c r="AX177" s="201">
        <f t="shared" si="187"/>
        <v>99.742448965554132</v>
      </c>
      <c r="AY177" s="208"/>
      <c r="AZ177" s="201">
        <f t="shared" si="188"/>
        <v>0</v>
      </c>
      <c r="BA177" s="201">
        <f t="shared" si="189"/>
        <v>0</v>
      </c>
      <c r="BB177" s="201">
        <f t="shared" si="190"/>
        <v>0</v>
      </c>
      <c r="BC177" s="201"/>
      <c r="BD177" s="223">
        <v>0</v>
      </c>
      <c r="BE177" s="201">
        <f t="shared" si="191"/>
        <v>0</v>
      </c>
      <c r="BF177" s="208"/>
      <c r="BG177" s="201">
        <f t="shared" si="168"/>
        <v>0</v>
      </c>
      <c r="BH177" s="201">
        <f t="shared" si="168"/>
        <v>2401310.63</v>
      </c>
      <c r="BI177" s="201">
        <f t="shared" si="192"/>
        <v>2401310.63</v>
      </c>
      <c r="BJ177" s="201">
        <f t="shared" si="200"/>
        <v>99.742448965554132</v>
      </c>
      <c r="BK177" s="210">
        <v>10</v>
      </c>
      <c r="BL177" s="210">
        <v>80</v>
      </c>
      <c r="BM177" s="211"/>
      <c r="BN177" s="211"/>
      <c r="BO177" s="212">
        <f t="shared" si="193"/>
        <v>0</v>
      </c>
      <c r="BP177" s="201">
        <f t="shared" si="194"/>
        <v>6200.570000000298</v>
      </c>
      <c r="BQ177" s="201">
        <f t="shared" si="196"/>
        <v>6200.570000000298</v>
      </c>
      <c r="BR177" s="201">
        <f t="shared" si="201"/>
        <v>0</v>
      </c>
      <c r="BS177" s="201">
        <f t="shared" si="201"/>
        <v>6200.570000000298</v>
      </c>
      <c r="BT177" s="201">
        <f t="shared" si="197"/>
        <v>6200.570000000298</v>
      </c>
      <c r="BU177" s="213">
        <f t="shared" si="198"/>
        <v>0</v>
      </c>
      <c r="BV177" s="201">
        <f>33273.8+59215</f>
        <v>92488.8</v>
      </c>
      <c r="BW177" s="201"/>
      <c r="BX177" s="201">
        <f t="shared" si="202"/>
        <v>92488.8</v>
      </c>
      <c r="BY177" s="199">
        <v>200000</v>
      </c>
      <c r="BZ177" s="199">
        <v>800000</v>
      </c>
      <c r="CA177" s="199">
        <v>800000</v>
      </c>
      <c r="CB177" s="199">
        <v>300000</v>
      </c>
      <c r="CC177" s="199">
        <v>300000</v>
      </c>
      <c r="CD177" s="199">
        <v>100000</v>
      </c>
      <c r="CE177" s="199">
        <v>0</v>
      </c>
      <c r="CF177" s="199">
        <v>0</v>
      </c>
      <c r="CG177" s="199">
        <v>0</v>
      </c>
      <c r="CH177" s="199">
        <v>0</v>
      </c>
      <c r="CI177" s="199">
        <v>0</v>
      </c>
      <c r="CJ177" s="199">
        <v>0</v>
      </c>
      <c r="CK177" s="214" t="s">
        <v>567</v>
      </c>
      <c r="CL177" s="214" t="s">
        <v>276</v>
      </c>
      <c r="CM177" s="211">
        <v>185</v>
      </c>
      <c r="CN177" s="215"/>
      <c r="CO177" s="215"/>
      <c r="CP177" s="216"/>
      <c r="CQ177" s="217"/>
      <c r="CR177" s="211"/>
      <c r="CS177" s="218"/>
      <c r="CT177" s="218"/>
      <c r="CU177" s="218"/>
      <c r="CV177" s="211"/>
      <c r="CW177" s="211"/>
      <c r="CX177" s="211"/>
      <c r="CY177" s="211"/>
      <c r="CZ177" s="211"/>
      <c r="DA177" s="211"/>
      <c r="DB177" s="211"/>
      <c r="DC177" s="219"/>
      <c r="DD177" s="219"/>
      <c r="DE177" s="219"/>
      <c r="DF177" s="211"/>
      <c r="DG177" s="211"/>
      <c r="DH177" s="211"/>
      <c r="DI177" s="211"/>
      <c r="DJ177" s="211"/>
      <c r="DK177" s="220" t="s">
        <v>32</v>
      </c>
      <c r="DT177" s="222"/>
    </row>
    <row r="178" spans="1:124" s="176" customFormat="1" ht="63" x14ac:dyDescent="0.2">
      <c r="A178" s="195" t="s">
        <v>154</v>
      </c>
      <c r="B178" s="197" t="s">
        <v>568</v>
      </c>
      <c r="C178" s="198">
        <v>1</v>
      </c>
      <c r="D178" s="199">
        <v>1150000</v>
      </c>
      <c r="E178" s="198" t="s">
        <v>569</v>
      </c>
      <c r="F178" s="198" t="s">
        <v>150</v>
      </c>
      <c r="G178" s="198" t="s">
        <v>151</v>
      </c>
      <c r="H178" s="200">
        <v>1</v>
      </c>
      <c r="I178" s="199">
        <f t="shared" si="170"/>
        <v>0</v>
      </c>
      <c r="J178" s="199">
        <f t="shared" si="171"/>
        <v>1150000</v>
      </c>
      <c r="K178" s="199">
        <f t="shared" si="172"/>
        <v>1150000</v>
      </c>
      <c r="L178" s="199"/>
      <c r="M178" s="199">
        <v>1150000</v>
      </c>
      <c r="N178" s="199">
        <f t="shared" si="173"/>
        <v>1150000</v>
      </c>
      <c r="O178" s="199"/>
      <c r="P178" s="201">
        <v>0</v>
      </c>
      <c r="Q178" s="202">
        <v>12</v>
      </c>
      <c r="R178" s="203">
        <v>45566</v>
      </c>
      <c r="S178" s="204"/>
      <c r="T178" s="204">
        <v>1150000</v>
      </c>
      <c r="U178" s="204">
        <f t="shared" si="174"/>
        <v>1150000</v>
      </c>
      <c r="V178" s="205">
        <v>690</v>
      </c>
      <c r="W178" s="200">
        <v>45622</v>
      </c>
      <c r="X178" s="201"/>
      <c r="Y178" s="201">
        <v>-20</v>
      </c>
      <c r="Z178" s="201">
        <f t="shared" si="175"/>
        <v>-20</v>
      </c>
      <c r="AA178" s="198">
        <v>1206</v>
      </c>
      <c r="AB178" s="206">
        <v>45672</v>
      </c>
      <c r="AC178" s="207"/>
      <c r="AD178" s="201">
        <v>-848</v>
      </c>
      <c r="AE178" s="204">
        <f t="shared" si="176"/>
        <v>-848</v>
      </c>
      <c r="AF178" s="203">
        <f t="shared" si="177"/>
        <v>45566</v>
      </c>
      <c r="AG178" s="201">
        <f t="shared" si="178"/>
        <v>0</v>
      </c>
      <c r="AH178" s="199">
        <f t="shared" si="179"/>
        <v>1149132</v>
      </c>
      <c r="AI178" s="199">
        <f t="shared" si="180"/>
        <v>1149132</v>
      </c>
      <c r="AJ178" s="201">
        <f t="shared" ref="AJ178:AK194" si="203">+S178+X178+AC178</f>
        <v>0</v>
      </c>
      <c r="AK178" s="201">
        <f t="shared" si="203"/>
        <v>1149132</v>
      </c>
      <c r="AL178" s="201">
        <f t="shared" si="181"/>
        <v>1149132</v>
      </c>
      <c r="AM178" s="198"/>
      <c r="AN178" s="203"/>
      <c r="AO178" s="208"/>
      <c r="AP178" s="201">
        <f t="shared" si="182"/>
        <v>0</v>
      </c>
      <c r="AQ178" s="201">
        <f t="shared" si="183"/>
        <v>1142855</v>
      </c>
      <c r="AR178" s="201">
        <f t="shared" si="184"/>
        <v>1142855</v>
      </c>
      <c r="AS178" s="201">
        <f t="shared" si="185"/>
        <v>99.453761621815417</v>
      </c>
      <c r="AT178" s="201"/>
      <c r="AU178" s="223">
        <v>1142855</v>
      </c>
      <c r="AV178" s="201">
        <f t="shared" si="186"/>
        <v>1142855</v>
      </c>
      <c r="AW178" s="201">
        <f t="shared" si="195"/>
        <v>0</v>
      </c>
      <c r="AX178" s="201">
        <f t="shared" si="187"/>
        <v>99.453761621815417</v>
      </c>
      <c r="AY178" s="208"/>
      <c r="AZ178" s="201">
        <f t="shared" si="188"/>
        <v>0</v>
      </c>
      <c r="BA178" s="201">
        <f t="shared" si="189"/>
        <v>0</v>
      </c>
      <c r="BB178" s="201">
        <f t="shared" si="190"/>
        <v>0</v>
      </c>
      <c r="BC178" s="201"/>
      <c r="BD178" s="223">
        <v>0</v>
      </c>
      <c r="BE178" s="201">
        <f t="shared" si="191"/>
        <v>0</v>
      </c>
      <c r="BF178" s="208"/>
      <c r="BG178" s="201">
        <f t="shared" ref="BG178:BH194" si="204">+AP178+AZ178</f>
        <v>0</v>
      </c>
      <c r="BH178" s="201">
        <f t="shared" si="204"/>
        <v>1142855</v>
      </c>
      <c r="BI178" s="201">
        <f t="shared" si="192"/>
        <v>1142855</v>
      </c>
      <c r="BJ178" s="201">
        <f t="shared" si="200"/>
        <v>99.453761621815417</v>
      </c>
      <c r="BK178" s="210">
        <v>2.17</v>
      </c>
      <c r="BL178" s="210">
        <v>80</v>
      </c>
      <c r="BM178" s="211"/>
      <c r="BN178" s="211"/>
      <c r="BO178" s="212">
        <f t="shared" si="193"/>
        <v>0</v>
      </c>
      <c r="BP178" s="201">
        <f t="shared" si="194"/>
        <v>6277</v>
      </c>
      <c r="BQ178" s="201">
        <f t="shared" si="196"/>
        <v>6277</v>
      </c>
      <c r="BR178" s="201">
        <f t="shared" si="201"/>
        <v>0</v>
      </c>
      <c r="BS178" s="201">
        <f t="shared" si="201"/>
        <v>6277</v>
      </c>
      <c r="BT178" s="201">
        <f t="shared" si="197"/>
        <v>6277</v>
      </c>
      <c r="BU178" s="213">
        <f t="shared" si="198"/>
        <v>0</v>
      </c>
      <c r="BV178" s="201">
        <f>20+848</f>
        <v>868</v>
      </c>
      <c r="BW178" s="201"/>
      <c r="BX178" s="201">
        <f t="shared" si="202"/>
        <v>868</v>
      </c>
      <c r="BY178" s="199">
        <v>130000</v>
      </c>
      <c r="BZ178" s="199">
        <v>230000</v>
      </c>
      <c r="CA178" s="199">
        <v>230000</v>
      </c>
      <c r="CB178" s="199">
        <v>230000</v>
      </c>
      <c r="CC178" s="199">
        <v>230000</v>
      </c>
      <c r="CD178" s="199">
        <v>100000</v>
      </c>
      <c r="CE178" s="199">
        <v>0</v>
      </c>
      <c r="CF178" s="199">
        <v>0</v>
      </c>
      <c r="CG178" s="199">
        <v>0</v>
      </c>
      <c r="CH178" s="199">
        <v>0</v>
      </c>
      <c r="CI178" s="199">
        <v>0</v>
      </c>
      <c r="CJ178" s="199">
        <v>0</v>
      </c>
      <c r="CK178" s="214" t="s">
        <v>570</v>
      </c>
      <c r="CL178" s="214" t="s">
        <v>276</v>
      </c>
      <c r="CM178" s="211">
        <v>185</v>
      </c>
      <c r="CN178" s="215"/>
      <c r="CO178" s="215"/>
      <c r="CP178" s="216"/>
      <c r="CQ178" s="217"/>
      <c r="CR178" s="211"/>
      <c r="CS178" s="218"/>
      <c r="CT178" s="218"/>
      <c r="CU178" s="218"/>
      <c r="CV178" s="211"/>
      <c r="CW178" s="211"/>
      <c r="CX178" s="211"/>
      <c r="CY178" s="211"/>
      <c r="CZ178" s="211"/>
      <c r="DA178" s="211"/>
      <c r="DB178" s="211"/>
      <c r="DC178" s="219"/>
      <c r="DD178" s="219"/>
      <c r="DE178" s="219"/>
      <c r="DF178" s="211"/>
      <c r="DG178" s="211"/>
      <c r="DH178" s="211"/>
      <c r="DI178" s="211"/>
      <c r="DJ178" s="211"/>
      <c r="DK178" s="220" t="s">
        <v>32</v>
      </c>
      <c r="DT178" s="222"/>
    </row>
    <row r="179" spans="1:124" s="176" customFormat="1" ht="42" x14ac:dyDescent="0.2">
      <c r="A179" s="195" t="s">
        <v>154</v>
      </c>
      <c r="B179" s="197" t="s">
        <v>571</v>
      </c>
      <c r="C179" s="198">
        <v>1</v>
      </c>
      <c r="D179" s="199">
        <v>600000</v>
      </c>
      <c r="E179" s="198" t="s">
        <v>220</v>
      </c>
      <c r="F179" s="198" t="s">
        <v>221</v>
      </c>
      <c r="G179" s="198" t="s">
        <v>151</v>
      </c>
      <c r="H179" s="200">
        <v>1</v>
      </c>
      <c r="I179" s="199">
        <f t="shared" si="170"/>
        <v>0</v>
      </c>
      <c r="J179" s="199">
        <f t="shared" si="171"/>
        <v>600000</v>
      </c>
      <c r="K179" s="199">
        <f t="shared" si="172"/>
        <v>600000</v>
      </c>
      <c r="L179" s="199"/>
      <c r="M179" s="199">
        <v>600000</v>
      </c>
      <c r="N179" s="199">
        <f t="shared" si="173"/>
        <v>600000</v>
      </c>
      <c r="O179" s="199"/>
      <c r="P179" s="201">
        <v>0</v>
      </c>
      <c r="Q179" s="202">
        <v>12</v>
      </c>
      <c r="R179" s="203">
        <v>45566</v>
      </c>
      <c r="S179" s="204"/>
      <c r="T179" s="204">
        <v>600000</v>
      </c>
      <c r="U179" s="204">
        <f t="shared" si="174"/>
        <v>600000</v>
      </c>
      <c r="V179" s="205"/>
      <c r="W179" s="200"/>
      <c r="X179" s="201"/>
      <c r="Y179" s="201"/>
      <c r="Z179" s="201">
        <f t="shared" si="175"/>
        <v>0</v>
      </c>
      <c r="AA179" s="198"/>
      <c r="AB179" s="206"/>
      <c r="AC179" s="207"/>
      <c r="AD179" s="201"/>
      <c r="AE179" s="204">
        <f t="shared" si="176"/>
        <v>0</v>
      </c>
      <c r="AF179" s="203">
        <f t="shared" si="177"/>
        <v>45566</v>
      </c>
      <c r="AG179" s="201">
        <f t="shared" si="178"/>
        <v>0</v>
      </c>
      <c r="AH179" s="199">
        <f t="shared" si="179"/>
        <v>600000</v>
      </c>
      <c r="AI179" s="199">
        <f t="shared" si="180"/>
        <v>600000</v>
      </c>
      <c r="AJ179" s="201">
        <f t="shared" si="203"/>
        <v>0</v>
      </c>
      <c r="AK179" s="201">
        <f t="shared" si="203"/>
        <v>600000</v>
      </c>
      <c r="AL179" s="201">
        <f t="shared" si="181"/>
        <v>600000</v>
      </c>
      <c r="AM179" s="198"/>
      <c r="AN179" s="203"/>
      <c r="AO179" s="208"/>
      <c r="AP179" s="201">
        <f t="shared" si="182"/>
        <v>0</v>
      </c>
      <c r="AQ179" s="201">
        <f t="shared" si="183"/>
        <v>586266.31999999995</v>
      </c>
      <c r="AR179" s="201">
        <f t="shared" si="184"/>
        <v>586266.31999999995</v>
      </c>
      <c r="AS179" s="201">
        <f t="shared" si="185"/>
        <v>97.711053333333325</v>
      </c>
      <c r="AT179" s="201"/>
      <c r="AU179" s="223">
        <v>586266.31999999995</v>
      </c>
      <c r="AV179" s="201">
        <f t="shared" si="186"/>
        <v>586266.31999999995</v>
      </c>
      <c r="AW179" s="201">
        <f t="shared" si="195"/>
        <v>0</v>
      </c>
      <c r="AX179" s="201">
        <f t="shared" si="187"/>
        <v>97.711053333333325</v>
      </c>
      <c r="AY179" s="208"/>
      <c r="AZ179" s="201">
        <f t="shared" si="188"/>
        <v>0</v>
      </c>
      <c r="BA179" s="201">
        <f t="shared" si="189"/>
        <v>0</v>
      </c>
      <c r="BB179" s="201">
        <f t="shared" si="190"/>
        <v>0</v>
      </c>
      <c r="BC179" s="201"/>
      <c r="BD179" s="223">
        <v>0</v>
      </c>
      <c r="BE179" s="201">
        <f t="shared" si="191"/>
        <v>0</v>
      </c>
      <c r="BF179" s="208"/>
      <c r="BG179" s="201">
        <f t="shared" si="204"/>
        <v>0</v>
      </c>
      <c r="BH179" s="201">
        <f t="shared" si="204"/>
        <v>586266.31999999995</v>
      </c>
      <c r="BI179" s="201">
        <f t="shared" si="192"/>
        <v>586266.31999999995</v>
      </c>
      <c r="BJ179" s="201">
        <f t="shared" si="200"/>
        <v>97.711053333333325</v>
      </c>
      <c r="BK179" s="210">
        <v>14</v>
      </c>
      <c r="BL179" s="210">
        <v>90</v>
      </c>
      <c r="BM179" s="211"/>
      <c r="BN179" s="211"/>
      <c r="BO179" s="212">
        <f t="shared" si="193"/>
        <v>0</v>
      </c>
      <c r="BP179" s="201">
        <f t="shared" si="194"/>
        <v>13733.680000000051</v>
      </c>
      <c r="BQ179" s="201">
        <f t="shared" si="196"/>
        <v>13733.680000000051</v>
      </c>
      <c r="BR179" s="201">
        <f t="shared" si="201"/>
        <v>0</v>
      </c>
      <c r="BS179" s="201">
        <f t="shared" si="201"/>
        <v>13733.680000000051</v>
      </c>
      <c r="BT179" s="201">
        <f t="shared" si="197"/>
        <v>13733.680000000051</v>
      </c>
      <c r="BU179" s="213">
        <f t="shared" si="198"/>
        <v>0</v>
      </c>
      <c r="BV179" s="201"/>
      <c r="BW179" s="201"/>
      <c r="BX179" s="201">
        <f t="shared" si="202"/>
        <v>0</v>
      </c>
      <c r="BY179" s="199">
        <v>0</v>
      </c>
      <c r="BZ179" s="199">
        <v>150000</v>
      </c>
      <c r="CA179" s="199">
        <v>150000</v>
      </c>
      <c r="CB179" s="199">
        <v>150000</v>
      </c>
      <c r="CC179" s="199">
        <v>150000</v>
      </c>
      <c r="CD179" s="199">
        <v>0</v>
      </c>
      <c r="CE179" s="199">
        <v>0</v>
      </c>
      <c r="CF179" s="199">
        <v>0</v>
      </c>
      <c r="CG179" s="199">
        <v>0</v>
      </c>
      <c r="CH179" s="199">
        <v>0</v>
      </c>
      <c r="CI179" s="199">
        <v>0</v>
      </c>
      <c r="CJ179" s="199">
        <v>0</v>
      </c>
      <c r="CK179" s="214" t="s">
        <v>572</v>
      </c>
      <c r="CL179" s="214" t="s">
        <v>276</v>
      </c>
      <c r="CM179" s="211">
        <v>185</v>
      </c>
      <c r="CN179" s="215"/>
      <c r="CO179" s="215"/>
      <c r="CP179" s="216"/>
      <c r="CQ179" s="217"/>
      <c r="CR179" s="211"/>
      <c r="CS179" s="218"/>
      <c r="CT179" s="218"/>
      <c r="CU179" s="218"/>
      <c r="CV179" s="211"/>
      <c r="CW179" s="211"/>
      <c r="CX179" s="211"/>
      <c r="CY179" s="211"/>
      <c r="CZ179" s="211"/>
      <c r="DA179" s="211"/>
      <c r="DB179" s="211"/>
      <c r="DC179" s="219"/>
      <c r="DD179" s="219"/>
      <c r="DE179" s="219"/>
      <c r="DF179" s="211"/>
      <c r="DG179" s="211"/>
      <c r="DH179" s="211"/>
      <c r="DI179" s="211"/>
      <c r="DJ179" s="211"/>
      <c r="DK179" s="220" t="s">
        <v>32</v>
      </c>
      <c r="DT179" s="222"/>
    </row>
    <row r="180" spans="1:124" s="291" customFormat="1" ht="63" x14ac:dyDescent="0.2">
      <c r="A180" s="280" t="s">
        <v>108</v>
      </c>
      <c r="B180" s="281" t="s">
        <v>573</v>
      </c>
      <c r="C180" s="198">
        <v>1</v>
      </c>
      <c r="D180" s="199">
        <v>25000000</v>
      </c>
      <c r="E180" s="198" t="s">
        <v>574</v>
      </c>
      <c r="F180" s="198" t="s">
        <v>115</v>
      </c>
      <c r="G180" s="198" t="s">
        <v>98</v>
      </c>
      <c r="H180" s="200">
        <v>1</v>
      </c>
      <c r="I180" s="199">
        <f t="shared" si="170"/>
        <v>0</v>
      </c>
      <c r="J180" s="199">
        <f t="shared" si="171"/>
        <v>25000000</v>
      </c>
      <c r="K180" s="199">
        <f t="shared" si="172"/>
        <v>25000000</v>
      </c>
      <c r="L180" s="199"/>
      <c r="M180" s="199">
        <v>25000000</v>
      </c>
      <c r="N180" s="199">
        <f t="shared" si="173"/>
        <v>25000000</v>
      </c>
      <c r="O180" s="199"/>
      <c r="P180" s="201">
        <v>0</v>
      </c>
      <c r="Q180" s="265">
        <v>12</v>
      </c>
      <c r="R180" s="263">
        <v>45566</v>
      </c>
      <c r="S180" s="264"/>
      <c r="T180" s="264">
        <v>25000000</v>
      </c>
      <c r="U180" s="264">
        <f t="shared" si="174"/>
        <v>25000000</v>
      </c>
      <c r="V180" s="295">
        <v>228</v>
      </c>
      <c r="W180" s="253">
        <v>45586</v>
      </c>
      <c r="X180" s="209"/>
      <c r="Y180" s="209">
        <v>-527000</v>
      </c>
      <c r="Z180" s="209">
        <f t="shared" si="175"/>
        <v>-527000</v>
      </c>
      <c r="AA180" s="251">
        <v>2288</v>
      </c>
      <c r="AB180" s="296">
        <v>45797</v>
      </c>
      <c r="AC180" s="282"/>
      <c r="AD180" s="209">
        <v>-1376161.04</v>
      </c>
      <c r="AE180" s="264">
        <f t="shared" si="176"/>
        <v>-1376161.04</v>
      </c>
      <c r="AF180" s="203">
        <f t="shared" si="177"/>
        <v>45566</v>
      </c>
      <c r="AG180" s="201">
        <f t="shared" si="178"/>
        <v>0</v>
      </c>
      <c r="AH180" s="199">
        <f t="shared" si="179"/>
        <v>23623838.960000001</v>
      </c>
      <c r="AI180" s="199">
        <f t="shared" si="180"/>
        <v>23623838.960000001</v>
      </c>
      <c r="AJ180" s="209">
        <f t="shared" si="203"/>
        <v>0</v>
      </c>
      <c r="AK180" s="209">
        <f t="shared" si="203"/>
        <v>23096838.960000001</v>
      </c>
      <c r="AL180" s="209">
        <f t="shared" si="181"/>
        <v>23096838.960000001</v>
      </c>
      <c r="AM180" s="198">
        <v>229</v>
      </c>
      <c r="AN180" s="203">
        <v>45586</v>
      </c>
      <c r="AO180" s="208">
        <v>527000</v>
      </c>
      <c r="AP180" s="201">
        <f t="shared" si="182"/>
        <v>0</v>
      </c>
      <c r="AQ180" s="201">
        <f t="shared" si="183"/>
        <v>18694574.669999998</v>
      </c>
      <c r="AR180" s="201">
        <f t="shared" si="184"/>
        <v>18694574.669999998</v>
      </c>
      <c r="AS180" s="201">
        <f t="shared" si="185"/>
        <v>79.134363816371007</v>
      </c>
      <c r="AT180" s="201"/>
      <c r="AU180" s="223">
        <v>18409738.09</v>
      </c>
      <c r="AV180" s="201">
        <f t="shared" si="186"/>
        <v>18409738.09</v>
      </c>
      <c r="AW180" s="201">
        <f t="shared" si="195"/>
        <v>8.65919359555512</v>
      </c>
      <c r="AX180" s="201">
        <f t="shared" si="187"/>
        <v>79.706743082387575</v>
      </c>
      <c r="AY180" s="208">
        <v>284836.57999999996</v>
      </c>
      <c r="AZ180" s="201">
        <f t="shared" si="188"/>
        <v>0</v>
      </c>
      <c r="BA180" s="201">
        <f t="shared" si="189"/>
        <v>1145802</v>
      </c>
      <c r="BB180" s="201">
        <f t="shared" si="190"/>
        <v>1145802</v>
      </c>
      <c r="BC180" s="201"/>
      <c r="BD180" s="223">
        <v>1145802</v>
      </c>
      <c r="BE180" s="201">
        <f t="shared" si="191"/>
        <v>1145802</v>
      </c>
      <c r="BF180" s="208"/>
      <c r="BG180" s="201">
        <f t="shared" si="204"/>
        <v>0</v>
      </c>
      <c r="BH180" s="201">
        <f t="shared" si="204"/>
        <v>19840376.669999998</v>
      </c>
      <c r="BI180" s="201">
        <f t="shared" si="192"/>
        <v>19840376.669999998</v>
      </c>
      <c r="BJ180" s="201">
        <f t="shared" si="200"/>
        <v>83.984557732525275</v>
      </c>
      <c r="BK180" s="210">
        <v>10</v>
      </c>
      <c r="BL180" s="210">
        <v>70</v>
      </c>
      <c r="BM180" s="211"/>
      <c r="BN180" s="211"/>
      <c r="BO180" s="212">
        <f t="shared" si="193"/>
        <v>0</v>
      </c>
      <c r="BP180" s="201">
        <f t="shared" si="194"/>
        <v>4929264.290000001</v>
      </c>
      <c r="BQ180" s="201">
        <f t="shared" si="196"/>
        <v>4929264.290000001</v>
      </c>
      <c r="BR180" s="201">
        <f t="shared" si="201"/>
        <v>0</v>
      </c>
      <c r="BS180" s="201">
        <f t="shared" si="201"/>
        <v>4687100.870000001</v>
      </c>
      <c r="BT180" s="201">
        <f t="shared" si="197"/>
        <v>4687100.870000001</v>
      </c>
      <c r="BU180" s="213">
        <f t="shared" si="198"/>
        <v>242163.42000000004</v>
      </c>
      <c r="BV180" s="209">
        <f>527000+1376161.04</f>
        <v>1903161.04</v>
      </c>
      <c r="BW180" s="209"/>
      <c r="BX180" s="209">
        <f t="shared" si="202"/>
        <v>1903161.04</v>
      </c>
      <c r="BY180" s="252">
        <v>1980000</v>
      </c>
      <c r="BZ180" s="252">
        <v>2140000</v>
      </c>
      <c r="CA180" s="252">
        <v>2180000</v>
      </c>
      <c r="CB180" s="252">
        <v>2040000</v>
      </c>
      <c r="CC180" s="252">
        <v>2100000</v>
      </c>
      <c r="CD180" s="252">
        <v>2080000</v>
      </c>
      <c r="CE180" s="252">
        <v>2060000</v>
      </c>
      <c r="CF180" s="252">
        <v>2000000</v>
      </c>
      <c r="CG180" s="252">
        <v>2040000</v>
      </c>
      <c r="CH180" s="252">
        <v>2100000</v>
      </c>
      <c r="CI180" s="252">
        <v>2120000</v>
      </c>
      <c r="CJ180" s="252">
        <v>2160000</v>
      </c>
      <c r="CK180" s="283" t="s">
        <v>575</v>
      </c>
      <c r="CL180" s="283" t="s">
        <v>276</v>
      </c>
      <c r="CM180" s="284">
        <v>185</v>
      </c>
      <c r="CN180" s="285">
        <v>400</v>
      </c>
      <c r="CO180" s="285"/>
      <c r="CP180" s="286">
        <v>60</v>
      </c>
      <c r="CQ180" s="287"/>
      <c r="CR180" s="284"/>
      <c r="CS180" s="288"/>
      <c r="CT180" s="288"/>
      <c r="CU180" s="288"/>
      <c r="CV180" s="284"/>
      <c r="CW180" s="284"/>
      <c r="CX180" s="284"/>
      <c r="CY180" s="284"/>
      <c r="CZ180" s="284"/>
      <c r="DA180" s="284"/>
      <c r="DB180" s="284"/>
      <c r="DC180" s="289"/>
      <c r="DD180" s="289"/>
      <c r="DE180" s="289"/>
      <c r="DF180" s="284"/>
      <c r="DG180" s="284"/>
      <c r="DH180" s="284"/>
      <c r="DI180" s="284"/>
      <c r="DJ180" s="284"/>
      <c r="DK180" s="290" t="s">
        <v>32</v>
      </c>
      <c r="DT180" s="292"/>
    </row>
    <row r="181" spans="1:124" s="176" customFormat="1" ht="42" x14ac:dyDescent="0.2">
      <c r="A181" s="195" t="s">
        <v>108</v>
      </c>
      <c r="B181" s="197" t="s">
        <v>576</v>
      </c>
      <c r="C181" s="198">
        <v>1</v>
      </c>
      <c r="D181" s="199">
        <v>30000000</v>
      </c>
      <c r="E181" s="198" t="s">
        <v>130</v>
      </c>
      <c r="F181" s="198" t="s">
        <v>234</v>
      </c>
      <c r="G181" s="198" t="s">
        <v>98</v>
      </c>
      <c r="H181" s="200">
        <v>1</v>
      </c>
      <c r="I181" s="199">
        <f t="shared" si="170"/>
        <v>1800000</v>
      </c>
      <c r="J181" s="199">
        <f t="shared" si="171"/>
        <v>28200000</v>
      </c>
      <c r="K181" s="199">
        <f t="shared" si="172"/>
        <v>30000000</v>
      </c>
      <c r="L181" s="199">
        <v>1800000</v>
      </c>
      <c r="M181" s="199">
        <v>28200000</v>
      </c>
      <c r="N181" s="199">
        <f t="shared" si="173"/>
        <v>30000000</v>
      </c>
      <c r="O181" s="199"/>
      <c r="P181" s="201">
        <v>0</v>
      </c>
      <c r="Q181" s="202">
        <v>11</v>
      </c>
      <c r="R181" s="203">
        <v>45566</v>
      </c>
      <c r="S181" s="204"/>
      <c r="T181" s="204">
        <v>28200000</v>
      </c>
      <c r="U181" s="204">
        <f t="shared" si="174"/>
        <v>28200000</v>
      </c>
      <c r="V181" s="205">
        <v>1511</v>
      </c>
      <c r="W181" s="200">
        <v>45701</v>
      </c>
      <c r="X181" s="201"/>
      <c r="Y181" s="201">
        <v>-1571838.34</v>
      </c>
      <c r="Z181" s="201">
        <f t="shared" si="175"/>
        <v>-1571838.34</v>
      </c>
      <c r="AA181" s="198">
        <v>1552</v>
      </c>
      <c r="AB181" s="206">
        <v>45707</v>
      </c>
      <c r="AC181" s="207">
        <v>949979</v>
      </c>
      <c r="AD181" s="201">
        <v>16625</v>
      </c>
      <c r="AE181" s="204">
        <f t="shared" si="176"/>
        <v>966604</v>
      </c>
      <c r="AF181" s="203">
        <f t="shared" si="177"/>
        <v>45566</v>
      </c>
      <c r="AG181" s="201">
        <f t="shared" si="178"/>
        <v>949979</v>
      </c>
      <c r="AH181" s="199">
        <f t="shared" si="179"/>
        <v>26644786.66</v>
      </c>
      <c r="AI181" s="199">
        <f t="shared" si="180"/>
        <v>27594765.66</v>
      </c>
      <c r="AJ181" s="201">
        <f t="shared" si="203"/>
        <v>949979</v>
      </c>
      <c r="AK181" s="201">
        <f t="shared" si="203"/>
        <v>26644786.66</v>
      </c>
      <c r="AL181" s="201">
        <f t="shared" si="181"/>
        <v>27594765.66</v>
      </c>
      <c r="AM181" s="198"/>
      <c r="AN181" s="203"/>
      <c r="AO181" s="208"/>
      <c r="AP181" s="201">
        <f t="shared" si="182"/>
        <v>0</v>
      </c>
      <c r="AQ181" s="201">
        <f t="shared" si="183"/>
        <v>17494096.649999999</v>
      </c>
      <c r="AR181" s="201">
        <f t="shared" si="184"/>
        <v>17494096.649999999</v>
      </c>
      <c r="AS181" s="201">
        <f t="shared" si="185"/>
        <v>63.396431285367171</v>
      </c>
      <c r="AT181" s="201"/>
      <c r="AU181" s="223">
        <v>17494096.649999999</v>
      </c>
      <c r="AV181" s="201">
        <f t="shared" si="186"/>
        <v>17494096.649999999</v>
      </c>
      <c r="AW181" s="201">
        <f t="shared" si="195"/>
        <v>7.6101389150191467</v>
      </c>
      <c r="AX181" s="201">
        <f t="shared" si="187"/>
        <v>63.396431285367171</v>
      </c>
      <c r="AY181" s="208"/>
      <c r="AZ181" s="201">
        <f t="shared" si="188"/>
        <v>949978.93</v>
      </c>
      <c r="BA181" s="201">
        <f t="shared" si="189"/>
        <v>3017394.8899999997</v>
      </c>
      <c r="BB181" s="201">
        <f t="shared" si="190"/>
        <v>3967373.82</v>
      </c>
      <c r="BC181" s="201">
        <v>949978.93</v>
      </c>
      <c r="BD181" s="223">
        <f>3967373.82-BC181</f>
        <v>3017394.8899999997</v>
      </c>
      <c r="BE181" s="201">
        <f t="shared" si="191"/>
        <v>3967373.82</v>
      </c>
      <c r="BF181" s="208"/>
      <c r="BG181" s="201">
        <f t="shared" si="204"/>
        <v>949978.93</v>
      </c>
      <c r="BH181" s="201">
        <f t="shared" si="204"/>
        <v>20511491.539999999</v>
      </c>
      <c r="BI181" s="201">
        <f t="shared" si="192"/>
        <v>21461470.469999999</v>
      </c>
      <c r="BJ181" s="201">
        <f t="shared" si="200"/>
        <v>77.773700760610126</v>
      </c>
      <c r="BK181" s="210">
        <v>10</v>
      </c>
      <c r="BL181" s="210">
        <v>70</v>
      </c>
      <c r="BM181" s="211"/>
      <c r="BN181" s="211"/>
      <c r="BO181" s="212">
        <f t="shared" si="193"/>
        <v>949979</v>
      </c>
      <c r="BP181" s="201">
        <f t="shared" si="194"/>
        <v>9150690.0100000016</v>
      </c>
      <c r="BQ181" s="201">
        <f t="shared" si="196"/>
        <v>10100669.010000002</v>
      </c>
      <c r="BR181" s="201">
        <f t="shared" si="201"/>
        <v>949979</v>
      </c>
      <c r="BS181" s="201">
        <f t="shared" si="201"/>
        <v>9150690.0100000016</v>
      </c>
      <c r="BT181" s="201">
        <f t="shared" si="197"/>
        <v>10100669.010000002</v>
      </c>
      <c r="BU181" s="213">
        <f t="shared" si="198"/>
        <v>0</v>
      </c>
      <c r="BV181" s="201">
        <v>1571838.34</v>
      </c>
      <c r="BW181" s="201"/>
      <c r="BX181" s="201">
        <f t="shared" si="202"/>
        <v>1571838.34</v>
      </c>
      <c r="BY181" s="199">
        <v>2780000</v>
      </c>
      <c r="BZ181" s="199">
        <v>2540000</v>
      </c>
      <c r="CA181" s="199">
        <v>2680000</v>
      </c>
      <c r="CB181" s="199">
        <v>2040000</v>
      </c>
      <c r="CC181" s="199">
        <v>2100000</v>
      </c>
      <c r="CD181" s="199">
        <v>2180000</v>
      </c>
      <c r="CE181" s="199">
        <v>2960000</v>
      </c>
      <c r="CF181" s="199">
        <v>2100000</v>
      </c>
      <c r="CG181" s="199">
        <v>2940000</v>
      </c>
      <c r="CH181" s="199">
        <v>2000000</v>
      </c>
      <c r="CI181" s="199">
        <v>2920000</v>
      </c>
      <c r="CJ181" s="199">
        <v>2760000</v>
      </c>
      <c r="CK181" s="214" t="s">
        <v>577</v>
      </c>
      <c r="CL181" s="214" t="s">
        <v>276</v>
      </c>
      <c r="CM181" s="211">
        <v>185</v>
      </c>
      <c r="CN181" s="215">
        <v>2000</v>
      </c>
      <c r="CO181" s="215"/>
      <c r="CP181" s="216">
        <v>257</v>
      </c>
      <c r="CQ181" s="217"/>
      <c r="CR181" s="211"/>
      <c r="CS181" s="218"/>
      <c r="CT181" s="218"/>
      <c r="CU181" s="218"/>
      <c r="CV181" s="211"/>
      <c r="CW181" s="211"/>
      <c r="CX181" s="211"/>
      <c r="CY181" s="211"/>
      <c r="CZ181" s="211"/>
      <c r="DA181" s="211"/>
      <c r="DB181" s="211"/>
      <c r="DC181" s="219"/>
      <c r="DD181" s="219"/>
      <c r="DE181" s="219"/>
      <c r="DF181" s="211"/>
      <c r="DG181" s="211"/>
      <c r="DH181" s="211"/>
      <c r="DI181" s="211"/>
      <c r="DJ181" s="211"/>
      <c r="DK181" s="220" t="s">
        <v>53</v>
      </c>
      <c r="DT181" s="222"/>
    </row>
    <row r="182" spans="1:124" s="176" customFormat="1" ht="42" x14ac:dyDescent="0.2">
      <c r="A182" s="195" t="s">
        <v>108</v>
      </c>
      <c r="B182" s="197" t="s">
        <v>578</v>
      </c>
      <c r="C182" s="198">
        <v>1</v>
      </c>
      <c r="D182" s="199">
        <v>35000000</v>
      </c>
      <c r="E182" s="198" t="s">
        <v>579</v>
      </c>
      <c r="F182" s="198" t="s">
        <v>97</v>
      </c>
      <c r="G182" s="198" t="s">
        <v>98</v>
      </c>
      <c r="H182" s="200">
        <v>1</v>
      </c>
      <c r="I182" s="199">
        <f t="shared" si="170"/>
        <v>0</v>
      </c>
      <c r="J182" s="199">
        <f t="shared" si="171"/>
        <v>35000000</v>
      </c>
      <c r="K182" s="199">
        <f t="shared" si="172"/>
        <v>35000000</v>
      </c>
      <c r="L182" s="199">
        <v>0</v>
      </c>
      <c r="M182" s="199">
        <v>35000000</v>
      </c>
      <c r="N182" s="199">
        <f t="shared" si="173"/>
        <v>35000000</v>
      </c>
      <c r="O182" s="199"/>
      <c r="P182" s="201">
        <v>0</v>
      </c>
      <c r="Q182" s="202">
        <v>12</v>
      </c>
      <c r="R182" s="203">
        <v>45566</v>
      </c>
      <c r="S182" s="204"/>
      <c r="T182" s="204">
        <v>35000000</v>
      </c>
      <c r="U182" s="204">
        <f t="shared" si="174"/>
        <v>35000000</v>
      </c>
      <c r="V182" s="205">
        <v>228</v>
      </c>
      <c r="W182" s="200">
        <v>45586</v>
      </c>
      <c r="X182" s="201"/>
      <c r="Y182" s="201">
        <v>-856000</v>
      </c>
      <c r="Z182" s="201">
        <f t="shared" si="175"/>
        <v>-856000</v>
      </c>
      <c r="AA182" s="198">
        <v>2288</v>
      </c>
      <c r="AB182" s="206">
        <v>45797</v>
      </c>
      <c r="AC182" s="207"/>
      <c r="AD182" s="201">
        <v>-1424703.82</v>
      </c>
      <c r="AE182" s="204">
        <f t="shared" si="176"/>
        <v>-1424703.82</v>
      </c>
      <c r="AF182" s="203">
        <f t="shared" si="177"/>
        <v>45566</v>
      </c>
      <c r="AG182" s="201">
        <f t="shared" si="178"/>
        <v>0</v>
      </c>
      <c r="AH182" s="199">
        <f t="shared" si="179"/>
        <v>33575296.18</v>
      </c>
      <c r="AI182" s="199">
        <f t="shared" si="180"/>
        <v>33575296.18</v>
      </c>
      <c r="AJ182" s="201">
        <f t="shared" si="203"/>
        <v>0</v>
      </c>
      <c r="AK182" s="201">
        <f t="shared" si="203"/>
        <v>32719296.18</v>
      </c>
      <c r="AL182" s="201">
        <f t="shared" si="181"/>
        <v>32719296.18</v>
      </c>
      <c r="AM182" s="198">
        <v>229</v>
      </c>
      <c r="AN182" s="203">
        <v>45586</v>
      </c>
      <c r="AO182" s="208">
        <v>856000</v>
      </c>
      <c r="AP182" s="201">
        <f t="shared" si="182"/>
        <v>0</v>
      </c>
      <c r="AQ182" s="201">
        <f t="shared" si="183"/>
        <v>23699489.93</v>
      </c>
      <c r="AR182" s="201">
        <f t="shared" si="184"/>
        <v>23699489.93</v>
      </c>
      <c r="AS182" s="201">
        <f t="shared" si="185"/>
        <v>70.586093426979858</v>
      </c>
      <c r="AT182" s="201"/>
      <c r="AU182" s="223">
        <v>23387398.050000001</v>
      </c>
      <c r="AV182" s="201">
        <f t="shared" si="186"/>
        <v>23387398.050000001</v>
      </c>
      <c r="AW182" s="201">
        <f t="shared" si="195"/>
        <v>9.4745314292393186</v>
      </c>
      <c r="AX182" s="201">
        <f t="shared" si="187"/>
        <v>71.478915442856575</v>
      </c>
      <c r="AY182" s="208">
        <v>312091.88</v>
      </c>
      <c r="AZ182" s="201">
        <f t="shared" si="188"/>
        <v>0</v>
      </c>
      <c r="BA182" s="201">
        <f t="shared" si="189"/>
        <v>7468269.6699999999</v>
      </c>
      <c r="BB182" s="201">
        <f t="shared" si="190"/>
        <v>7468269.6699999999</v>
      </c>
      <c r="BC182" s="201"/>
      <c r="BD182" s="223">
        <v>7468269.6699999999</v>
      </c>
      <c r="BE182" s="201">
        <f t="shared" si="191"/>
        <v>7468269.6699999999</v>
      </c>
      <c r="BF182" s="208"/>
      <c r="BG182" s="201">
        <f t="shared" si="204"/>
        <v>0</v>
      </c>
      <c r="BH182" s="201">
        <f t="shared" si="204"/>
        <v>31167759.600000001</v>
      </c>
      <c r="BI182" s="201">
        <f t="shared" si="192"/>
        <v>31167759.600000001</v>
      </c>
      <c r="BJ182" s="201">
        <f t="shared" si="200"/>
        <v>92.829440529450608</v>
      </c>
      <c r="BK182" s="210">
        <v>10</v>
      </c>
      <c r="BL182" s="210">
        <v>70</v>
      </c>
      <c r="BM182" s="211"/>
      <c r="BN182" s="211"/>
      <c r="BO182" s="212">
        <f t="shared" si="193"/>
        <v>0</v>
      </c>
      <c r="BP182" s="201">
        <f t="shared" si="194"/>
        <v>9875806.2499999981</v>
      </c>
      <c r="BQ182" s="201">
        <f t="shared" si="196"/>
        <v>9875806.2499999981</v>
      </c>
      <c r="BR182" s="201">
        <f t="shared" si="201"/>
        <v>0</v>
      </c>
      <c r="BS182" s="201">
        <f t="shared" si="201"/>
        <v>9331898.129999999</v>
      </c>
      <c r="BT182" s="201">
        <f t="shared" si="197"/>
        <v>9331898.129999999</v>
      </c>
      <c r="BU182" s="213">
        <f t="shared" si="198"/>
        <v>543908.12</v>
      </c>
      <c r="BV182" s="201">
        <f>856000+1424703.82</f>
        <v>2280703.8200000003</v>
      </c>
      <c r="BW182" s="201"/>
      <c r="BX182" s="201">
        <f t="shared" si="202"/>
        <v>2280703.8200000003</v>
      </c>
      <c r="BY182" s="199">
        <v>3320000</v>
      </c>
      <c r="BZ182" s="199">
        <v>3300000</v>
      </c>
      <c r="CA182" s="199">
        <v>3480000</v>
      </c>
      <c r="CB182" s="199">
        <v>2040000</v>
      </c>
      <c r="CC182" s="199">
        <v>2720000</v>
      </c>
      <c r="CD182" s="199">
        <v>3400000</v>
      </c>
      <c r="CE182" s="199">
        <v>3480000</v>
      </c>
      <c r="CF182" s="199">
        <v>3100000</v>
      </c>
      <c r="CG182" s="199">
        <v>2720000</v>
      </c>
      <c r="CH182" s="199">
        <v>2680000</v>
      </c>
      <c r="CI182" s="199">
        <v>2400000</v>
      </c>
      <c r="CJ182" s="199">
        <v>2360000</v>
      </c>
      <c r="CK182" s="214" t="s">
        <v>580</v>
      </c>
      <c r="CL182" s="214" t="s">
        <v>276</v>
      </c>
      <c r="CM182" s="211">
        <v>185</v>
      </c>
      <c r="CN182" s="215"/>
      <c r="CO182" s="215">
        <v>3000</v>
      </c>
      <c r="CP182" s="216">
        <v>375</v>
      </c>
      <c r="CQ182" s="217"/>
      <c r="CR182" s="211"/>
      <c r="CS182" s="218"/>
      <c r="CT182" s="218"/>
      <c r="CU182" s="218"/>
      <c r="CV182" s="211"/>
      <c r="CW182" s="211"/>
      <c r="CX182" s="211"/>
      <c r="CY182" s="211"/>
      <c r="CZ182" s="211"/>
      <c r="DA182" s="211"/>
      <c r="DB182" s="211"/>
      <c r="DC182" s="219"/>
      <c r="DD182" s="219"/>
      <c r="DE182" s="219"/>
      <c r="DF182" s="211"/>
      <c r="DG182" s="211"/>
      <c r="DH182" s="211"/>
      <c r="DI182" s="211"/>
      <c r="DJ182" s="211"/>
      <c r="DK182" s="220" t="s">
        <v>32</v>
      </c>
      <c r="DT182" s="222"/>
    </row>
    <row r="183" spans="1:124" s="176" customFormat="1" ht="63" x14ac:dyDescent="0.2">
      <c r="A183" s="195" t="s">
        <v>108</v>
      </c>
      <c r="B183" s="197" t="s">
        <v>581</v>
      </c>
      <c r="C183" s="198">
        <v>1</v>
      </c>
      <c r="D183" s="199">
        <v>15000000</v>
      </c>
      <c r="E183" s="198" t="s">
        <v>582</v>
      </c>
      <c r="F183" s="198" t="s">
        <v>307</v>
      </c>
      <c r="G183" s="198" t="s">
        <v>98</v>
      </c>
      <c r="H183" s="200">
        <v>1</v>
      </c>
      <c r="I183" s="199">
        <f t="shared" si="170"/>
        <v>0</v>
      </c>
      <c r="J183" s="199">
        <f t="shared" si="171"/>
        <v>15000000</v>
      </c>
      <c r="K183" s="199">
        <f t="shared" si="172"/>
        <v>15000000</v>
      </c>
      <c r="L183" s="199">
        <v>0</v>
      </c>
      <c r="M183" s="199">
        <v>15000000</v>
      </c>
      <c r="N183" s="199">
        <f t="shared" si="173"/>
        <v>15000000</v>
      </c>
      <c r="O183" s="199"/>
      <c r="P183" s="201">
        <v>0</v>
      </c>
      <c r="Q183" s="202">
        <v>12</v>
      </c>
      <c r="R183" s="203">
        <v>45566</v>
      </c>
      <c r="S183" s="204"/>
      <c r="T183" s="204">
        <v>15000000</v>
      </c>
      <c r="U183" s="204">
        <f t="shared" si="174"/>
        <v>15000000</v>
      </c>
      <c r="V183" s="205">
        <v>1341</v>
      </c>
      <c r="W183" s="200">
        <v>45681</v>
      </c>
      <c r="X183" s="201"/>
      <c r="Y183" s="201">
        <v>-235715.22</v>
      </c>
      <c r="Z183" s="201">
        <f t="shared" si="175"/>
        <v>-235715.22</v>
      </c>
      <c r="AA183" s="198"/>
      <c r="AB183" s="206"/>
      <c r="AC183" s="207"/>
      <c r="AD183" s="201"/>
      <c r="AE183" s="204">
        <f t="shared" si="176"/>
        <v>0</v>
      </c>
      <c r="AF183" s="203">
        <f t="shared" si="177"/>
        <v>45566</v>
      </c>
      <c r="AG183" s="201">
        <f t="shared" si="178"/>
        <v>0</v>
      </c>
      <c r="AH183" s="199">
        <f t="shared" si="179"/>
        <v>14764284.779999999</v>
      </c>
      <c r="AI183" s="199">
        <f t="shared" si="180"/>
        <v>14764284.779999999</v>
      </c>
      <c r="AJ183" s="201">
        <f t="shared" si="203"/>
        <v>0</v>
      </c>
      <c r="AK183" s="201">
        <f t="shared" si="203"/>
        <v>14764284.779999999</v>
      </c>
      <c r="AL183" s="201">
        <f t="shared" si="181"/>
        <v>14764284.779999999</v>
      </c>
      <c r="AM183" s="198"/>
      <c r="AN183" s="203"/>
      <c r="AO183" s="208"/>
      <c r="AP183" s="201">
        <f t="shared" si="182"/>
        <v>0</v>
      </c>
      <c r="AQ183" s="201">
        <f t="shared" si="183"/>
        <v>13762272.9</v>
      </c>
      <c r="AR183" s="201">
        <f t="shared" si="184"/>
        <v>13762272.9</v>
      </c>
      <c r="AS183" s="201">
        <f t="shared" si="185"/>
        <v>93.213271791144635</v>
      </c>
      <c r="AT183" s="201"/>
      <c r="AU183" s="223">
        <v>13762272.9</v>
      </c>
      <c r="AV183" s="201">
        <f t="shared" si="186"/>
        <v>13762272.9</v>
      </c>
      <c r="AW183" s="201">
        <f t="shared" si="195"/>
        <v>13.207548005586492</v>
      </c>
      <c r="AX183" s="201">
        <f t="shared" si="187"/>
        <v>93.213271791144635</v>
      </c>
      <c r="AY183" s="208"/>
      <c r="AZ183" s="201">
        <f t="shared" si="188"/>
        <v>0</v>
      </c>
      <c r="BA183" s="201">
        <f t="shared" si="189"/>
        <v>91700</v>
      </c>
      <c r="BB183" s="201">
        <f t="shared" si="190"/>
        <v>91700</v>
      </c>
      <c r="BC183" s="201"/>
      <c r="BD183" s="223">
        <v>91700</v>
      </c>
      <c r="BE183" s="201">
        <f t="shared" si="191"/>
        <v>91700</v>
      </c>
      <c r="BF183" s="208"/>
      <c r="BG183" s="201">
        <f t="shared" si="204"/>
        <v>0</v>
      </c>
      <c r="BH183" s="201">
        <f t="shared" si="204"/>
        <v>13853972.9</v>
      </c>
      <c r="BI183" s="201">
        <f t="shared" si="192"/>
        <v>13853972.9</v>
      </c>
      <c r="BJ183" s="201">
        <f t="shared" si="200"/>
        <v>93.834365202484264</v>
      </c>
      <c r="BK183" s="210">
        <v>10</v>
      </c>
      <c r="BL183" s="210">
        <v>90</v>
      </c>
      <c r="BM183" s="211"/>
      <c r="BN183" s="211"/>
      <c r="BO183" s="212">
        <f t="shared" si="193"/>
        <v>0</v>
      </c>
      <c r="BP183" s="201">
        <f t="shared" si="194"/>
        <v>1002011.879999999</v>
      </c>
      <c r="BQ183" s="201">
        <f t="shared" si="196"/>
        <v>1002011.879999999</v>
      </c>
      <c r="BR183" s="201">
        <f t="shared" si="201"/>
        <v>0</v>
      </c>
      <c r="BS183" s="201">
        <f t="shared" si="201"/>
        <v>1002011.879999999</v>
      </c>
      <c r="BT183" s="201">
        <f t="shared" si="197"/>
        <v>1002011.879999999</v>
      </c>
      <c r="BU183" s="213">
        <f t="shared" si="198"/>
        <v>0</v>
      </c>
      <c r="BV183" s="201">
        <v>235715.22</v>
      </c>
      <c r="BW183" s="201"/>
      <c r="BX183" s="201">
        <f t="shared" si="202"/>
        <v>235715.22</v>
      </c>
      <c r="BY183" s="199">
        <v>830000</v>
      </c>
      <c r="BZ183" s="199">
        <v>1090000</v>
      </c>
      <c r="CA183" s="199">
        <v>1380000</v>
      </c>
      <c r="CB183" s="199">
        <v>1040000</v>
      </c>
      <c r="CC183" s="199">
        <v>1300000</v>
      </c>
      <c r="CD183" s="199">
        <v>1080000</v>
      </c>
      <c r="CE183" s="199">
        <v>1860000</v>
      </c>
      <c r="CF183" s="199">
        <v>1950000</v>
      </c>
      <c r="CG183" s="199">
        <v>1040000</v>
      </c>
      <c r="CH183" s="199">
        <v>1050000</v>
      </c>
      <c r="CI183" s="199">
        <v>920000</v>
      </c>
      <c r="CJ183" s="199">
        <v>1460000</v>
      </c>
      <c r="CK183" s="214" t="s">
        <v>583</v>
      </c>
      <c r="CL183" s="214" t="s">
        <v>276</v>
      </c>
      <c r="CM183" s="211">
        <v>185</v>
      </c>
      <c r="CN183" s="215">
        <v>500</v>
      </c>
      <c r="CO183" s="215"/>
      <c r="CP183" s="216">
        <v>146</v>
      </c>
      <c r="CQ183" s="217"/>
      <c r="CR183" s="211"/>
      <c r="CS183" s="218"/>
      <c r="CT183" s="218"/>
      <c r="CU183" s="218"/>
      <c r="CV183" s="211"/>
      <c r="CW183" s="211"/>
      <c r="CX183" s="211"/>
      <c r="CY183" s="211"/>
      <c r="CZ183" s="211"/>
      <c r="DA183" s="211"/>
      <c r="DB183" s="211"/>
      <c r="DC183" s="219"/>
      <c r="DD183" s="219"/>
      <c r="DE183" s="219"/>
      <c r="DF183" s="211"/>
      <c r="DG183" s="211"/>
      <c r="DH183" s="211"/>
      <c r="DI183" s="211"/>
      <c r="DJ183" s="211"/>
      <c r="DK183" s="220" t="s">
        <v>32</v>
      </c>
      <c r="DT183" s="222"/>
    </row>
    <row r="184" spans="1:124" s="176" customFormat="1" ht="63" x14ac:dyDescent="0.2">
      <c r="A184" s="195" t="s">
        <v>108</v>
      </c>
      <c r="B184" s="197" t="s">
        <v>584</v>
      </c>
      <c r="C184" s="198">
        <v>1</v>
      </c>
      <c r="D184" s="199">
        <v>18000000</v>
      </c>
      <c r="E184" s="198" t="s">
        <v>585</v>
      </c>
      <c r="F184" s="198" t="s">
        <v>97</v>
      </c>
      <c r="G184" s="198" t="s">
        <v>98</v>
      </c>
      <c r="H184" s="200">
        <v>1</v>
      </c>
      <c r="I184" s="199">
        <f t="shared" si="170"/>
        <v>310000</v>
      </c>
      <c r="J184" s="199">
        <f t="shared" si="171"/>
        <v>17690000</v>
      </c>
      <c r="K184" s="199">
        <f t="shared" si="172"/>
        <v>18000000</v>
      </c>
      <c r="L184" s="199">
        <v>310000</v>
      </c>
      <c r="M184" s="199">
        <v>17690000</v>
      </c>
      <c r="N184" s="199">
        <f t="shared" si="173"/>
        <v>18000000</v>
      </c>
      <c r="O184" s="199"/>
      <c r="P184" s="201">
        <v>0</v>
      </c>
      <c r="Q184" s="202">
        <v>11</v>
      </c>
      <c r="R184" s="203">
        <v>45566</v>
      </c>
      <c r="S184" s="204"/>
      <c r="T184" s="204">
        <v>17690000</v>
      </c>
      <c r="U184" s="204">
        <f t="shared" si="174"/>
        <v>17690000</v>
      </c>
      <c r="V184" s="205">
        <v>612</v>
      </c>
      <c r="W184" s="200">
        <v>45617</v>
      </c>
      <c r="X184" s="201">
        <v>309719</v>
      </c>
      <c r="Y184" s="201"/>
      <c r="Z184" s="201">
        <f t="shared" si="175"/>
        <v>309719</v>
      </c>
      <c r="AA184" s="198">
        <v>1341</v>
      </c>
      <c r="AB184" s="206">
        <v>45681</v>
      </c>
      <c r="AC184" s="207"/>
      <c r="AD184" s="201">
        <f>+-155428+-1172604</f>
        <v>-1328032</v>
      </c>
      <c r="AE184" s="204">
        <f t="shared" si="176"/>
        <v>-1328032</v>
      </c>
      <c r="AF184" s="203">
        <f t="shared" si="177"/>
        <v>45566</v>
      </c>
      <c r="AG184" s="201">
        <f t="shared" si="178"/>
        <v>309719</v>
      </c>
      <c r="AH184" s="199">
        <f t="shared" si="179"/>
        <v>16361968</v>
      </c>
      <c r="AI184" s="199">
        <f t="shared" si="180"/>
        <v>16671687</v>
      </c>
      <c r="AJ184" s="201">
        <f t="shared" si="203"/>
        <v>309719</v>
      </c>
      <c r="AK184" s="201">
        <f t="shared" si="203"/>
        <v>16361968</v>
      </c>
      <c r="AL184" s="201">
        <f t="shared" si="181"/>
        <v>16671687</v>
      </c>
      <c r="AM184" s="198"/>
      <c r="AN184" s="203"/>
      <c r="AO184" s="208"/>
      <c r="AP184" s="201">
        <f t="shared" si="182"/>
        <v>309718.5</v>
      </c>
      <c r="AQ184" s="201">
        <f t="shared" si="183"/>
        <v>15175115.289999999</v>
      </c>
      <c r="AR184" s="201">
        <f t="shared" si="184"/>
        <v>15484833.789999999</v>
      </c>
      <c r="AS184" s="201">
        <f t="shared" si="185"/>
        <v>92.881025117614072</v>
      </c>
      <c r="AT184" s="201">
        <v>309718.5</v>
      </c>
      <c r="AU184" s="223">
        <f>15484833.79-AT184</f>
        <v>15175115.289999999</v>
      </c>
      <c r="AV184" s="201">
        <f t="shared" si="186"/>
        <v>15484833.789999999</v>
      </c>
      <c r="AW184" s="201">
        <f t="shared" si="195"/>
        <v>10.196928481202892</v>
      </c>
      <c r="AX184" s="201">
        <f t="shared" si="187"/>
        <v>92.881025117614072</v>
      </c>
      <c r="AY184" s="208"/>
      <c r="AZ184" s="201">
        <f t="shared" si="188"/>
        <v>0</v>
      </c>
      <c r="BA184" s="201">
        <f t="shared" si="189"/>
        <v>365399</v>
      </c>
      <c r="BB184" s="201">
        <f t="shared" si="190"/>
        <v>365399</v>
      </c>
      <c r="BC184" s="201"/>
      <c r="BD184" s="223">
        <v>365399</v>
      </c>
      <c r="BE184" s="201">
        <f t="shared" si="191"/>
        <v>365399</v>
      </c>
      <c r="BF184" s="208"/>
      <c r="BG184" s="201">
        <f t="shared" si="204"/>
        <v>309718.5</v>
      </c>
      <c r="BH184" s="201">
        <f t="shared" si="204"/>
        <v>15540514.289999999</v>
      </c>
      <c r="BI184" s="201">
        <f t="shared" si="192"/>
        <v>15850232.789999999</v>
      </c>
      <c r="BJ184" s="201">
        <f t="shared" si="200"/>
        <v>95.072758923557046</v>
      </c>
      <c r="BK184" s="210">
        <v>10</v>
      </c>
      <c r="BL184" s="210">
        <v>90</v>
      </c>
      <c r="BM184" s="211"/>
      <c r="BN184" s="211"/>
      <c r="BO184" s="212">
        <f t="shared" si="193"/>
        <v>0.5</v>
      </c>
      <c r="BP184" s="201">
        <f t="shared" si="194"/>
        <v>1186852.7100000009</v>
      </c>
      <c r="BQ184" s="201">
        <f t="shared" si="196"/>
        <v>1186853.2100000009</v>
      </c>
      <c r="BR184" s="201">
        <f t="shared" si="201"/>
        <v>0.5</v>
      </c>
      <c r="BS184" s="201">
        <f t="shared" si="201"/>
        <v>1186852.7100000009</v>
      </c>
      <c r="BT184" s="201">
        <f t="shared" si="197"/>
        <v>1186853.2100000009</v>
      </c>
      <c r="BU184" s="213">
        <f t="shared" si="198"/>
        <v>0</v>
      </c>
      <c r="BV184" s="201">
        <f>155428+1172604</f>
        <v>1328032</v>
      </c>
      <c r="BW184" s="201"/>
      <c r="BX184" s="201">
        <f t="shared" si="202"/>
        <v>1328032</v>
      </c>
      <c r="BY184" s="199">
        <v>1180000</v>
      </c>
      <c r="BZ184" s="199">
        <v>1240000</v>
      </c>
      <c r="CA184" s="199">
        <v>1420000</v>
      </c>
      <c r="CB184" s="199">
        <v>1440000</v>
      </c>
      <c r="CC184" s="199">
        <v>1700000</v>
      </c>
      <c r="CD184" s="199">
        <v>2040000</v>
      </c>
      <c r="CE184" s="199">
        <v>1560000</v>
      </c>
      <c r="CF184" s="199">
        <v>1700000</v>
      </c>
      <c r="CG184" s="199">
        <v>1540000</v>
      </c>
      <c r="CH184" s="199">
        <v>1500000</v>
      </c>
      <c r="CI184" s="199">
        <v>1320000</v>
      </c>
      <c r="CJ184" s="199">
        <v>1360000</v>
      </c>
      <c r="CK184" s="214" t="s">
        <v>586</v>
      </c>
      <c r="CL184" s="214" t="s">
        <v>276</v>
      </c>
      <c r="CM184" s="211">
        <v>185</v>
      </c>
      <c r="CN184" s="215">
        <v>600</v>
      </c>
      <c r="CO184" s="215"/>
      <c r="CP184" s="216">
        <v>263</v>
      </c>
      <c r="CQ184" s="217"/>
      <c r="CR184" s="211"/>
      <c r="CS184" s="218"/>
      <c r="CT184" s="218"/>
      <c r="CU184" s="218"/>
      <c r="CV184" s="211"/>
      <c r="CW184" s="211"/>
      <c r="CX184" s="211"/>
      <c r="CY184" s="211"/>
      <c r="CZ184" s="211"/>
      <c r="DA184" s="211"/>
      <c r="DB184" s="211"/>
      <c r="DC184" s="219"/>
      <c r="DD184" s="219"/>
      <c r="DE184" s="219"/>
      <c r="DF184" s="211"/>
      <c r="DG184" s="211"/>
      <c r="DH184" s="211"/>
      <c r="DI184" s="211"/>
      <c r="DJ184" s="211"/>
      <c r="DK184" s="220" t="s">
        <v>53</v>
      </c>
      <c r="DT184" s="222"/>
    </row>
    <row r="185" spans="1:124" s="176" customFormat="1" ht="63" x14ac:dyDescent="0.2">
      <c r="A185" s="195" t="s">
        <v>108</v>
      </c>
      <c r="B185" s="197" t="s">
        <v>587</v>
      </c>
      <c r="C185" s="198">
        <v>1</v>
      </c>
      <c r="D185" s="199">
        <v>35000000</v>
      </c>
      <c r="E185" s="198" t="s">
        <v>307</v>
      </c>
      <c r="F185" s="198" t="s">
        <v>115</v>
      </c>
      <c r="G185" s="198" t="s">
        <v>98</v>
      </c>
      <c r="H185" s="200">
        <v>1</v>
      </c>
      <c r="I185" s="199">
        <f t="shared" si="170"/>
        <v>0</v>
      </c>
      <c r="J185" s="199">
        <f t="shared" si="171"/>
        <v>35000000</v>
      </c>
      <c r="K185" s="199">
        <f t="shared" si="172"/>
        <v>35000000</v>
      </c>
      <c r="L185" s="199">
        <v>0</v>
      </c>
      <c r="M185" s="199">
        <v>35000000</v>
      </c>
      <c r="N185" s="199">
        <f t="shared" si="173"/>
        <v>35000000</v>
      </c>
      <c r="O185" s="199"/>
      <c r="P185" s="201">
        <v>0</v>
      </c>
      <c r="Q185" s="202">
        <v>12</v>
      </c>
      <c r="R185" s="203">
        <v>45566</v>
      </c>
      <c r="S185" s="204"/>
      <c r="T185" s="204">
        <v>35000000</v>
      </c>
      <c r="U185" s="204">
        <f t="shared" si="174"/>
        <v>35000000</v>
      </c>
      <c r="V185" s="205">
        <v>2067</v>
      </c>
      <c r="W185" s="200">
        <v>45758</v>
      </c>
      <c r="X185" s="201"/>
      <c r="Y185" s="201">
        <v>-888737.75</v>
      </c>
      <c r="Z185" s="201">
        <f t="shared" si="175"/>
        <v>-888737.75</v>
      </c>
      <c r="AA185" s="198"/>
      <c r="AB185" s="206"/>
      <c r="AC185" s="207"/>
      <c r="AD185" s="201"/>
      <c r="AE185" s="204">
        <f t="shared" si="176"/>
        <v>0</v>
      </c>
      <c r="AF185" s="203">
        <f t="shared" si="177"/>
        <v>45566</v>
      </c>
      <c r="AG185" s="201">
        <f t="shared" si="178"/>
        <v>0</v>
      </c>
      <c r="AH185" s="199">
        <f t="shared" si="179"/>
        <v>34111262.25</v>
      </c>
      <c r="AI185" s="199">
        <f t="shared" si="180"/>
        <v>34111262.25</v>
      </c>
      <c r="AJ185" s="201">
        <f t="shared" si="203"/>
        <v>0</v>
      </c>
      <c r="AK185" s="201">
        <f t="shared" si="203"/>
        <v>34111262.25</v>
      </c>
      <c r="AL185" s="201">
        <f t="shared" si="181"/>
        <v>34111262.25</v>
      </c>
      <c r="AM185" s="198"/>
      <c r="AN185" s="203"/>
      <c r="AO185" s="208"/>
      <c r="AP185" s="201">
        <f t="shared" si="182"/>
        <v>0</v>
      </c>
      <c r="AQ185" s="201">
        <f t="shared" si="183"/>
        <v>19084280.09</v>
      </c>
      <c r="AR185" s="201">
        <f t="shared" si="184"/>
        <v>19084280.09</v>
      </c>
      <c r="AS185" s="201">
        <f t="shared" si="185"/>
        <v>55.947153025684358</v>
      </c>
      <c r="AT185" s="201"/>
      <c r="AU185" s="223">
        <v>19084280.09</v>
      </c>
      <c r="AV185" s="201">
        <f t="shared" si="186"/>
        <v>19084280.09</v>
      </c>
      <c r="AW185" s="201">
        <f t="shared" si="195"/>
        <v>9.0879076162008641</v>
      </c>
      <c r="AX185" s="201">
        <f t="shared" si="187"/>
        <v>55.947153025684358</v>
      </c>
      <c r="AY185" s="208"/>
      <c r="AZ185" s="201">
        <f t="shared" si="188"/>
        <v>0</v>
      </c>
      <c r="BA185" s="201">
        <f t="shared" si="189"/>
        <v>2647863</v>
      </c>
      <c r="BB185" s="201">
        <f t="shared" si="190"/>
        <v>2647863</v>
      </c>
      <c r="BC185" s="201"/>
      <c r="BD185" s="223">
        <v>2647863</v>
      </c>
      <c r="BE185" s="201">
        <f t="shared" si="191"/>
        <v>2647863</v>
      </c>
      <c r="BF185" s="208"/>
      <c r="BG185" s="201">
        <f t="shared" si="204"/>
        <v>0</v>
      </c>
      <c r="BH185" s="201">
        <f t="shared" si="204"/>
        <v>21732143.09</v>
      </c>
      <c r="BI185" s="201">
        <f t="shared" si="192"/>
        <v>21732143.09</v>
      </c>
      <c r="BJ185" s="201">
        <f t="shared" si="200"/>
        <v>63.709583452896119</v>
      </c>
      <c r="BK185" s="210">
        <v>10</v>
      </c>
      <c r="BL185" s="210">
        <v>58</v>
      </c>
      <c r="BM185" s="211"/>
      <c r="BN185" s="211"/>
      <c r="BO185" s="212">
        <f t="shared" si="193"/>
        <v>0</v>
      </c>
      <c r="BP185" s="201">
        <f t="shared" si="194"/>
        <v>15026982.16</v>
      </c>
      <c r="BQ185" s="201">
        <f t="shared" si="196"/>
        <v>15026982.16</v>
      </c>
      <c r="BR185" s="201">
        <f t="shared" si="201"/>
        <v>0</v>
      </c>
      <c r="BS185" s="201">
        <f t="shared" si="201"/>
        <v>15026982.16</v>
      </c>
      <c r="BT185" s="201">
        <f t="shared" si="197"/>
        <v>15026982.16</v>
      </c>
      <c r="BU185" s="213">
        <f t="shared" si="198"/>
        <v>0</v>
      </c>
      <c r="BV185" s="201">
        <v>888737.75</v>
      </c>
      <c r="BW185" s="201"/>
      <c r="BX185" s="201">
        <f t="shared" si="202"/>
        <v>888737.75</v>
      </c>
      <c r="BY185" s="199">
        <v>3820000</v>
      </c>
      <c r="BZ185" s="199">
        <v>3800000</v>
      </c>
      <c r="CA185" s="199">
        <v>3480000</v>
      </c>
      <c r="CB185" s="199">
        <v>2040000</v>
      </c>
      <c r="CC185" s="199">
        <v>2720000</v>
      </c>
      <c r="CD185" s="199">
        <v>3400000</v>
      </c>
      <c r="CE185" s="199">
        <v>3080000</v>
      </c>
      <c r="CF185" s="199">
        <v>3100000</v>
      </c>
      <c r="CG185" s="199">
        <v>2720000</v>
      </c>
      <c r="CH185" s="199">
        <v>2380000</v>
      </c>
      <c r="CI185" s="199">
        <v>2400000</v>
      </c>
      <c r="CJ185" s="199">
        <v>2060000</v>
      </c>
      <c r="CK185" s="214" t="s">
        <v>588</v>
      </c>
      <c r="CL185" s="214" t="s">
        <v>276</v>
      </c>
      <c r="CM185" s="211">
        <v>185</v>
      </c>
      <c r="CN185" s="215">
        <v>1200</v>
      </c>
      <c r="CO185" s="215"/>
      <c r="CP185" s="216">
        <v>518</v>
      </c>
      <c r="CQ185" s="217"/>
      <c r="CR185" s="211"/>
      <c r="CS185" s="218"/>
      <c r="CT185" s="218"/>
      <c r="CU185" s="218"/>
      <c r="CV185" s="211"/>
      <c r="CW185" s="211"/>
      <c r="CX185" s="211"/>
      <c r="CY185" s="211"/>
      <c r="CZ185" s="211"/>
      <c r="DA185" s="211"/>
      <c r="DB185" s="211"/>
      <c r="DC185" s="219"/>
      <c r="DD185" s="219"/>
      <c r="DE185" s="219"/>
      <c r="DF185" s="211"/>
      <c r="DG185" s="211"/>
      <c r="DH185" s="211"/>
      <c r="DI185" s="211"/>
      <c r="DJ185" s="211"/>
      <c r="DK185" s="220" t="s">
        <v>32</v>
      </c>
      <c r="DT185" s="222"/>
    </row>
    <row r="186" spans="1:124" s="176" customFormat="1" ht="42" x14ac:dyDescent="0.2">
      <c r="A186" s="195" t="s">
        <v>108</v>
      </c>
      <c r="B186" s="197" t="s">
        <v>589</v>
      </c>
      <c r="C186" s="198">
        <v>1</v>
      </c>
      <c r="D186" s="199">
        <v>20000000</v>
      </c>
      <c r="E186" s="198" t="s">
        <v>590</v>
      </c>
      <c r="F186" s="198" t="s">
        <v>115</v>
      </c>
      <c r="G186" s="198" t="s">
        <v>98</v>
      </c>
      <c r="H186" s="200">
        <v>1</v>
      </c>
      <c r="I186" s="199">
        <f t="shared" si="170"/>
        <v>413000</v>
      </c>
      <c r="J186" s="199">
        <f t="shared" si="171"/>
        <v>19587000</v>
      </c>
      <c r="K186" s="199">
        <f t="shared" si="172"/>
        <v>20000000</v>
      </c>
      <c r="L186" s="199">
        <v>413000</v>
      </c>
      <c r="M186" s="199">
        <v>19587000</v>
      </c>
      <c r="N186" s="199">
        <f t="shared" si="173"/>
        <v>20000000</v>
      </c>
      <c r="O186" s="199"/>
      <c r="P186" s="201">
        <v>0</v>
      </c>
      <c r="Q186" s="202">
        <v>11</v>
      </c>
      <c r="R186" s="203">
        <v>45566</v>
      </c>
      <c r="S186" s="204"/>
      <c r="T186" s="204">
        <v>19587000</v>
      </c>
      <c r="U186" s="204">
        <f t="shared" si="174"/>
        <v>19587000</v>
      </c>
      <c r="V186" s="205">
        <v>612</v>
      </c>
      <c r="W186" s="200">
        <v>45617</v>
      </c>
      <c r="X186" s="201">
        <v>411975</v>
      </c>
      <c r="Y186" s="201"/>
      <c r="Z186" s="201">
        <f t="shared" si="175"/>
        <v>411975</v>
      </c>
      <c r="AA186" s="198">
        <v>2067</v>
      </c>
      <c r="AB186" s="206">
        <v>45758</v>
      </c>
      <c r="AC186" s="207"/>
      <c r="AD186" s="201">
        <v>-2655784.09</v>
      </c>
      <c r="AE186" s="204">
        <f t="shared" si="176"/>
        <v>-2655784.09</v>
      </c>
      <c r="AF186" s="203">
        <f t="shared" si="177"/>
        <v>45566</v>
      </c>
      <c r="AG186" s="201">
        <f t="shared" si="178"/>
        <v>411975</v>
      </c>
      <c r="AH186" s="199">
        <f t="shared" si="179"/>
        <v>16931215.91</v>
      </c>
      <c r="AI186" s="199">
        <f t="shared" si="180"/>
        <v>17343190.91</v>
      </c>
      <c r="AJ186" s="201">
        <f t="shared" si="203"/>
        <v>411975</v>
      </c>
      <c r="AK186" s="201">
        <f t="shared" si="203"/>
        <v>16931215.91</v>
      </c>
      <c r="AL186" s="201">
        <f t="shared" si="181"/>
        <v>17343190.91</v>
      </c>
      <c r="AM186" s="198"/>
      <c r="AN186" s="203"/>
      <c r="AO186" s="208"/>
      <c r="AP186" s="201">
        <f t="shared" si="182"/>
        <v>411975</v>
      </c>
      <c r="AQ186" s="201">
        <f t="shared" si="183"/>
        <v>14043842.199999999</v>
      </c>
      <c r="AR186" s="201">
        <f t="shared" si="184"/>
        <v>14455817.199999999</v>
      </c>
      <c r="AS186" s="201">
        <f t="shared" si="185"/>
        <v>83.351542833244409</v>
      </c>
      <c r="AT186" s="201">
        <v>411975</v>
      </c>
      <c r="AU186" s="223">
        <f>14455817.2-AT186</f>
        <v>14043842.199999999</v>
      </c>
      <c r="AV186" s="201">
        <f t="shared" si="186"/>
        <v>14455817.199999999</v>
      </c>
      <c r="AW186" s="201">
        <f t="shared" si="195"/>
        <v>9.802117781104446</v>
      </c>
      <c r="AX186" s="201">
        <f t="shared" si="187"/>
        <v>83.351542833244409</v>
      </c>
      <c r="AY186" s="208"/>
      <c r="AZ186" s="201">
        <f t="shared" si="188"/>
        <v>0</v>
      </c>
      <c r="BA186" s="201">
        <f t="shared" si="189"/>
        <v>2765043</v>
      </c>
      <c r="BB186" s="201">
        <f t="shared" si="190"/>
        <v>2765043</v>
      </c>
      <c r="BC186" s="201"/>
      <c r="BD186" s="223">
        <v>2765043</v>
      </c>
      <c r="BE186" s="201">
        <f t="shared" si="191"/>
        <v>2765043</v>
      </c>
      <c r="BF186" s="208"/>
      <c r="BG186" s="201">
        <f t="shared" si="204"/>
        <v>411975</v>
      </c>
      <c r="BH186" s="201">
        <f t="shared" si="204"/>
        <v>16808885.199999999</v>
      </c>
      <c r="BI186" s="201">
        <f t="shared" si="192"/>
        <v>17220860.199999999</v>
      </c>
      <c r="BJ186" s="201">
        <f t="shared" si="200"/>
        <v>99.294647042549329</v>
      </c>
      <c r="BK186" s="210">
        <v>10</v>
      </c>
      <c r="BL186" s="210">
        <v>98</v>
      </c>
      <c r="BM186" s="211"/>
      <c r="BN186" s="211"/>
      <c r="BO186" s="212">
        <f t="shared" si="193"/>
        <v>0</v>
      </c>
      <c r="BP186" s="201">
        <f t="shared" si="194"/>
        <v>2887373.7100000009</v>
      </c>
      <c r="BQ186" s="201">
        <f t="shared" si="196"/>
        <v>2887373.7100000009</v>
      </c>
      <c r="BR186" s="201">
        <f t="shared" si="201"/>
        <v>0</v>
      </c>
      <c r="BS186" s="201">
        <f t="shared" si="201"/>
        <v>2887373.7100000009</v>
      </c>
      <c r="BT186" s="201">
        <f t="shared" si="197"/>
        <v>2887373.7100000009</v>
      </c>
      <c r="BU186" s="213">
        <f t="shared" si="198"/>
        <v>0</v>
      </c>
      <c r="BV186" s="201">
        <v>2655784.09</v>
      </c>
      <c r="BW186" s="201"/>
      <c r="BX186" s="201">
        <f t="shared" si="202"/>
        <v>2655784.09</v>
      </c>
      <c r="BY186" s="199">
        <v>1580000</v>
      </c>
      <c r="BZ186" s="199">
        <v>1740000</v>
      </c>
      <c r="CA186" s="199">
        <v>1920000</v>
      </c>
      <c r="CB186" s="199">
        <v>1440000</v>
      </c>
      <c r="CC186" s="199">
        <v>1700000</v>
      </c>
      <c r="CD186" s="199">
        <v>2040000</v>
      </c>
      <c r="CE186" s="199">
        <v>1560000</v>
      </c>
      <c r="CF186" s="199">
        <v>1700000</v>
      </c>
      <c r="CG186" s="199">
        <v>1540000</v>
      </c>
      <c r="CH186" s="199">
        <v>1500000</v>
      </c>
      <c r="CI186" s="199">
        <v>1620000</v>
      </c>
      <c r="CJ186" s="199">
        <v>1660000</v>
      </c>
      <c r="CK186" s="214" t="s">
        <v>591</v>
      </c>
      <c r="CL186" s="214" t="s">
        <v>276</v>
      </c>
      <c r="CM186" s="211">
        <v>185</v>
      </c>
      <c r="CN186" s="215">
        <v>600</v>
      </c>
      <c r="CO186" s="215"/>
      <c r="CP186" s="216">
        <v>1200</v>
      </c>
      <c r="CQ186" s="217"/>
      <c r="CR186" s="211"/>
      <c r="CS186" s="218"/>
      <c r="CT186" s="218"/>
      <c r="CU186" s="218"/>
      <c r="CV186" s="211"/>
      <c r="CW186" s="211"/>
      <c r="CX186" s="211"/>
      <c r="CY186" s="211"/>
      <c r="CZ186" s="211"/>
      <c r="DA186" s="211"/>
      <c r="DB186" s="211"/>
      <c r="DC186" s="219"/>
      <c r="DD186" s="219"/>
      <c r="DE186" s="219"/>
      <c r="DF186" s="211"/>
      <c r="DG186" s="211"/>
      <c r="DH186" s="211"/>
      <c r="DI186" s="211"/>
      <c r="DJ186" s="211"/>
      <c r="DK186" s="220" t="s">
        <v>53</v>
      </c>
      <c r="DT186" s="222"/>
    </row>
    <row r="187" spans="1:124" s="176" customFormat="1" ht="63" x14ac:dyDescent="0.2">
      <c r="A187" s="195" t="s">
        <v>119</v>
      </c>
      <c r="B187" s="197" t="s">
        <v>592</v>
      </c>
      <c r="C187" s="198">
        <v>1</v>
      </c>
      <c r="D187" s="199">
        <v>21490000</v>
      </c>
      <c r="E187" s="198" t="s">
        <v>448</v>
      </c>
      <c r="F187" s="198" t="s">
        <v>449</v>
      </c>
      <c r="G187" s="198" t="s">
        <v>123</v>
      </c>
      <c r="H187" s="200">
        <v>1</v>
      </c>
      <c r="I187" s="199">
        <f t="shared" si="170"/>
        <v>0</v>
      </c>
      <c r="J187" s="199">
        <f t="shared" si="171"/>
        <v>21490000</v>
      </c>
      <c r="K187" s="199">
        <f t="shared" si="172"/>
        <v>21490000</v>
      </c>
      <c r="L187" s="199">
        <v>0</v>
      </c>
      <c r="M187" s="199">
        <v>21490000</v>
      </c>
      <c r="N187" s="199">
        <f t="shared" si="173"/>
        <v>21490000</v>
      </c>
      <c r="O187" s="199"/>
      <c r="P187" s="201">
        <v>0</v>
      </c>
      <c r="Q187" s="202">
        <v>12</v>
      </c>
      <c r="R187" s="203">
        <v>45566</v>
      </c>
      <c r="S187" s="204"/>
      <c r="T187" s="204">
        <v>21490000</v>
      </c>
      <c r="U187" s="204">
        <f t="shared" si="174"/>
        <v>21490000</v>
      </c>
      <c r="V187" s="205">
        <v>228</v>
      </c>
      <c r="W187" s="200">
        <v>45586</v>
      </c>
      <c r="X187" s="201"/>
      <c r="Y187" s="201">
        <v>-623100</v>
      </c>
      <c r="Z187" s="201">
        <f t="shared" si="175"/>
        <v>-623100</v>
      </c>
      <c r="AA187" s="198">
        <v>690</v>
      </c>
      <c r="AB187" s="206">
        <v>45622</v>
      </c>
      <c r="AC187" s="207"/>
      <c r="AD187" s="201">
        <v>-286941.84000000003</v>
      </c>
      <c r="AE187" s="204">
        <f t="shared" si="176"/>
        <v>-286941.84000000003</v>
      </c>
      <c r="AF187" s="203">
        <f t="shared" si="177"/>
        <v>45566</v>
      </c>
      <c r="AG187" s="201">
        <f t="shared" si="178"/>
        <v>0</v>
      </c>
      <c r="AH187" s="199">
        <f t="shared" si="179"/>
        <v>21203058.16</v>
      </c>
      <c r="AI187" s="199">
        <f t="shared" si="180"/>
        <v>21203058.16</v>
      </c>
      <c r="AJ187" s="201">
        <f t="shared" si="203"/>
        <v>0</v>
      </c>
      <c r="AK187" s="201">
        <f t="shared" si="203"/>
        <v>20579958.16</v>
      </c>
      <c r="AL187" s="201">
        <f t="shared" si="181"/>
        <v>20579958.16</v>
      </c>
      <c r="AM187" s="205">
        <v>229</v>
      </c>
      <c r="AN187" s="200">
        <v>45586</v>
      </c>
      <c r="AO187" s="208">
        <v>623100</v>
      </c>
      <c r="AP187" s="201">
        <f t="shared" si="182"/>
        <v>0</v>
      </c>
      <c r="AQ187" s="201">
        <f t="shared" si="183"/>
        <v>14886092.380000001</v>
      </c>
      <c r="AR187" s="201">
        <f t="shared" si="184"/>
        <v>14886092.380000001</v>
      </c>
      <c r="AS187" s="201">
        <f t="shared" si="185"/>
        <v>70.207289286612976</v>
      </c>
      <c r="AT187" s="201"/>
      <c r="AU187" s="209">
        <v>14610302.65</v>
      </c>
      <c r="AV187" s="201">
        <f t="shared" si="186"/>
        <v>14610302.65</v>
      </c>
      <c r="AW187" s="201">
        <f t="shared" si="195"/>
        <v>11.593803939978466</v>
      </c>
      <c r="AX187" s="201">
        <f t="shared" si="187"/>
        <v>70.992868578310066</v>
      </c>
      <c r="AY187" s="208">
        <v>275789.73000000004</v>
      </c>
      <c r="AZ187" s="201">
        <f t="shared" si="188"/>
        <v>0</v>
      </c>
      <c r="BA187" s="201">
        <f t="shared" si="189"/>
        <v>3723572.32</v>
      </c>
      <c r="BB187" s="201">
        <f t="shared" si="190"/>
        <v>3723572.32</v>
      </c>
      <c r="BC187" s="201"/>
      <c r="BD187" s="223">
        <v>3723572.32</v>
      </c>
      <c r="BE187" s="201">
        <f t="shared" si="191"/>
        <v>3723572.32</v>
      </c>
      <c r="BF187" s="208"/>
      <c r="BG187" s="201">
        <f t="shared" si="204"/>
        <v>0</v>
      </c>
      <c r="BH187" s="201">
        <f t="shared" si="204"/>
        <v>18609664.699999999</v>
      </c>
      <c r="BI187" s="201">
        <f t="shared" si="192"/>
        <v>18609664.699999999</v>
      </c>
      <c r="BJ187" s="201">
        <f t="shared" si="200"/>
        <v>87.768776369757404</v>
      </c>
      <c r="BK187" s="210">
        <v>8</v>
      </c>
      <c r="BL187" s="210">
        <v>80</v>
      </c>
      <c r="BM187" s="211"/>
      <c r="BN187" s="211"/>
      <c r="BO187" s="212">
        <f t="shared" si="193"/>
        <v>0</v>
      </c>
      <c r="BP187" s="201">
        <f t="shared" si="194"/>
        <v>6316965.7799999993</v>
      </c>
      <c r="BQ187" s="201">
        <f t="shared" si="196"/>
        <v>6316965.7799999993</v>
      </c>
      <c r="BR187" s="201">
        <f t="shared" si="201"/>
        <v>0</v>
      </c>
      <c r="BS187" s="201">
        <f t="shared" si="201"/>
        <v>5969655.5099999998</v>
      </c>
      <c r="BT187" s="201">
        <f t="shared" si="197"/>
        <v>5969655.5099999998</v>
      </c>
      <c r="BU187" s="213">
        <f t="shared" si="198"/>
        <v>347310.26999999996</v>
      </c>
      <c r="BV187" s="201">
        <f>623100+286941.84</f>
        <v>910041.84000000008</v>
      </c>
      <c r="BW187" s="201"/>
      <c r="BX187" s="201">
        <f t="shared" si="202"/>
        <v>910041.84000000008</v>
      </c>
      <c r="BY187" s="199">
        <v>0</v>
      </c>
      <c r="BZ187" s="199">
        <v>382000</v>
      </c>
      <c r="CA187" s="199">
        <v>920000</v>
      </c>
      <c r="CB187" s="199">
        <v>1687000</v>
      </c>
      <c r="CC187" s="199">
        <v>3342000</v>
      </c>
      <c r="CD187" s="199">
        <v>4528000</v>
      </c>
      <c r="CE187" s="199">
        <v>3673000</v>
      </c>
      <c r="CF187" s="199">
        <v>2386000</v>
      </c>
      <c r="CG187" s="199">
        <v>1802000</v>
      </c>
      <c r="CH187" s="199">
        <v>1326000</v>
      </c>
      <c r="CI187" s="199">
        <v>1149000</v>
      </c>
      <c r="CJ187" s="199">
        <v>295000</v>
      </c>
      <c r="CK187" s="214" t="s">
        <v>593</v>
      </c>
      <c r="CL187" s="214" t="s">
        <v>276</v>
      </c>
      <c r="CM187" s="211">
        <v>185</v>
      </c>
      <c r="CN187" s="215">
        <v>400</v>
      </c>
      <c r="CO187" s="215"/>
      <c r="CP187" s="216">
        <v>95</v>
      </c>
      <c r="CQ187" s="217"/>
      <c r="CR187" s="211"/>
      <c r="CS187" s="218"/>
      <c r="CT187" s="218"/>
      <c r="CU187" s="218"/>
      <c r="CV187" s="211"/>
      <c r="CW187" s="211"/>
      <c r="CX187" s="211"/>
      <c r="CY187" s="211"/>
      <c r="CZ187" s="211"/>
      <c r="DA187" s="211"/>
      <c r="DB187" s="211"/>
      <c r="DC187" s="219"/>
      <c r="DD187" s="219"/>
      <c r="DE187" s="219"/>
      <c r="DF187" s="211"/>
      <c r="DG187" s="211"/>
      <c r="DH187" s="211"/>
      <c r="DI187" s="211"/>
      <c r="DJ187" s="211"/>
      <c r="DK187" s="220" t="s">
        <v>32</v>
      </c>
      <c r="DT187" s="222"/>
    </row>
    <row r="188" spans="1:124" s="176" customFormat="1" ht="42" x14ac:dyDescent="0.2">
      <c r="A188" s="195" t="s">
        <v>379</v>
      </c>
      <c r="B188" s="197" t="s">
        <v>594</v>
      </c>
      <c r="C188" s="198">
        <v>1</v>
      </c>
      <c r="D188" s="199">
        <v>14000000</v>
      </c>
      <c r="E188" s="198" t="s">
        <v>381</v>
      </c>
      <c r="F188" s="198" t="s">
        <v>377</v>
      </c>
      <c r="G188" s="198" t="s">
        <v>123</v>
      </c>
      <c r="H188" s="200">
        <v>1</v>
      </c>
      <c r="I188" s="199">
        <f t="shared" si="170"/>
        <v>0</v>
      </c>
      <c r="J188" s="199">
        <f t="shared" si="171"/>
        <v>14000000</v>
      </c>
      <c r="K188" s="199">
        <f t="shared" si="172"/>
        <v>14000000</v>
      </c>
      <c r="L188" s="199">
        <v>0</v>
      </c>
      <c r="M188" s="199">
        <v>14000000</v>
      </c>
      <c r="N188" s="199">
        <f t="shared" si="173"/>
        <v>14000000</v>
      </c>
      <c r="O188" s="199"/>
      <c r="P188" s="201">
        <v>0</v>
      </c>
      <c r="Q188" s="202">
        <v>12</v>
      </c>
      <c r="R188" s="203">
        <v>45566</v>
      </c>
      <c r="S188" s="204"/>
      <c r="T188" s="204">
        <v>14000000</v>
      </c>
      <c r="U188" s="204">
        <f t="shared" si="174"/>
        <v>14000000</v>
      </c>
      <c r="V188" s="205">
        <v>357</v>
      </c>
      <c r="W188" s="200">
        <v>45600</v>
      </c>
      <c r="X188" s="201"/>
      <c r="Y188" s="201">
        <v>-224009</v>
      </c>
      <c r="Z188" s="201">
        <f t="shared" si="175"/>
        <v>-224009</v>
      </c>
      <c r="AA188" s="198">
        <v>690</v>
      </c>
      <c r="AB188" s="206">
        <v>45622</v>
      </c>
      <c r="AC188" s="207"/>
      <c r="AD188" s="201">
        <v>-57170.51</v>
      </c>
      <c r="AE188" s="204">
        <f t="shared" si="176"/>
        <v>-57170.51</v>
      </c>
      <c r="AF188" s="203">
        <f t="shared" si="177"/>
        <v>45566</v>
      </c>
      <c r="AG188" s="201">
        <f t="shared" si="178"/>
        <v>0</v>
      </c>
      <c r="AH188" s="199">
        <f t="shared" si="179"/>
        <v>13718820.49</v>
      </c>
      <c r="AI188" s="199">
        <f t="shared" si="180"/>
        <v>13718820.49</v>
      </c>
      <c r="AJ188" s="201">
        <f t="shared" si="203"/>
        <v>0</v>
      </c>
      <c r="AK188" s="201">
        <f t="shared" si="203"/>
        <v>13718820.49</v>
      </c>
      <c r="AL188" s="201">
        <f t="shared" si="181"/>
        <v>13718820.49</v>
      </c>
      <c r="AM188" s="198"/>
      <c r="AN188" s="203"/>
      <c r="AO188" s="208"/>
      <c r="AP188" s="201">
        <f t="shared" si="182"/>
        <v>0</v>
      </c>
      <c r="AQ188" s="201">
        <f t="shared" si="183"/>
        <v>13617827.24</v>
      </c>
      <c r="AR188" s="201">
        <f t="shared" si="184"/>
        <v>13617827.24</v>
      </c>
      <c r="AS188" s="201">
        <f t="shared" si="185"/>
        <v>99.263834306501664</v>
      </c>
      <c r="AT188" s="201"/>
      <c r="AU188" s="209">
        <v>13617827.24</v>
      </c>
      <c r="AV188" s="201">
        <f t="shared" si="186"/>
        <v>13617827.24</v>
      </c>
      <c r="AW188" s="201">
        <f t="shared" si="195"/>
        <v>10.204958954164434</v>
      </c>
      <c r="AX188" s="201">
        <f t="shared" si="187"/>
        <v>99.263834306501664</v>
      </c>
      <c r="AY188" s="208"/>
      <c r="AZ188" s="201">
        <f t="shared" si="188"/>
        <v>0</v>
      </c>
      <c r="BA188" s="201">
        <f t="shared" si="189"/>
        <v>0</v>
      </c>
      <c r="BB188" s="201">
        <f t="shared" si="190"/>
        <v>0</v>
      </c>
      <c r="BC188" s="201"/>
      <c r="BD188" s="223">
        <v>0</v>
      </c>
      <c r="BE188" s="201">
        <f t="shared" si="191"/>
        <v>0</v>
      </c>
      <c r="BF188" s="208"/>
      <c r="BG188" s="201">
        <f t="shared" si="204"/>
        <v>0</v>
      </c>
      <c r="BH188" s="201">
        <f t="shared" si="204"/>
        <v>13617827.24</v>
      </c>
      <c r="BI188" s="201">
        <f t="shared" si="192"/>
        <v>13617827.24</v>
      </c>
      <c r="BJ188" s="201">
        <f t="shared" si="200"/>
        <v>99.263834306501664</v>
      </c>
      <c r="BK188" s="210">
        <v>5</v>
      </c>
      <c r="BL188" s="210">
        <v>90</v>
      </c>
      <c r="BM188" s="211"/>
      <c r="BN188" s="211"/>
      <c r="BO188" s="212">
        <f t="shared" si="193"/>
        <v>0</v>
      </c>
      <c r="BP188" s="201">
        <f t="shared" si="194"/>
        <v>100993.25</v>
      </c>
      <c r="BQ188" s="201">
        <f t="shared" si="196"/>
        <v>100993.25</v>
      </c>
      <c r="BR188" s="201">
        <f t="shared" si="201"/>
        <v>0</v>
      </c>
      <c r="BS188" s="201">
        <f t="shared" si="201"/>
        <v>100993.25</v>
      </c>
      <c r="BT188" s="201">
        <f t="shared" si="197"/>
        <v>100993.25</v>
      </c>
      <c r="BU188" s="213">
        <f t="shared" si="198"/>
        <v>0</v>
      </c>
      <c r="BV188" s="201">
        <f>224009+57170.51</f>
        <v>281179.51</v>
      </c>
      <c r="BW188" s="201"/>
      <c r="BX188" s="201">
        <f t="shared" si="202"/>
        <v>281179.51</v>
      </c>
      <c r="BY188" s="199">
        <v>1400000</v>
      </c>
      <c r="BZ188" s="199">
        <v>1400000</v>
      </c>
      <c r="CA188" s="199">
        <v>1400000</v>
      </c>
      <c r="CB188" s="199">
        <v>1400000</v>
      </c>
      <c r="CC188" s="199">
        <v>1400000</v>
      </c>
      <c r="CD188" s="199">
        <v>1400000</v>
      </c>
      <c r="CE188" s="199">
        <v>1400000</v>
      </c>
      <c r="CF188" s="199">
        <v>1400000</v>
      </c>
      <c r="CG188" s="199">
        <v>1400000</v>
      </c>
      <c r="CH188" s="199">
        <v>1400000</v>
      </c>
      <c r="CI188" s="199">
        <v>0</v>
      </c>
      <c r="CJ188" s="199">
        <v>0</v>
      </c>
      <c r="CK188" s="214" t="s">
        <v>595</v>
      </c>
      <c r="CL188" s="214"/>
      <c r="CM188" s="211">
        <v>183</v>
      </c>
      <c r="CN188" s="215">
        <v>200</v>
      </c>
      <c r="CO188" s="215"/>
      <c r="CP188" s="216">
        <v>103</v>
      </c>
      <c r="CQ188" s="217"/>
      <c r="CR188" s="211"/>
      <c r="CS188" s="218"/>
      <c r="CT188" s="218"/>
      <c r="CU188" s="218"/>
      <c r="CV188" s="211"/>
      <c r="CW188" s="211"/>
      <c r="CX188" s="211"/>
      <c r="CY188" s="211"/>
      <c r="CZ188" s="211"/>
      <c r="DA188" s="211"/>
      <c r="DB188" s="211"/>
      <c r="DC188" s="219"/>
      <c r="DD188" s="219"/>
      <c r="DE188" s="219"/>
      <c r="DF188" s="211"/>
      <c r="DG188" s="211"/>
      <c r="DH188" s="211"/>
      <c r="DI188" s="211"/>
      <c r="DJ188" s="211"/>
      <c r="DK188" s="220" t="s">
        <v>32</v>
      </c>
      <c r="DT188" s="222"/>
    </row>
    <row r="189" spans="1:124" s="176" customFormat="1" ht="42" x14ac:dyDescent="0.2">
      <c r="A189" s="195" t="s">
        <v>379</v>
      </c>
      <c r="B189" s="197" t="s">
        <v>596</v>
      </c>
      <c r="C189" s="198">
        <v>1</v>
      </c>
      <c r="D189" s="199">
        <v>19000000</v>
      </c>
      <c r="E189" s="198" t="s">
        <v>381</v>
      </c>
      <c r="F189" s="198" t="s">
        <v>377</v>
      </c>
      <c r="G189" s="198" t="s">
        <v>123</v>
      </c>
      <c r="H189" s="200">
        <v>1</v>
      </c>
      <c r="I189" s="199">
        <f t="shared" si="170"/>
        <v>0</v>
      </c>
      <c r="J189" s="199">
        <f t="shared" si="171"/>
        <v>19000000</v>
      </c>
      <c r="K189" s="199">
        <f t="shared" si="172"/>
        <v>19000000</v>
      </c>
      <c r="L189" s="199">
        <v>0</v>
      </c>
      <c r="M189" s="199">
        <v>19000000</v>
      </c>
      <c r="N189" s="199">
        <f t="shared" si="173"/>
        <v>19000000</v>
      </c>
      <c r="O189" s="199"/>
      <c r="P189" s="201">
        <v>0</v>
      </c>
      <c r="Q189" s="202">
        <v>12</v>
      </c>
      <c r="R189" s="203">
        <v>45566</v>
      </c>
      <c r="S189" s="204"/>
      <c r="T189" s="204">
        <v>19000000</v>
      </c>
      <c r="U189" s="204">
        <f t="shared" si="174"/>
        <v>19000000</v>
      </c>
      <c r="V189" s="198">
        <v>690</v>
      </c>
      <c r="W189" s="206">
        <v>45622</v>
      </c>
      <c r="X189" s="201"/>
      <c r="Y189" s="201">
        <v>-864938.22</v>
      </c>
      <c r="Z189" s="201">
        <f t="shared" si="175"/>
        <v>-864938.22</v>
      </c>
      <c r="AA189" s="198">
        <v>1556</v>
      </c>
      <c r="AB189" s="206">
        <v>45707</v>
      </c>
      <c r="AC189" s="207"/>
      <c r="AD189" s="201">
        <v>-15041.4</v>
      </c>
      <c r="AE189" s="204">
        <f t="shared" si="176"/>
        <v>-15041.4</v>
      </c>
      <c r="AF189" s="203">
        <f t="shared" si="177"/>
        <v>45566</v>
      </c>
      <c r="AG189" s="201">
        <f t="shared" si="178"/>
        <v>0</v>
      </c>
      <c r="AH189" s="199">
        <f t="shared" si="179"/>
        <v>18120020.380000003</v>
      </c>
      <c r="AI189" s="199">
        <f t="shared" si="180"/>
        <v>18120020.380000003</v>
      </c>
      <c r="AJ189" s="201">
        <f t="shared" si="203"/>
        <v>0</v>
      </c>
      <c r="AK189" s="201">
        <f t="shared" si="203"/>
        <v>18120020.380000003</v>
      </c>
      <c r="AL189" s="201">
        <f t="shared" si="181"/>
        <v>18120020.380000003</v>
      </c>
      <c r="AM189" s="198"/>
      <c r="AN189" s="203"/>
      <c r="AO189" s="208"/>
      <c r="AP189" s="201">
        <f t="shared" si="182"/>
        <v>0</v>
      </c>
      <c r="AQ189" s="201">
        <f t="shared" si="183"/>
        <v>16259232.65</v>
      </c>
      <c r="AR189" s="201">
        <f t="shared" si="184"/>
        <v>16259232.65</v>
      </c>
      <c r="AS189" s="201">
        <f t="shared" si="185"/>
        <v>89.730763591999875</v>
      </c>
      <c r="AT189" s="201"/>
      <c r="AU189" s="209">
        <v>16259232.65</v>
      </c>
      <c r="AV189" s="201">
        <f t="shared" si="186"/>
        <v>16259232.65</v>
      </c>
      <c r="AW189" s="201">
        <f t="shared" si="195"/>
        <v>10.485639420677074</v>
      </c>
      <c r="AX189" s="201">
        <f t="shared" si="187"/>
        <v>89.730763591999875</v>
      </c>
      <c r="AY189" s="208"/>
      <c r="AZ189" s="201">
        <f t="shared" si="188"/>
        <v>0</v>
      </c>
      <c r="BA189" s="201">
        <f t="shared" si="189"/>
        <v>0</v>
      </c>
      <c r="BB189" s="201">
        <f t="shared" si="190"/>
        <v>0</v>
      </c>
      <c r="BC189" s="201"/>
      <c r="BD189" s="223">
        <v>0</v>
      </c>
      <c r="BE189" s="201">
        <f t="shared" si="191"/>
        <v>0</v>
      </c>
      <c r="BF189" s="208"/>
      <c r="BG189" s="201">
        <f t="shared" si="204"/>
        <v>0</v>
      </c>
      <c r="BH189" s="201">
        <f t="shared" si="204"/>
        <v>16259232.65</v>
      </c>
      <c r="BI189" s="201">
        <f t="shared" si="192"/>
        <v>16259232.65</v>
      </c>
      <c r="BJ189" s="201">
        <f t="shared" si="200"/>
        <v>89.730763591999875</v>
      </c>
      <c r="BK189" s="210">
        <v>5</v>
      </c>
      <c r="BL189" s="210">
        <v>80</v>
      </c>
      <c r="BM189" s="211"/>
      <c r="BN189" s="211"/>
      <c r="BO189" s="212">
        <f t="shared" si="193"/>
        <v>0</v>
      </c>
      <c r="BP189" s="201">
        <f t="shared" si="194"/>
        <v>1860787.7300000023</v>
      </c>
      <c r="BQ189" s="201">
        <f t="shared" si="196"/>
        <v>1860787.7300000023</v>
      </c>
      <c r="BR189" s="201">
        <f t="shared" si="201"/>
        <v>0</v>
      </c>
      <c r="BS189" s="201">
        <f t="shared" si="201"/>
        <v>1860787.7300000023</v>
      </c>
      <c r="BT189" s="201">
        <f t="shared" si="197"/>
        <v>1860787.7300000023</v>
      </c>
      <c r="BU189" s="213">
        <f t="shared" si="198"/>
        <v>0</v>
      </c>
      <c r="BV189" s="201">
        <f>864938.22+15041.4</f>
        <v>879979.62</v>
      </c>
      <c r="BW189" s="201"/>
      <c r="BX189" s="201">
        <f t="shared" si="202"/>
        <v>879979.62</v>
      </c>
      <c r="BY189" s="199">
        <v>1900000</v>
      </c>
      <c r="BZ189" s="199">
        <v>1900000</v>
      </c>
      <c r="CA189" s="199">
        <v>1900000</v>
      </c>
      <c r="CB189" s="199">
        <v>1900000</v>
      </c>
      <c r="CC189" s="199">
        <v>1900000</v>
      </c>
      <c r="CD189" s="199">
        <v>1900000</v>
      </c>
      <c r="CE189" s="199">
        <v>1900000</v>
      </c>
      <c r="CF189" s="199">
        <v>1900000</v>
      </c>
      <c r="CG189" s="199">
        <v>1900000</v>
      </c>
      <c r="CH189" s="199">
        <v>1900000</v>
      </c>
      <c r="CI189" s="199">
        <v>0</v>
      </c>
      <c r="CJ189" s="199">
        <v>0</v>
      </c>
      <c r="CK189" s="214" t="s">
        <v>597</v>
      </c>
      <c r="CL189" s="214"/>
      <c r="CM189" s="211">
        <v>183</v>
      </c>
      <c r="CN189" s="215"/>
      <c r="CO189" s="215">
        <v>400</v>
      </c>
      <c r="CP189" s="216">
        <v>483</v>
      </c>
      <c r="CQ189" s="217"/>
      <c r="CR189" s="211"/>
      <c r="CS189" s="218"/>
      <c r="CT189" s="218"/>
      <c r="CU189" s="218"/>
      <c r="CV189" s="211"/>
      <c r="CW189" s="211"/>
      <c r="CX189" s="211"/>
      <c r="CY189" s="211"/>
      <c r="CZ189" s="211"/>
      <c r="DA189" s="211"/>
      <c r="DB189" s="211"/>
      <c r="DC189" s="219"/>
      <c r="DD189" s="219"/>
      <c r="DE189" s="219"/>
      <c r="DF189" s="211"/>
      <c r="DG189" s="211"/>
      <c r="DH189" s="211"/>
      <c r="DI189" s="211"/>
      <c r="DJ189" s="211"/>
      <c r="DK189" s="220" t="s">
        <v>32</v>
      </c>
      <c r="DT189" s="222"/>
    </row>
    <row r="190" spans="1:124" s="176" customFormat="1" ht="42" x14ac:dyDescent="0.2">
      <c r="A190" s="195" t="s">
        <v>379</v>
      </c>
      <c r="B190" s="197" t="s">
        <v>598</v>
      </c>
      <c r="C190" s="198">
        <v>1</v>
      </c>
      <c r="D190" s="199">
        <v>20000000</v>
      </c>
      <c r="E190" s="198" t="s">
        <v>386</v>
      </c>
      <c r="F190" s="198" t="s">
        <v>377</v>
      </c>
      <c r="G190" s="198" t="s">
        <v>123</v>
      </c>
      <c r="H190" s="200">
        <v>1</v>
      </c>
      <c r="I190" s="199">
        <f t="shared" si="170"/>
        <v>0</v>
      </c>
      <c r="J190" s="199">
        <f t="shared" si="171"/>
        <v>20000000</v>
      </c>
      <c r="K190" s="199">
        <f t="shared" si="172"/>
        <v>20000000</v>
      </c>
      <c r="L190" s="199">
        <v>0</v>
      </c>
      <c r="M190" s="199">
        <v>20000000</v>
      </c>
      <c r="N190" s="199">
        <f t="shared" si="173"/>
        <v>20000000</v>
      </c>
      <c r="O190" s="199"/>
      <c r="P190" s="201">
        <v>0</v>
      </c>
      <c r="Q190" s="202">
        <v>12</v>
      </c>
      <c r="R190" s="203">
        <v>45566</v>
      </c>
      <c r="S190" s="204"/>
      <c r="T190" s="204">
        <v>20000000</v>
      </c>
      <c r="U190" s="204">
        <f t="shared" si="174"/>
        <v>20000000</v>
      </c>
      <c r="V190" s="198">
        <v>690</v>
      </c>
      <c r="W190" s="206">
        <v>45622</v>
      </c>
      <c r="X190" s="201"/>
      <c r="Y190" s="201">
        <v>-571207</v>
      </c>
      <c r="Z190" s="201">
        <f t="shared" si="175"/>
        <v>-571207</v>
      </c>
      <c r="AA190" s="198"/>
      <c r="AB190" s="206"/>
      <c r="AC190" s="207"/>
      <c r="AD190" s="201"/>
      <c r="AE190" s="204">
        <f t="shared" si="176"/>
        <v>0</v>
      </c>
      <c r="AF190" s="203">
        <f t="shared" si="177"/>
        <v>45566</v>
      </c>
      <c r="AG190" s="201">
        <f t="shared" si="178"/>
        <v>0</v>
      </c>
      <c r="AH190" s="199">
        <f t="shared" si="179"/>
        <v>19428793</v>
      </c>
      <c r="AI190" s="199">
        <f t="shared" si="180"/>
        <v>19428793</v>
      </c>
      <c r="AJ190" s="201">
        <f t="shared" si="203"/>
        <v>0</v>
      </c>
      <c r="AK190" s="201">
        <f t="shared" si="203"/>
        <v>19428793</v>
      </c>
      <c r="AL190" s="201">
        <f t="shared" si="181"/>
        <v>19428793</v>
      </c>
      <c r="AM190" s="198"/>
      <c r="AN190" s="203"/>
      <c r="AO190" s="208"/>
      <c r="AP190" s="201">
        <f t="shared" si="182"/>
        <v>0</v>
      </c>
      <c r="AQ190" s="201">
        <f t="shared" si="183"/>
        <v>16130035.99</v>
      </c>
      <c r="AR190" s="201">
        <f t="shared" si="184"/>
        <v>16130035.99</v>
      </c>
      <c r="AS190" s="201">
        <f t="shared" si="185"/>
        <v>83.021297257117311</v>
      </c>
      <c r="AT190" s="201"/>
      <c r="AU190" s="209">
        <v>16130035.99</v>
      </c>
      <c r="AV190" s="201">
        <f t="shared" si="186"/>
        <v>16130035.99</v>
      </c>
      <c r="AW190" s="201">
        <f t="shared" si="195"/>
        <v>10.294000250041266</v>
      </c>
      <c r="AX190" s="201">
        <f t="shared" si="187"/>
        <v>83.021297257117311</v>
      </c>
      <c r="AY190" s="208"/>
      <c r="AZ190" s="201">
        <f t="shared" si="188"/>
        <v>0</v>
      </c>
      <c r="BA190" s="201">
        <f t="shared" si="189"/>
        <v>0</v>
      </c>
      <c r="BB190" s="201">
        <f t="shared" si="190"/>
        <v>0</v>
      </c>
      <c r="BC190" s="201"/>
      <c r="BD190" s="223">
        <v>0</v>
      </c>
      <c r="BE190" s="201">
        <f t="shared" si="191"/>
        <v>0</v>
      </c>
      <c r="BF190" s="208"/>
      <c r="BG190" s="201">
        <f t="shared" si="204"/>
        <v>0</v>
      </c>
      <c r="BH190" s="201">
        <f t="shared" si="204"/>
        <v>16130035.99</v>
      </c>
      <c r="BI190" s="201">
        <f t="shared" si="192"/>
        <v>16130035.99</v>
      </c>
      <c r="BJ190" s="201">
        <f t="shared" si="200"/>
        <v>83.021297257117311</v>
      </c>
      <c r="BK190" s="210">
        <v>5</v>
      </c>
      <c r="BL190" s="210">
        <v>69</v>
      </c>
      <c r="BM190" s="211"/>
      <c r="BN190" s="211"/>
      <c r="BO190" s="212">
        <f t="shared" si="193"/>
        <v>0</v>
      </c>
      <c r="BP190" s="201">
        <f t="shared" si="194"/>
        <v>3298757.01</v>
      </c>
      <c r="BQ190" s="201">
        <f t="shared" si="196"/>
        <v>3298757.01</v>
      </c>
      <c r="BR190" s="201">
        <f t="shared" si="201"/>
        <v>0</v>
      </c>
      <c r="BS190" s="201">
        <f t="shared" si="201"/>
        <v>3298757.01</v>
      </c>
      <c r="BT190" s="201">
        <f t="shared" si="197"/>
        <v>3298757.01</v>
      </c>
      <c r="BU190" s="213">
        <f t="shared" si="198"/>
        <v>0</v>
      </c>
      <c r="BV190" s="201">
        <v>571207</v>
      </c>
      <c r="BW190" s="201"/>
      <c r="BX190" s="201">
        <f t="shared" si="202"/>
        <v>571207</v>
      </c>
      <c r="BY190" s="199">
        <v>2000000</v>
      </c>
      <c r="BZ190" s="199">
        <v>2000000</v>
      </c>
      <c r="CA190" s="199">
        <v>2000000</v>
      </c>
      <c r="CB190" s="199">
        <v>2000000</v>
      </c>
      <c r="CC190" s="199">
        <v>2000000</v>
      </c>
      <c r="CD190" s="199">
        <v>2000000</v>
      </c>
      <c r="CE190" s="199">
        <v>2000000</v>
      </c>
      <c r="CF190" s="199">
        <v>2000000</v>
      </c>
      <c r="CG190" s="199">
        <v>2000000</v>
      </c>
      <c r="CH190" s="199">
        <v>2000000</v>
      </c>
      <c r="CI190" s="199">
        <v>0</v>
      </c>
      <c r="CJ190" s="199">
        <v>0</v>
      </c>
      <c r="CK190" s="214" t="s">
        <v>599</v>
      </c>
      <c r="CL190" s="214"/>
      <c r="CM190" s="211">
        <v>183</v>
      </c>
      <c r="CN190" s="215"/>
      <c r="CO190" s="215">
        <v>600</v>
      </c>
      <c r="CP190" s="216">
        <v>280</v>
      </c>
      <c r="CQ190" s="217"/>
      <c r="CR190" s="211"/>
      <c r="CS190" s="218"/>
      <c r="CT190" s="218"/>
      <c r="CU190" s="218"/>
      <c r="CV190" s="211"/>
      <c r="CW190" s="211"/>
      <c r="CX190" s="211"/>
      <c r="CY190" s="211"/>
      <c r="CZ190" s="211"/>
      <c r="DA190" s="211"/>
      <c r="DB190" s="211"/>
      <c r="DC190" s="219"/>
      <c r="DD190" s="219"/>
      <c r="DE190" s="219"/>
      <c r="DF190" s="211"/>
      <c r="DG190" s="211"/>
      <c r="DH190" s="211"/>
      <c r="DI190" s="211"/>
      <c r="DJ190" s="211"/>
      <c r="DK190" s="220" t="s">
        <v>32</v>
      </c>
      <c r="DT190" s="222"/>
    </row>
    <row r="191" spans="1:124" s="176" customFormat="1" ht="63" x14ac:dyDescent="0.2">
      <c r="A191" s="195" t="s">
        <v>136</v>
      </c>
      <c r="B191" s="197" t="s">
        <v>600</v>
      </c>
      <c r="C191" s="198">
        <v>1</v>
      </c>
      <c r="D191" s="199">
        <v>25000000</v>
      </c>
      <c r="E191" s="247" t="s">
        <v>601</v>
      </c>
      <c r="F191" s="247" t="s">
        <v>143</v>
      </c>
      <c r="G191" s="247" t="s">
        <v>139</v>
      </c>
      <c r="H191" s="297">
        <v>1</v>
      </c>
      <c r="I191" s="298">
        <f t="shared" si="170"/>
        <v>0</v>
      </c>
      <c r="J191" s="298">
        <f t="shared" si="171"/>
        <v>0</v>
      </c>
      <c r="K191" s="298">
        <f t="shared" si="172"/>
        <v>0</v>
      </c>
      <c r="L191" s="298">
        <v>0</v>
      </c>
      <c r="M191" s="298">
        <v>0</v>
      </c>
      <c r="N191" s="298">
        <f t="shared" si="173"/>
        <v>0</v>
      </c>
      <c r="O191" s="298"/>
      <c r="P191" s="299">
        <v>0</v>
      </c>
      <c r="Q191" s="300"/>
      <c r="R191" s="301"/>
      <c r="S191" s="302"/>
      <c r="T191" s="302">
        <v>0</v>
      </c>
      <c r="U191" s="302">
        <f t="shared" si="174"/>
        <v>0</v>
      </c>
      <c r="V191" s="303"/>
      <c r="W191" s="297"/>
      <c r="X191" s="299"/>
      <c r="Y191" s="299"/>
      <c r="Z191" s="299">
        <f t="shared" si="175"/>
        <v>0</v>
      </c>
      <c r="AA191" s="247"/>
      <c r="AB191" s="304"/>
      <c r="AC191" s="305"/>
      <c r="AD191" s="299"/>
      <c r="AE191" s="302">
        <f t="shared" si="176"/>
        <v>0</v>
      </c>
      <c r="AF191" s="203">
        <f t="shared" si="177"/>
        <v>0</v>
      </c>
      <c r="AG191" s="201">
        <f t="shared" si="178"/>
        <v>0</v>
      </c>
      <c r="AH191" s="199">
        <f t="shared" si="179"/>
        <v>0</v>
      </c>
      <c r="AI191" s="199">
        <f t="shared" si="180"/>
        <v>0</v>
      </c>
      <c r="AJ191" s="201">
        <f t="shared" si="203"/>
        <v>0</v>
      </c>
      <c r="AK191" s="201">
        <f t="shared" si="203"/>
        <v>0</v>
      </c>
      <c r="AL191" s="201">
        <f t="shared" si="181"/>
        <v>0</v>
      </c>
      <c r="AM191" s="247"/>
      <c r="AN191" s="301"/>
      <c r="AO191" s="208"/>
      <c r="AP191" s="299">
        <f t="shared" si="182"/>
        <v>0</v>
      </c>
      <c r="AQ191" s="299">
        <f t="shared" si="183"/>
        <v>0</v>
      </c>
      <c r="AR191" s="299">
        <f t="shared" si="184"/>
        <v>0</v>
      </c>
      <c r="AS191" s="299">
        <f t="shared" si="185"/>
        <v>0</v>
      </c>
      <c r="AT191" s="201"/>
      <c r="AU191" s="209"/>
      <c r="AV191" s="201">
        <f t="shared" si="186"/>
        <v>0</v>
      </c>
      <c r="AW191" s="201" t="e">
        <f t="shared" si="195"/>
        <v>#DIV/0!</v>
      </c>
      <c r="AX191" s="201">
        <f t="shared" si="187"/>
        <v>0</v>
      </c>
      <c r="AY191" s="208"/>
      <c r="AZ191" s="299">
        <f t="shared" si="188"/>
        <v>0</v>
      </c>
      <c r="BA191" s="299">
        <f>+BD191+BF191</f>
        <v>0</v>
      </c>
      <c r="BB191" s="299">
        <f t="shared" si="190"/>
        <v>0</v>
      </c>
      <c r="BC191" s="201"/>
      <c r="BD191" s="209"/>
      <c r="BE191" s="201">
        <f t="shared" si="191"/>
        <v>0</v>
      </c>
      <c r="BF191" s="208"/>
      <c r="BG191" s="201">
        <f t="shared" si="204"/>
        <v>0</v>
      </c>
      <c r="BH191" s="201">
        <f t="shared" si="204"/>
        <v>0</v>
      </c>
      <c r="BI191" s="201">
        <f t="shared" si="192"/>
        <v>0</v>
      </c>
      <c r="BJ191" s="201" t="e">
        <f t="shared" si="200"/>
        <v>#DIV/0!</v>
      </c>
      <c r="BK191" s="210"/>
      <c r="BL191" s="210"/>
      <c r="BM191" s="211" t="s">
        <v>602</v>
      </c>
      <c r="BN191" s="211"/>
      <c r="BO191" s="212">
        <f t="shared" si="193"/>
        <v>0</v>
      </c>
      <c r="BP191" s="201">
        <f t="shared" si="194"/>
        <v>0</v>
      </c>
      <c r="BQ191" s="201">
        <f t="shared" si="196"/>
        <v>0</v>
      </c>
      <c r="BR191" s="201">
        <f t="shared" si="201"/>
        <v>0</v>
      </c>
      <c r="BS191" s="201">
        <f t="shared" si="201"/>
        <v>0</v>
      </c>
      <c r="BT191" s="201">
        <f t="shared" si="197"/>
        <v>0</v>
      </c>
      <c r="BU191" s="213">
        <f t="shared" si="198"/>
        <v>0</v>
      </c>
      <c r="BV191" s="201"/>
      <c r="BW191" s="201"/>
      <c r="BX191" s="201">
        <f t="shared" si="202"/>
        <v>0</v>
      </c>
      <c r="BY191" s="199">
        <v>0</v>
      </c>
      <c r="BZ191" s="199">
        <v>0</v>
      </c>
      <c r="CA191" s="199">
        <v>0</v>
      </c>
      <c r="CB191" s="199">
        <v>0</v>
      </c>
      <c r="CC191" s="199">
        <v>0</v>
      </c>
      <c r="CD191" s="199">
        <v>0</v>
      </c>
      <c r="CE191" s="199">
        <v>0</v>
      </c>
      <c r="CF191" s="199">
        <v>0</v>
      </c>
      <c r="CG191" s="199">
        <v>0</v>
      </c>
      <c r="CH191" s="199">
        <v>0</v>
      </c>
      <c r="CI191" s="199">
        <v>0</v>
      </c>
      <c r="CJ191" s="199">
        <v>0</v>
      </c>
      <c r="CK191" s="214"/>
      <c r="CL191" s="214"/>
      <c r="CM191" s="211">
        <v>183</v>
      </c>
      <c r="CN191" s="215"/>
      <c r="CO191" s="215"/>
      <c r="CP191" s="216"/>
      <c r="CQ191" s="217"/>
      <c r="CR191" s="211"/>
      <c r="CS191" s="218"/>
      <c r="CT191" s="218"/>
      <c r="CU191" s="218"/>
      <c r="CV191" s="211"/>
      <c r="CW191" s="211"/>
      <c r="CX191" s="211"/>
      <c r="CY191" s="211"/>
      <c r="CZ191" s="211"/>
      <c r="DA191" s="211"/>
      <c r="DB191" s="211"/>
      <c r="DC191" s="219"/>
      <c r="DD191" s="219"/>
      <c r="DE191" s="219"/>
      <c r="DF191" s="211"/>
      <c r="DG191" s="211"/>
      <c r="DH191" s="211"/>
      <c r="DI191" s="211"/>
      <c r="DJ191" s="211"/>
      <c r="DK191" s="220" t="s">
        <v>32</v>
      </c>
      <c r="DT191" s="222"/>
    </row>
    <row r="192" spans="1:124" s="176" customFormat="1" ht="42" x14ac:dyDescent="0.2">
      <c r="A192" s="195" t="s">
        <v>154</v>
      </c>
      <c r="B192" s="197" t="s">
        <v>603</v>
      </c>
      <c r="C192" s="198">
        <v>1</v>
      </c>
      <c r="D192" s="199">
        <v>15000000</v>
      </c>
      <c r="E192" s="198" t="s">
        <v>604</v>
      </c>
      <c r="F192" s="198" t="s">
        <v>566</v>
      </c>
      <c r="G192" s="198" t="s">
        <v>151</v>
      </c>
      <c r="H192" s="200">
        <v>1</v>
      </c>
      <c r="I192" s="199">
        <f t="shared" si="170"/>
        <v>495000</v>
      </c>
      <c r="J192" s="199">
        <f t="shared" si="171"/>
        <v>14505000</v>
      </c>
      <c r="K192" s="199">
        <f t="shared" si="172"/>
        <v>15000000</v>
      </c>
      <c r="L192" s="199">
        <f>495000</f>
        <v>495000</v>
      </c>
      <c r="M192" s="199">
        <f>9000+14496000</f>
        <v>14505000</v>
      </c>
      <c r="N192" s="199">
        <f t="shared" si="173"/>
        <v>15000000</v>
      </c>
      <c r="O192" s="199"/>
      <c r="P192" s="201">
        <v>0</v>
      </c>
      <c r="Q192" s="202">
        <v>11</v>
      </c>
      <c r="R192" s="203">
        <v>45566</v>
      </c>
      <c r="S192" s="204"/>
      <c r="T192" s="204">
        <v>14496000</v>
      </c>
      <c r="U192" s="204">
        <f t="shared" si="174"/>
        <v>14496000</v>
      </c>
      <c r="V192" s="205">
        <v>228</v>
      </c>
      <c r="W192" s="200">
        <v>45586</v>
      </c>
      <c r="X192" s="201"/>
      <c r="Y192" s="201">
        <v>-184200</v>
      </c>
      <c r="Z192" s="201">
        <f t="shared" si="175"/>
        <v>-184200</v>
      </c>
      <c r="AA192" s="198">
        <v>690</v>
      </c>
      <c r="AB192" s="206">
        <v>45622</v>
      </c>
      <c r="AC192" s="207">
        <v>494830</v>
      </c>
      <c r="AD192" s="201">
        <f>-151324+8660+-6421+-6318+-11920+11920</f>
        <v>-155403</v>
      </c>
      <c r="AE192" s="204">
        <f t="shared" si="176"/>
        <v>339427</v>
      </c>
      <c r="AF192" s="203">
        <f t="shared" si="177"/>
        <v>45566</v>
      </c>
      <c r="AG192" s="201">
        <f t="shared" si="178"/>
        <v>494830</v>
      </c>
      <c r="AH192" s="199">
        <f t="shared" si="179"/>
        <v>14340597</v>
      </c>
      <c r="AI192" s="199">
        <f t="shared" si="180"/>
        <v>14835427</v>
      </c>
      <c r="AJ192" s="201">
        <f t="shared" si="203"/>
        <v>494830</v>
      </c>
      <c r="AK192" s="201">
        <f t="shared" si="203"/>
        <v>14156397</v>
      </c>
      <c r="AL192" s="201">
        <f t="shared" si="181"/>
        <v>14651227</v>
      </c>
      <c r="AM192" s="198">
        <v>229</v>
      </c>
      <c r="AN192" s="203">
        <v>45586</v>
      </c>
      <c r="AO192" s="208">
        <v>184200</v>
      </c>
      <c r="AP192" s="201">
        <f t="shared" si="182"/>
        <v>0</v>
      </c>
      <c r="AQ192" s="201">
        <f t="shared" si="183"/>
        <v>13678599.9</v>
      </c>
      <c r="AR192" s="201">
        <f t="shared" si="184"/>
        <v>13678599.9</v>
      </c>
      <c r="AS192" s="201">
        <f t="shared" si="185"/>
        <v>92.202266237432866</v>
      </c>
      <c r="AT192" s="201"/>
      <c r="AU192" s="306">
        <v>13495653</v>
      </c>
      <c r="AV192" s="201">
        <f t="shared" si="186"/>
        <v>13495653</v>
      </c>
      <c r="AW192" s="201">
        <f t="shared" si="195"/>
        <v>6.8253669129554817</v>
      </c>
      <c r="AX192" s="201">
        <f t="shared" si="187"/>
        <v>92.112783454928376</v>
      </c>
      <c r="AY192" s="208">
        <v>182946.90000000002</v>
      </c>
      <c r="AZ192" s="201">
        <f t="shared" si="188"/>
        <v>0</v>
      </c>
      <c r="BA192" s="201">
        <f t="shared" si="189"/>
        <v>0</v>
      </c>
      <c r="BB192" s="201">
        <f t="shared" si="190"/>
        <v>0</v>
      </c>
      <c r="BC192" s="201"/>
      <c r="BD192" s="209">
        <v>0</v>
      </c>
      <c r="BE192" s="201">
        <f t="shared" si="191"/>
        <v>0</v>
      </c>
      <c r="BF192" s="208"/>
      <c r="BG192" s="201">
        <f t="shared" si="204"/>
        <v>0</v>
      </c>
      <c r="BH192" s="201">
        <f t="shared" si="204"/>
        <v>13678599.9</v>
      </c>
      <c r="BI192" s="201">
        <f t="shared" si="192"/>
        <v>13678599.9</v>
      </c>
      <c r="BJ192" s="201">
        <f t="shared" si="200"/>
        <v>92.202266237432866</v>
      </c>
      <c r="BK192" s="210">
        <v>4.58</v>
      </c>
      <c r="BL192" s="210">
        <v>90</v>
      </c>
      <c r="BM192" s="211"/>
      <c r="BN192" s="214" t="s">
        <v>152</v>
      </c>
      <c r="BO192" s="212">
        <f t="shared" si="193"/>
        <v>494830</v>
      </c>
      <c r="BP192" s="201">
        <f t="shared" si="194"/>
        <v>661997.1</v>
      </c>
      <c r="BQ192" s="201">
        <f t="shared" si="196"/>
        <v>1156827.1000000001</v>
      </c>
      <c r="BR192" s="201">
        <f t="shared" si="201"/>
        <v>494830</v>
      </c>
      <c r="BS192" s="201">
        <f t="shared" si="201"/>
        <v>660744</v>
      </c>
      <c r="BT192" s="201">
        <f t="shared" si="197"/>
        <v>1155574</v>
      </c>
      <c r="BU192" s="213">
        <f t="shared" si="198"/>
        <v>1253.0999999999767</v>
      </c>
      <c r="BV192" s="201">
        <f>184200+151324+6421+6318+11920</f>
        <v>360183</v>
      </c>
      <c r="BW192" s="201"/>
      <c r="BX192" s="201">
        <f t="shared" si="202"/>
        <v>360183</v>
      </c>
      <c r="BY192" s="199">
        <v>1500000</v>
      </c>
      <c r="BZ192" s="199">
        <v>2250000</v>
      </c>
      <c r="CA192" s="199">
        <v>2000000</v>
      </c>
      <c r="CB192" s="199">
        <v>1500000</v>
      </c>
      <c r="CC192" s="199">
        <v>1250000</v>
      </c>
      <c r="CD192" s="199">
        <v>1250000</v>
      </c>
      <c r="CE192" s="199">
        <v>1000000</v>
      </c>
      <c r="CF192" s="199">
        <v>1000000</v>
      </c>
      <c r="CG192" s="199">
        <v>1000000</v>
      </c>
      <c r="CH192" s="199">
        <v>1000000</v>
      </c>
      <c r="CI192" s="199">
        <v>750000</v>
      </c>
      <c r="CJ192" s="199">
        <v>500000</v>
      </c>
      <c r="CK192" s="214" t="s">
        <v>605</v>
      </c>
      <c r="CL192" s="214" t="s">
        <v>276</v>
      </c>
      <c r="CM192" s="211">
        <v>185</v>
      </c>
      <c r="CN192" s="215"/>
      <c r="CO192" s="215">
        <v>1300</v>
      </c>
      <c r="CP192" s="216">
        <v>400</v>
      </c>
      <c r="CQ192" s="217"/>
      <c r="CR192" s="211"/>
      <c r="CS192" s="218"/>
      <c r="CT192" s="218"/>
      <c r="CU192" s="218"/>
      <c r="CV192" s="211"/>
      <c r="CW192" s="211"/>
      <c r="CX192" s="211"/>
      <c r="CY192" s="211"/>
      <c r="CZ192" s="211"/>
      <c r="DA192" s="211"/>
      <c r="DB192" s="211"/>
      <c r="DC192" s="219"/>
      <c r="DD192" s="219"/>
      <c r="DE192" s="219"/>
      <c r="DF192" s="211"/>
      <c r="DG192" s="211"/>
      <c r="DH192" s="211"/>
      <c r="DI192" s="211"/>
      <c r="DJ192" s="211"/>
      <c r="DK192" s="220" t="s">
        <v>53</v>
      </c>
      <c r="DT192" s="222"/>
    </row>
    <row r="193" spans="1:124" s="318" customFormat="1" x14ac:dyDescent="0.2">
      <c r="A193" s="177" t="s">
        <v>90</v>
      </c>
      <c r="B193" s="307" t="s">
        <v>606</v>
      </c>
      <c r="C193" s="308">
        <f>+C194+C197+C201+C516</f>
        <v>330</v>
      </c>
      <c r="D193" s="181">
        <f>+D194+D197+D201+D516</f>
        <v>607391300</v>
      </c>
      <c r="E193" s="308"/>
      <c r="F193" s="308"/>
      <c r="G193" s="308"/>
      <c r="H193" s="308">
        <f>+H194+H197+H201+H516</f>
        <v>330</v>
      </c>
      <c r="I193" s="181">
        <f>+I194+I197+I201+I516</f>
        <v>106592450</v>
      </c>
      <c r="J193" s="181">
        <f t="shared" ref="J193:AD193" si="205">+J194+J197+J201+J516</f>
        <v>500798850</v>
      </c>
      <c r="K193" s="181">
        <f t="shared" si="205"/>
        <v>607391300</v>
      </c>
      <c r="L193" s="181">
        <f t="shared" si="205"/>
        <v>106592450</v>
      </c>
      <c r="M193" s="181">
        <f t="shared" si="205"/>
        <v>500798850</v>
      </c>
      <c r="N193" s="181">
        <f t="shared" si="205"/>
        <v>607391300</v>
      </c>
      <c r="O193" s="181">
        <f t="shared" si="205"/>
        <v>0</v>
      </c>
      <c r="P193" s="181">
        <f t="shared" si="205"/>
        <v>0</v>
      </c>
      <c r="Q193" s="308">
        <f t="shared" si="205"/>
        <v>32337</v>
      </c>
      <c r="R193" s="308">
        <f t="shared" si="205"/>
        <v>592893</v>
      </c>
      <c r="S193" s="309">
        <f t="shared" si="205"/>
        <v>27544246</v>
      </c>
      <c r="T193" s="309">
        <f t="shared" si="205"/>
        <v>486304799</v>
      </c>
      <c r="U193" s="309">
        <f t="shared" si="205"/>
        <v>513849045</v>
      </c>
      <c r="V193" s="308">
        <f t="shared" si="205"/>
        <v>96377</v>
      </c>
      <c r="W193" s="310">
        <f t="shared" si="205"/>
        <v>3380876</v>
      </c>
      <c r="X193" s="309">
        <f t="shared" si="205"/>
        <v>66464337.490000002</v>
      </c>
      <c r="Y193" s="181">
        <f t="shared" si="205"/>
        <v>-3383689.04</v>
      </c>
      <c r="Z193" s="309">
        <f t="shared" si="205"/>
        <v>63080648.45000001</v>
      </c>
      <c r="AA193" s="308">
        <f t="shared" si="205"/>
        <v>35155</v>
      </c>
      <c r="AB193" s="310">
        <f t="shared" si="205"/>
        <v>1051069</v>
      </c>
      <c r="AC193" s="309">
        <f t="shared" si="205"/>
        <v>9232937</v>
      </c>
      <c r="AD193" s="309">
        <f t="shared" si="205"/>
        <v>-1426248.5299999998</v>
      </c>
      <c r="AE193" s="309">
        <f>+AE194+AE197+AE201+AE516</f>
        <v>7806688.4700000007</v>
      </c>
      <c r="AF193" s="180">
        <f t="shared" ref="AF193:AR193" si="206">+AF194+AF197+AF201+AF516</f>
        <v>327</v>
      </c>
      <c r="AG193" s="183">
        <f t="shared" si="206"/>
        <v>103241520.49000001</v>
      </c>
      <c r="AH193" s="184">
        <f t="shared" si="206"/>
        <v>482496361.43000001</v>
      </c>
      <c r="AI193" s="184">
        <f t="shared" si="206"/>
        <v>585737881.91999996</v>
      </c>
      <c r="AJ193" s="183">
        <f t="shared" si="206"/>
        <v>103241520.49000001</v>
      </c>
      <c r="AK193" s="183">
        <f t="shared" si="206"/>
        <v>481494861.43000001</v>
      </c>
      <c r="AL193" s="183">
        <f t="shared" si="206"/>
        <v>584736381.91999996</v>
      </c>
      <c r="AM193" s="182">
        <f t="shared" si="206"/>
        <v>687</v>
      </c>
      <c r="AN193" s="185">
        <f t="shared" si="206"/>
        <v>136758</v>
      </c>
      <c r="AO193" s="186">
        <f t="shared" si="206"/>
        <v>1001500</v>
      </c>
      <c r="AP193" s="183">
        <f t="shared" si="206"/>
        <v>53358058.109999999</v>
      </c>
      <c r="AQ193" s="183">
        <f t="shared" si="206"/>
        <v>433887322.99999976</v>
      </c>
      <c r="AR193" s="183">
        <f t="shared" si="206"/>
        <v>487245381.10999978</v>
      </c>
      <c r="AS193" s="183">
        <f t="shared" si="185"/>
        <v>83.184884595964675</v>
      </c>
      <c r="AT193" s="183">
        <f t="shared" ref="AT193:AU193" si="207">+AT194+AT197+AT201+AT516</f>
        <v>53358058.109999999</v>
      </c>
      <c r="AU193" s="187">
        <f t="shared" si="207"/>
        <v>433158300.71999979</v>
      </c>
      <c r="AV193" s="183">
        <f>+AV194+AV197+AV201+AV516</f>
        <v>486516358.8299998</v>
      </c>
      <c r="AW193" s="183"/>
      <c r="AX193" s="183">
        <f>IF(AL193= 0,0,(AV193*100/AL193))</f>
        <v>83.202683101829294</v>
      </c>
      <c r="AY193" s="186">
        <f>+AY194+AY197+AY201+AY516</f>
        <v>729022.27999999991</v>
      </c>
      <c r="AZ193" s="183">
        <f t="shared" ref="AZ193:BH193" si="208">+AZ194+AZ197+AZ201+AZ516</f>
        <v>426260</v>
      </c>
      <c r="BA193" s="183">
        <f t="shared" si="208"/>
        <v>44229166.930000007</v>
      </c>
      <c r="BB193" s="183">
        <f t="shared" si="208"/>
        <v>44655426.930000007</v>
      </c>
      <c r="BC193" s="183">
        <f t="shared" si="208"/>
        <v>426260</v>
      </c>
      <c r="BD193" s="187">
        <f t="shared" si="208"/>
        <v>44229166.930000007</v>
      </c>
      <c r="BE193" s="183">
        <f>+BE194+BE197+BE201+BE516</f>
        <v>44655426.930000007</v>
      </c>
      <c r="BF193" s="186">
        <f t="shared" si="208"/>
        <v>0</v>
      </c>
      <c r="BG193" s="183">
        <f t="shared" si="208"/>
        <v>53784318.109999999</v>
      </c>
      <c r="BH193" s="183">
        <f t="shared" si="208"/>
        <v>478116489.92999983</v>
      </c>
      <c r="BI193" s="183">
        <f>+BI194+BI197+BI201+BI516</f>
        <v>531900808.0399999</v>
      </c>
      <c r="BJ193" s="183">
        <f t="shared" si="200"/>
        <v>90.808674743124584</v>
      </c>
      <c r="BK193" s="188"/>
      <c r="BL193" s="188"/>
      <c r="BM193" s="311"/>
      <c r="BN193" s="311"/>
      <c r="BO193" s="190">
        <f t="shared" ref="BO193:BX193" si="209">+BO194+BO197+BO201</f>
        <v>48523462.379999995</v>
      </c>
      <c r="BP193" s="183">
        <f t="shared" si="209"/>
        <v>42142634.999999985</v>
      </c>
      <c r="BQ193" s="183">
        <f t="shared" si="209"/>
        <v>90666097.379999995</v>
      </c>
      <c r="BR193" s="183">
        <f t="shared" si="209"/>
        <v>48523462.379999995</v>
      </c>
      <c r="BS193" s="183">
        <f t="shared" si="209"/>
        <v>41870157.279999986</v>
      </c>
      <c r="BT193" s="183">
        <f t="shared" si="209"/>
        <v>90393619.659999982</v>
      </c>
      <c r="BU193" s="191">
        <f t="shared" si="209"/>
        <v>272477.72000000003</v>
      </c>
      <c r="BV193" s="183">
        <f t="shared" si="209"/>
        <v>0</v>
      </c>
      <c r="BW193" s="183">
        <f t="shared" si="209"/>
        <v>0</v>
      </c>
      <c r="BX193" s="183">
        <f t="shared" si="209"/>
        <v>0</v>
      </c>
      <c r="BY193" s="181"/>
      <c r="BZ193" s="181"/>
      <c r="CA193" s="181"/>
      <c r="CB193" s="181"/>
      <c r="CC193" s="181"/>
      <c r="CD193" s="181"/>
      <c r="CE193" s="181"/>
      <c r="CF193" s="181"/>
      <c r="CG193" s="181"/>
      <c r="CH193" s="181"/>
      <c r="CI193" s="181"/>
      <c r="CJ193" s="181"/>
      <c r="CK193" s="178"/>
      <c r="CL193" s="178"/>
      <c r="CM193" s="182"/>
      <c r="CN193" s="312"/>
      <c r="CO193" s="312"/>
      <c r="CP193" s="313"/>
      <c r="CQ193" s="314"/>
      <c r="CR193" s="182"/>
      <c r="CS193" s="315"/>
      <c r="CT193" s="315"/>
      <c r="CU193" s="315"/>
      <c r="CV193" s="182"/>
      <c r="CW193" s="182"/>
      <c r="CX193" s="182"/>
      <c r="CY193" s="182"/>
      <c r="CZ193" s="182"/>
      <c r="DA193" s="182"/>
      <c r="DB193" s="182"/>
      <c r="DC193" s="316"/>
      <c r="DD193" s="316"/>
      <c r="DE193" s="316"/>
      <c r="DF193" s="182"/>
      <c r="DG193" s="182"/>
      <c r="DH193" s="182"/>
      <c r="DI193" s="182"/>
      <c r="DJ193" s="182"/>
      <c r="DK193" s="317"/>
      <c r="DT193" s="319"/>
    </row>
    <row r="194" spans="1:124" s="194" customFormat="1" x14ac:dyDescent="0.2">
      <c r="A194" s="177" t="s">
        <v>90</v>
      </c>
      <c r="B194" s="179" t="s">
        <v>607</v>
      </c>
      <c r="C194" s="180">
        <f>SUBTOTAL(103,C195:C196)</f>
        <v>2</v>
      </c>
      <c r="D194" s="181">
        <f>SUBTOTAL(109,D195:D196)</f>
        <v>1765000</v>
      </c>
      <c r="E194" s="182"/>
      <c r="F194" s="182"/>
      <c r="G194" s="182"/>
      <c r="H194" s="180">
        <f>SUBTOTAL(103,H195:H196)</f>
        <v>2</v>
      </c>
      <c r="I194" s="181">
        <f t="shared" ref="I194:P194" si="210">SUBTOTAL(109,I195:I196)</f>
        <v>736060</v>
      </c>
      <c r="J194" s="181">
        <f t="shared" si="210"/>
        <v>1028940</v>
      </c>
      <c r="K194" s="181">
        <f t="shared" si="210"/>
        <v>1765000</v>
      </c>
      <c r="L194" s="181">
        <f t="shared" si="210"/>
        <v>736060</v>
      </c>
      <c r="M194" s="181">
        <f t="shared" si="210"/>
        <v>1028940</v>
      </c>
      <c r="N194" s="181">
        <f t="shared" si="210"/>
        <v>1765000</v>
      </c>
      <c r="O194" s="181">
        <f t="shared" si="210"/>
        <v>0</v>
      </c>
      <c r="P194" s="181">
        <f t="shared" si="210"/>
        <v>0</v>
      </c>
      <c r="Q194" s="182"/>
      <c r="R194" s="180">
        <f>SUBTOTAL(103,R195:R196)</f>
        <v>2</v>
      </c>
      <c r="S194" s="184">
        <f t="shared" ref="S194:AE194" si="211">SUBTOTAL(109,S195:S196)</f>
        <v>0</v>
      </c>
      <c r="T194" s="184">
        <f t="shared" si="211"/>
        <v>1028940</v>
      </c>
      <c r="U194" s="184">
        <f t="shared" si="211"/>
        <v>1028940</v>
      </c>
      <c r="V194" s="180">
        <f t="shared" si="211"/>
        <v>2780</v>
      </c>
      <c r="W194" s="185">
        <f t="shared" si="211"/>
        <v>91375</v>
      </c>
      <c r="X194" s="184">
        <f t="shared" si="211"/>
        <v>736060</v>
      </c>
      <c r="Y194" s="181">
        <f t="shared" si="211"/>
        <v>0</v>
      </c>
      <c r="Z194" s="184">
        <f t="shared" si="211"/>
        <v>736060</v>
      </c>
      <c r="AA194" s="182">
        <f t="shared" si="211"/>
        <v>0</v>
      </c>
      <c r="AB194" s="185">
        <f t="shared" si="211"/>
        <v>0</v>
      </c>
      <c r="AC194" s="184">
        <f t="shared" si="211"/>
        <v>0</v>
      </c>
      <c r="AD194" s="184">
        <f t="shared" si="211"/>
        <v>0</v>
      </c>
      <c r="AE194" s="184">
        <f t="shared" si="211"/>
        <v>0</v>
      </c>
      <c r="AF194" s="180">
        <f>SUBTOTAL(103,Q195:Q196)</f>
        <v>2</v>
      </c>
      <c r="AG194" s="183">
        <f t="shared" ref="AG194:AR194" si="212">SUBTOTAL(109,AG195:AG196)</f>
        <v>736060</v>
      </c>
      <c r="AH194" s="184">
        <f t="shared" si="212"/>
        <v>1028940</v>
      </c>
      <c r="AI194" s="184">
        <f t="shared" si="212"/>
        <v>1765000</v>
      </c>
      <c r="AJ194" s="183">
        <f t="shared" si="212"/>
        <v>736060</v>
      </c>
      <c r="AK194" s="183">
        <f t="shared" si="212"/>
        <v>1028940</v>
      </c>
      <c r="AL194" s="183">
        <f t="shared" si="212"/>
        <v>1765000</v>
      </c>
      <c r="AM194" s="182">
        <f t="shared" si="212"/>
        <v>0</v>
      </c>
      <c r="AN194" s="185">
        <f t="shared" si="212"/>
        <v>0</v>
      </c>
      <c r="AO194" s="186">
        <f t="shared" si="212"/>
        <v>0</v>
      </c>
      <c r="AP194" s="183">
        <f t="shared" si="212"/>
        <v>736060</v>
      </c>
      <c r="AQ194" s="183">
        <f t="shared" si="212"/>
        <v>1028940</v>
      </c>
      <c r="AR194" s="183">
        <f t="shared" si="212"/>
        <v>1765000</v>
      </c>
      <c r="AS194" s="183">
        <f t="shared" si="185"/>
        <v>100</v>
      </c>
      <c r="AT194" s="183">
        <f>SUBTOTAL(109,AT195:AT196)</f>
        <v>736060</v>
      </c>
      <c r="AU194" s="187">
        <f>SUBTOTAL(109,AU195:AU196)</f>
        <v>1028940</v>
      </c>
      <c r="AV194" s="183">
        <f>SUBTOTAL(109,AV195:AV196)</f>
        <v>1765000</v>
      </c>
      <c r="AW194" s="183"/>
      <c r="AX194" s="183">
        <f t="shared" ref="AX194:AX196" si="213">IF(AL194= 0,0,(AV194*100/AL194))</f>
        <v>100</v>
      </c>
      <c r="AY194" s="186">
        <f t="shared" ref="AY194:BI194" si="214">SUBTOTAL(109,AY195:AY196)</f>
        <v>0</v>
      </c>
      <c r="AZ194" s="183">
        <f t="shared" si="214"/>
        <v>0</v>
      </c>
      <c r="BA194" s="183">
        <f t="shared" si="214"/>
        <v>0</v>
      </c>
      <c r="BB194" s="183">
        <f t="shared" si="214"/>
        <v>0</v>
      </c>
      <c r="BC194" s="183">
        <f t="shared" si="214"/>
        <v>0</v>
      </c>
      <c r="BD194" s="187">
        <f t="shared" si="214"/>
        <v>0</v>
      </c>
      <c r="BE194" s="183">
        <f t="shared" si="214"/>
        <v>0</v>
      </c>
      <c r="BF194" s="186">
        <f t="shared" si="214"/>
        <v>0</v>
      </c>
      <c r="BG194" s="183">
        <f t="shared" si="214"/>
        <v>736060</v>
      </c>
      <c r="BH194" s="183">
        <f t="shared" si="214"/>
        <v>1028940</v>
      </c>
      <c r="BI194" s="183">
        <f t="shared" si="214"/>
        <v>1765000</v>
      </c>
      <c r="BJ194" s="183">
        <f t="shared" si="200"/>
        <v>100</v>
      </c>
      <c r="BK194" s="188"/>
      <c r="BL194" s="188"/>
      <c r="BM194" s="189"/>
      <c r="BN194" s="189"/>
      <c r="BO194" s="190">
        <f t="shared" ref="BO194:BX194" si="215">SUBTOTAL(109,BO195:BO196)</f>
        <v>0</v>
      </c>
      <c r="BP194" s="183">
        <f t="shared" si="215"/>
        <v>0</v>
      </c>
      <c r="BQ194" s="183">
        <f t="shared" si="215"/>
        <v>0</v>
      </c>
      <c r="BR194" s="183">
        <f t="shared" si="215"/>
        <v>0</v>
      </c>
      <c r="BS194" s="183">
        <f t="shared" si="215"/>
        <v>0</v>
      </c>
      <c r="BT194" s="183">
        <f t="shared" si="215"/>
        <v>0</v>
      </c>
      <c r="BU194" s="191">
        <f t="shared" si="215"/>
        <v>0</v>
      </c>
      <c r="BV194" s="183">
        <f t="shared" si="215"/>
        <v>0</v>
      </c>
      <c r="BW194" s="183">
        <f t="shared" si="215"/>
        <v>0</v>
      </c>
      <c r="BX194" s="183">
        <f t="shared" si="215"/>
        <v>0</v>
      </c>
      <c r="BY194" s="181"/>
      <c r="BZ194" s="181"/>
      <c r="CA194" s="181"/>
      <c r="CB194" s="181"/>
      <c r="CC194" s="181"/>
      <c r="CD194" s="181"/>
      <c r="CE194" s="181"/>
      <c r="CF194" s="181"/>
      <c r="CG194" s="181"/>
      <c r="CH194" s="181"/>
      <c r="CI194" s="181"/>
      <c r="CJ194" s="181"/>
      <c r="CK194" s="192"/>
      <c r="CL194" s="192"/>
      <c r="CM194" s="193"/>
      <c r="CN194" s="242"/>
      <c r="CO194" s="242"/>
      <c r="CP194" s="243"/>
      <c r="CQ194" s="244"/>
      <c r="CR194" s="193"/>
      <c r="CS194" s="245"/>
      <c r="CT194" s="245"/>
      <c r="CU194" s="245"/>
      <c r="CV194" s="193"/>
      <c r="CW194" s="193"/>
      <c r="CX194" s="193"/>
      <c r="CY194" s="193"/>
      <c r="CZ194" s="193"/>
      <c r="DA194" s="193"/>
      <c r="DB194" s="193"/>
      <c r="DC194" s="246"/>
      <c r="DD194" s="246"/>
      <c r="DE194" s="246"/>
      <c r="DF194" s="193"/>
      <c r="DG194" s="193"/>
      <c r="DH194" s="193"/>
      <c r="DI194" s="193"/>
      <c r="DJ194" s="193"/>
      <c r="DK194" s="135"/>
      <c r="DT194" s="222"/>
    </row>
    <row r="195" spans="1:124" s="176" customFormat="1" x14ac:dyDescent="0.2">
      <c r="A195" s="225" t="s">
        <v>161</v>
      </c>
      <c r="B195" s="197" t="s">
        <v>608</v>
      </c>
      <c r="C195" s="198">
        <v>1</v>
      </c>
      <c r="D195" s="199">
        <v>895000</v>
      </c>
      <c r="E195" s="198" t="s">
        <v>149</v>
      </c>
      <c r="F195" s="198" t="s">
        <v>150</v>
      </c>
      <c r="G195" s="198" t="s">
        <v>151</v>
      </c>
      <c r="H195" s="200">
        <v>1</v>
      </c>
      <c r="I195" s="199">
        <f t="shared" ref="I195:I196" si="216">+L195</f>
        <v>350060</v>
      </c>
      <c r="J195" s="199">
        <f t="shared" ref="J195:J196" si="217">+O195+M195+P195</f>
        <v>544940</v>
      </c>
      <c r="K195" s="199">
        <f t="shared" ref="K195:K196" si="218">I195+J195</f>
        <v>895000</v>
      </c>
      <c r="L195" s="199">
        <v>350060</v>
      </c>
      <c r="M195" s="199">
        <v>544940</v>
      </c>
      <c r="N195" s="199">
        <f t="shared" ref="N195:N196" si="219">L195+M195</f>
        <v>895000</v>
      </c>
      <c r="O195" s="199"/>
      <c r="P195" s="201">
        <v>0</v>
      </c>
      <c r="Q195" s="202">
        <v>32</v>
      </c>
      <c r="R195" s="203">
        <v>45567</v>
      </c>
      <c r="S195" s="204"/>
      <c r="T195" s="204">
        <v>544940</v>
      </c>
      <c r="U195" s="204">
        <f t="shared" ref="U195:U196" si="220">S195+T195</f>
        <v>544940</v>
      </c>
      <c r="V195" s="205">
        <v>1259</v>
      </c>
      <c r="W195" s="200">
        <v>45674</v>
      </c>
      <c r="X195" s="201">
        <v>350060</v>
      </c>
      <c r="Y195" s="201"/>
      <c r="Z195" s="201">
        <f t="shared" ref="Z195:Z196" si="221">X195+Y195</f>
        <v>350060</v>
      </c>
      <c r="AA195" s="198"/>
      <c r="AB195" s="206"/>
      <c r="AC195" s="207"/>
      <c r="AD195" s="201"/>
      <c r="AE195" s="204">
        <f t="shared" ref="AE195:AE196" si="222">AC195+AD195</f>
        <v>0</v>
      </c>
      <c r="AF195" s="203">
        <f t="shared" ref="AF195:AF196" si="223">+R195</f>
        <v>45567</v>
      </c>
      <c r="AG195" s="201">
        <f t="shared" ref="AG195:AG196" si="224">+AJ195</f>
        <v>350060</v>
      </c>
      <c r="AH195" s="199">
        <f t="shared" ref="AH195:AH196" si="225">+AK195+AO195</f>
        <v>544940</v>
      </c>
      <c r="AI195" s="199">
        <f t="shared" ref="AI195:AI196" si="226">AG195+AH195</f>
        <v>895000</v>
      </c>
      <c r="AJ195" s="201">
        <f t="shared" ref="AJ195:AK196" si="227">+S195+X195+AC195</f>
        <v>350060</v>
      </c>
      <c r="AK195" s="201">
        <f t="shared" si="227"/>
        <v>544940</v>
      </c>
      <c r="AL195" s="201">
        <f t="shared" ref="AL195:AL196" si="228">SUM(AJ195:AK195)</f>
        <v>895000</v>
      </c>
      <c r="AM195" s="198"/>
      <c r="AN195" s="203"/>
      <c r="AO195" s="208"/>
      <c r="AP195" s="201">
        <f t="shared" ref="AP195:AP196" si="229">+AT195</f>
        <v>350060</v>
      </c>
      <c r="AQ195" s="201">
        <f t="shared" ref="AQ195:AQ196" si="230">+AU195+AY195</f>
        <v>544940</v>
      </c>
      <c r="AR195" s="201">
        <f t="shared" ref="AR195:AR196" si="231">SUM(AP195:AQ195)</f>
        <v>895000</v>
      </c>
      <c r="AS195" s="201">
        <f t="shared" si="185"/>
        <v>100</v>
      </c>
      <c r="AT195" s="201">
        <v>350060</v>
      </c>
      <c r="AU195" s="209">
        <v>544940</v>
      </c>
      <c r="AV195" s="201">
        <f t="shared" ref="AV195" si="232">SUM(AT195:AU195)</f>
        <v>895000</v>
      </c>
      <c r="AW195" s="201">
        <f>+CF195*100/AL195</f>
        <v>0</v>
      </c>
      <c r="AX195" s="201">
        <f t="shared" si="213"/>
        <v>100</v>
      </c>
      <c r="AY195" s="208"/>
      <c r="AZ195" s="201">
        <f t="shared" ref="AZ195:AZ196" si="233">+BC195</f>
        <v>0</v>
      </c>
      <c r="BA195" s="201">
        <f t="shared" ref="BA195:BA196" si="234">+BD195+BF195</f>
        <v>0</v>
      </c>
      <c r="BB195" s="201">
        <f t="shared" ref="BB195" si="235">SUM(AZ195:BA195)</f>
        <v>0</v>
      </c>
      <c r="BC195" s="201"/>
      <c r="BD195" s="209"/>
      <c r="BE195" s="201">
        <f t="shared" ref="BE195" si="236">SUM(BC195:BD195)</f>
        <v>0</v>
      </c>
      <c r="BF195" s="208"/>
      <c r="BG195" s="201">
        <f t="shared" ref="BG195:BH196" si="237">+AP195+AZ195</f>
        <v>350060</v>
      </c>
      <c r="BH195" s="201">
        <f t="shared" si="237"/>
        <v>544940</v>
      </c>
      <c r="BI195" s="201">
        <f t="shared" ref="BI195" si="238">SUM(BG195:BH195)</f>
        <v>895000</v>
      </c>
      <c r="BJ195" s="201">
        <f t="shared" si="200"/>
        <v>100</v>
      </c>
      <c r="BK195" s="210">
        <v>0</v>
      </c>
      <c r="BL195" s="210">
        <v>100</v>
      </c>
      <c r="BM195" s="211"/>
      <c r="BN195" s="214" t="s">
        <v>152</v>
      </c>
      <c r="BO195" s="212">
        <f t="shared" ref="BO195:BO196" si="239">+BR195</f>
        <v>0</v>
      </c>
      <c r="BP195" s="201">
        <f t="shared" ref="BP195:BP196" si="240">+BS195+BU195</f>
        <v>0</v>
      </c>
      <c r="BQ195" s="201">
        <f t="shared" ref="BQ195" si="241">SUM(BO195:BP195)</f>
        <v>0</v>
      </c>
      <c r="BR195" s="201">
        <f>+AJ195-AT195</f>
        <v>0</v>
      </c>
      <c r="BS195" s="201">
        <f>+AK195-AU195</f>
        <v>0</v>
      </c>
      <c r="BT195" s="201">
        <f t="shared" ref="BT195" si="242">SUM(BR195:BS195)</f>
        <v>0</v>
      </c>
      <c r="BU195" s="213">
        <f>+AO195-AY195</f>
        <v>0</v>
      </c>
      <c r="BV195" s="201"/>
      <c r="BW195" s="201"/>
      <c r="BX195" s="201">
        <f t="shared" ref="BX195" si="243">SUM(BV195:BW195)</f>
        <v>0</v>
      </c>
      <c r="BY195" s="199">
        <v>0</v>
      </c>
      <c r="BZ195" s="199">
        <v>447500</v>
      </c>
      <c r="CA195" s="199">
        <v>447500</v>
      </c>
      <c r="CB195" s="199">
        <v>0</v>
      </c>
      <c r="CC195" s="199">
        <v>0</v>
      </c>
      <c r="CD195" s="199">
        <v>0</v>
      </c>
      <c r="CE195" s="199">
        <v>0</v>
      </c>
      <c r="CF195" s="199">
        <v>0</v>
      </c>
      <c r="CG195" s="199">
        <v>0</v>
      </c>
      <c r="CH195" s="199">
        <v>0</v>
      </c>
      <c r="CI195" s="199">
        <v>0</v>
      </c>
      <c r="CJ195" s="199">
        <v>0</v>
      </c>
      <c r="CK195" s="214" t="s">
        <v>609</v>
      </c>
      <c r="CL195" s="214" t="s">
        <v>610</v>
      </c>
      <c r="CM195" s="211">
        <v>196</v>
      </c>
      <c r="CN195" s="215"/>
      <c r="CO195" s="215"/>
      <c r="CP195" s="216"/>
      <c r="CQ195" s="217"/>
      <c r="CR195" s="211"/>
      <c r="CS195" s="218"/>
      <c r="CT195" s="218"/>
      <c r="CU195" s="218"/>
      <c r="CV195" s="211"/>
      <c r="CW195" s="211"/>
      <c r="CX195" s="211"/>
      <c r="CY195" s="211"/>
      <c r="CZ195" s="211"/>
      <c r="DA195" s="211"/>
      <c r="DB195" s="211"/>
      <c r="DC195" s="219"/>
      <c r="DD195" s="219"/>
      <c r="DE195" s="219"/>
      <c r="DF195" s="211"/>
      <c r="DG195" s="211"/>
      <c r="DH195" s="211"/>
      <c r="DI195" s="211"/>
      <c r="DJ195" s="211"/>
      <c r="DK195" s="220" t="s">
        <v>53</v>
      </c>
      <c r="DT195" s="222"/>
    </row>
    <row r="196" spans="1:124" s="176" customFormat="1" x14ac:dyDescent="0.2">
      <c r="A196" s="225" t="s">
        <v>161</v>
      </c>
      <c r="B196" s="197" t="s">
        <v>611</v>
      </c>
      <c r="C196" s="198">
        <v>1</v>
      </c>
      <c r="D196" s="199">
        <v>870000</v>
      </c>
      <c r="E196" s="198" t="s">
        <v>149</v>
      </c>
      <c r="F196" s="198" t="s">
        <v>150</v>
      </c>
      <c r="G196" s="198" t="s">
        <v>151</v>
      </c>
      <c r="H196" s="200">
        <v>1</v>
      </c>
      <c r="I196" s="199">
        <f t="shared" si="216"/>
        <v>386000</v>
      </c>
      <c r="J196" s="199">
        <f t="shared" si="217"/>
        <v>484000</v>
      </c>
      <c r="K196" s="199">
        <f t="shared" si="218"/>
        <v>870000</v>
      </c>
      <c r="L196" s="199">
        <v>386000</v>
      </c>
      <c r="M196" s="199">
        <v>484000</v>
      </c>
      <c r="N196" s="199">
        <f t="shared" si="219"/>
        <v>870000</v>
      </c>
      <c r="O196" s="199"/>
      <c r="P196" s="201">
        <v>0</v>
      </c>
      <c r="Q196" s="202">
        <v>32</v>
      </c>
      <c r="R196" s="203">
        <v>45567</v>
      </c>
      <c r="S196" s="204"/>
      <c r="T196" s="204">
        <v>484000</v>
      </c>
      <c r="U196" s="204">
        <f t="shared" si="220"/>
        <v>484000</v>
      </c>
      <c r="V196" s="205">
        <v>1521</v>
      </c>
      <c r="W196" s="200">
        <v>45701</v>
      </c>
      <c r="X196" s="201">
        <v>386000</v>
      </c>
      <c r="Y196" s="201"/>
      <c r="Z196" s="201">
        <f t="shared" si="221"/>
        <v>386000</v>
      </c>
      <c r="AA196" s="198"/>
      <c r="AB196" s="206"/>
      <c r="AC196" s="207"/>
      <c r="AD196" s="201"/>
      <c r="AE196" s="204">
        <f t="shared" si="222"/>
        <v>0</v>
      </c>
      <c r="AF196" s="203">
        <f t="shared" si="223"/>
        <v>45567</v>
      </c>
      <c r="AG196" s="201">
        <f t="shared" si="224"/>
        <v>386000</v>
      </c>
      <c r="AH196" s="199">
        <f t="shared" si="225"/>
        <v>484000</v>
      </c>
      <c r="AI196" s="199">
        <f t="shared" si="226"/>
        <v>870000</v>
      </c>
      <c r="AJ196" s="201">
        <f t="shared" si="227"/>
        <v>386000</v>
      </c>
      <c r="AK196" s="201">
        <f t="shared" si="227"/>
        <v>484000</v>
      </c>
      <c r="AL196" s="201">
        <f t="shared" si="228"/>
        <v>870000</v>
      </c>
      <c r="AM196" s="198"/>
      <c r="AN196" s="203"/>
      <c r="AO196" s="208"/>
      <c r="AP196" s="201">
        <f t="shared" si="229"/>
        <v>386000</v>
      </c>
      <c r="AQ196" s="201">
        <f t="shared" si="230"/>
        <v>484000</v>
      </c>
      <c r="AR196" s="201">
        <f t="shared" si="231"/>
        <v>870000</v>
      </c>
      <c r="AS196" s="201">
        <f t="shared" ref="AS196:AS200" si="244">IF(AI196= 0,0,(AR196*100/AI196))</f>
        <v>100</v>
      </c>
      <c r="AT196" s="201">
        <v>386000</v>
      </c>
      <c r="AU196" s="209">
        <v>484000</v>
      </c>
      <c r="AV196" s="201">
        <f t="shared" ref="AV196" si="245">SUM(AT196:AU196)</f>
        <v>870000</v>
      </c>
      <c r="AW196" s="201">
        <f t="shared" ref="AW196:AW198" si="246">+CF196*100/AL196</f>
        <v>0</v>
      </c>
      <c r="AX196" s="201">
        <f t="shared" si="213"/>
        <v>100</v>
      </c>
      <c r="AY196" s="208"/>
      <c r="AZ196" s="201">
        <f t="shared" si="233"/>
        <v>0</v>
      </c>
      <c r="BA196" s="201">
        <f t="shared" si="234"/>
        <v>0</v>
      </c>
      <c r="BB196" s="201">
        <f t="shared" ref="BB196" si="247">SUM(AZ196:BA196)</f>
        <v>0</v>
      </c>
      <c r="BC196" s="201"/>
      <c r="BD196" s="209"/>
      <c r="BE196" s="201">
        <f t="shared" ref="BE196" si="248">SUM(BC196:BD196)</f>
        <v>0</v>
      </c>
      <c r="BF196" s="208"/>
      <c r="BG196" s="201">
        <f t="shared" si="237"/>
        <v>386000</v>
      </c>
      <c r="BH196" s="201">
        <f t="shared" si="237"/>
        <v>484000</v>
      </c>
      <c r="BI196" s="201">
        <f t="shared" ref="BI196" si="249">SUM(BG196:BH196)</f>
        <v>870000</v>
      </c>
      <c r="BJ196" s="201">
        <f t="shared" si="200"/>
        <v>100</v>
      </c>
      <c r="BK196" s="210">
        <v>20</v>
      </c>
      <c r="BL196" s="210">
        <v>100</v>
      </c>
      <c r="BM196" s="211"/>
      <c r="BN196" s="214" t="s">
        <v>152</v>
      </c>
      <c r="BO196" s="212">
        <f t="shared" si="239"/>
        <v>0</v>
      </c>
      <c r="BP196" s="201">
        <f t="shared" si="240"/>
        <v>0</v>
      </c>
      <c r="BQ196" s="201">
        <f t="shared" ref="BQ196" si="250">SUM(BO196:BP196)</f>
        <v>0</v>
      </c>
      <c r="BR196" s="201">
        <f t="shared" ref="BR196:BS196" si="251">+AJ196-AT196</f>
        <v>0</v>
      </c>
      <c r="BS196" s="201">
        <f t="shared" si="251"/>
        <v>0</v>
      </c>
      <c r="BT196" s="201">
        <f t="shared" ref="BT196" si="252">SUM(BR196:BS196)</f>
        <v>0</v>
      </c>
      <c r="BU196" s="213">
        <f t="shared" ref="BU196" si="253">+AO196-AY196</f>
        <v>0</v>
      </c>
      <c r="BV196" s="201"/>
      <c r="BW196" s="201"/>
      <c r="BX196" s="201">
        <f t="shared" ref="BX196" si="254">SUM(BV196:BW196)</f>
        <v>0</v>
      </c>
      <c r="BY196" s="199">
        <v>0</v>
      </c>
      <c r="BZ196" s="199">
        <v>0</v>
      </c>
      <c r="CA196" s="199">
        <v>870000</v>
      </c>
      <c r="CB196" s="199">
        <v>0</v>
      </c>
      <c r="CC196" s="199">
        <v>0</v>
      </c>
      <c r="CD196" s="199">
        <v>0</v>
      </c>
      <c r="CE196" s="199">
        <v>0</v>
      </c>
      <c r="CF196" s="199">
        <v>0</v>
      </c>
      <c r="CG196" s="199">
        <v>0</v>
      </c>
      <c r="CH196" s="199">
        <v>0</v>
      </c>
      <c r="CI196" s="199">
        <v>0</v>
      </c>
      <c r="CJ196" s="199">
        <v>0</v>
      </c>
      <c r="CK196" s="214" t="s">
        <v>612</v>
      </c>
      <c r="CL196" s="214" t="s">
        <v>610</v>
      </c>
      <c r="CM196" s="211">
        <v>196</v>
      </c>
      <c r="CN196" s="215"/>
      <c r="CO196" s="215"/>
      <c r="CP196" s="216"/>
      <c r="CQ196" s="217"/>
      <c r="CR196" s="211"/>
      <c r="CS196" s="218"/>
      <c r="CT196" s="218"/>
      <c r="CU196" s="218"/>
      <c r="CV196" s="211"/>
      <c r="CW196" s="211"/>
      <c r="CX196" s="211"/>
      <c r="CY196" s="211"/>
      <c r="CZ196" s="211"/>
      <c r="DA196" s="211"/>
      <c r="DB196" s="211"/>
      <c r="DC196" s="219"/>
      <c r="DD196" s="219"/>
      <c r="DE196" s="219"/>
      <c r="DF196" s="211"/>
      <c r="DG196" s="211"/>
      <c r="DH196" s="211"/>
      <c r="DI196" s="211"/>
      <c r="DJ196" s="211"/>
      <c r="DK196" s="220" t="s">
        <v>53</v>
      </c>
      <c r="DT196" s="222"/>
    </row>
    <row r="197" spans="1:124" s="194" customFormat="1" x14ac:dyDescent="0.2">
      <c r="A197" s="177" t="s">
        <v>90</v>
      </c>
      <c r="B197" s="179" t="s">
        <v>613</v>
      </c>
      <c r="C197" s="180">
        <f>SUBTOTAL(103,C198:C200)</f>
        <v>1</v>
      </c>
      <c r="D197" s="181">
        <f>SUBTOTAL(109,D198:D200)</f>
        <v>13000000</v>
      </c>
      <c r="E197" s="182"/>
      <c r="F197" s="182"/>
      <c r="G197" s="182"/>
      <c r="H197" s="180">
        <f>SUBTOTAL(103,H198:H200)</f>
        <v>1</v>
      </c>
      <c r="I197" s="181">
        <f t="shared" ref="I197:Q197" si="255">SUBTOTAL(109,I198:I200)</f>
        <v>0</v>
      </c>
      <c r="J197" s="181">
        <f t="shared" si="255"/>
        <v>13000000</v>
      </c>
      <c r="K197" s="181">
        <f t="shared" si="255"/>
        <v>13000000</v>
      </c>
      <c r="L197" s="181">
        <f t="shared" si="255"/>
        <v>0</v>
      </c>
      <c r="M197" s="181">
        <f t="shared" si="255"/>
        <v>13000000</v>
      </c>
      <c r="N197" s="181">
        <f t="shared" si="255"/>
        <v>13000000</v>
      </c>
      <c r="O197" s="181">
        <f t="shared" si="255"/>
        <v>0</v>
      </c>
      <c r="P197" s="183">
        <f t="shared" si="255"/>
        <v>0</v>
      </c>
      <c r="Q197" s="182">
        <f t="shared" si="255"/>
        <v>185</v>
      </c>
      <c r="R197" s="180">
        <f>SUBTOTAL(103,R198:R200)</f>
        <v>1</v>
      </c>
      <c r="S197" s="184">
        <f t="shared" ref="S197:AE197" si="256">SUBTOTAL(109,S198:S200)</f>
        <v>0</v>
      </c>
      <c r="T197" s="184">
        <f t="shared" si="256"/>
        <v>10242200</v>
      </c>
      <c r="U197" s="184">
        <f t="shared" si="256"/>
        <v>10242200</v>
      </c>
      <c r="V197" s="180">
        <f t="shared" si="256"/>
        <v>581</v>
      </c>
      <c r="W197" s="185">
        <f t="shared" si="256"/>
        <v>45615</v>
      </c>
      <c r="X197" s="184">
        <f t="shared" si="256"/>
        <v>0</v>
      </c>
      <c r="Y197" s="181">
        <f t="shared" si="256"/>
        <v>204000</v>
      </c>
      <c r="Z197" s="184">
        <f t="shared" si="256"/>
        <v>204000</v>
      </c>
      <c r="AA197" s="182">
        <f t="shared" si="256"/>
        <v>3576</v>
      </c>
      <c r="AB197" s="185">
        <f t="shared" si="256"/>
        <v>91464</v>
      </c>
      <c r="AC197" s="184">
        <f t="shared" si="256"/>
        <v>0</v>
      </c>
      <c r="AD197" s="184">
        <f t="shared" si="256"/>
        <v>2553100</v>
      </c>
      <c r="AE197" s="184">
        <f t="shared" si="256"/>
        <v>2553100</v>
      </c>
      <c r="AF197" s="180">
        <f>SUBTOTAL(103,Q198:Q200)</f>
        <v>1</v>
      </c>
      <c r="AG197" s="183">
        <f t="shared" ref="AG197:AR197" si="257">SUBTOTAL(109,AG198:AG200)</f>
        <v>0</v>
      </c>
      <c r="AH197" s="184">
        <f t="shared" si="257"/>
        <v>12999300</v>
      </c>
      <c r="AI197" s="184">
        <f t="shared" si="257"/>
        <v>12999300</v>
      </c>
      <c r="AJ197" s="183">
        <f t="shared" si="257"/>
        <v>0</v>
      </c>
      <c r="AK197" s="183">
        <f t="shared" si="257"/>
        <v>12999300</v>
      </c>
      <c r="AL197" s="183">
        <f t="shared" si="257"/>
        <v>12999300</v>
      </c>
      <c r="AM197" s="182">
        <f t="shared" si="257"/>
        <v>0</v>
      </c>
      <c r="AN197" s="185">
        <f t="shared" si="257"/>
        <v>0</v>
      </c>
      <c r="AO197" s="186">
        <f t="shared" si="257"/>
        <v>0</v>
      </c>
      <c r="AP197" s="183">
        <f t="shared" si="257"/>
        <v>0</v>
      </c>
      <c r="AQ197" s="183">
        <f t="shared" si="257"/>
        <v>10246445.390000001</v>
      </c>
      <c r="AR197" s="183">
        <f t="shared" si="257"/>
        <v>10246445.390000001</v>
      </c>
      <c r="AS197" s="183">
        <f t="shared" si="244"/>
        <v>78.823055010654414</v>
      </c>
      <c r="AT197" s="183">
        <f>SUBTOTAL(109,AT198:AT200)</f>
        <v>0</v>
      </c>
      <c r="AU197" s="187">
        <f>SUBTOTAL(109,AU198:AU200)</f>
        <v>10246445.390000001</v>
      </c>
      <c r="AV197" s="183">
        <f>SUBTOTAL(109,AV198:AV200)</f>
        <v>10246445.390000001</v>
      </c>
      <c r="AW197" s="183">
        <f>+CC198*100/AL197</f>
        <v>8.8466302031647857</v>
      </c>
      <c r="AX197" s="183">
        <f>IF(AL197= 0,0,(AV197*100/AL197))</f>
        <v>78.823055010654414</v>
      </c>
      <c r="AY197" s="186">
        <f t="shared" ref="AY197:BI197" si="258">SUBTOTAL(109,AY198:AY200)</f>
        <v>0</v>
      </c>
      <c r="AZ197" s="183">
        <f t="shared" si="258"/>
        <v>0</v>
      </c>
      <c r="BA197" s="183">
        <f t="shared" si="258"/>
        <v>0</v>
      </c>
      <c r="BB197" s="183">
        <f t="shared" si="258"/>
        <v>0</v>
      </c>
      <c r="BC197" s="183">
        <f t="shared" si="258"/>
        <v>0</v>
      </c>
      <c r="BD197" s="187">
        <f t="shared" si="258"/>
        <v>0</v>
      </c>
      <c r="BE197" s="183">
        <f t="shared" si="258"/>
        <v>0</v>
      </c>
      <c r="BF197" s="186">
        <f t="shared" si="258"/>
        <v>0</v>
      </c>
      <c r="BG197" s="183">
        <f t="shared" si="258"/>
        <v>0</v>
      </c>
      <c r="BH197" s="183">
        <f t="shared" si="258"/>
        <v>10246445.390000001</v>
      </c>
      <c r="BI197" s="183">
        <f t="shared" si="258"/>
        <v>10246445.390000001</v>
      </c>
      <c r="BJ197" s="183">
        <f t="shared" si="200"/>
        <v>78.823055010654414</v>
      </c>
      <c r="BK197" s="188"/>
      <c r="BL197" s="188"/>
      <c r="BM197" s="189"/>
      <c r="BN197" s="189"/>
      <c r="BO197" s="190">
        <f t="shared" ref="BO197:BU197" si="259">SUBTOTAL(109,BO198:BO200)</f>
        <v>0</v>
      </c>
      <c r="BP197" s="183">
        <f t="shared" si="259"/>
        <v>2752854.6100000003</v>
      </c>
      <c r="BQ197" s="183">
        <f t="shared" si="259"/>
        <v>2752854.6100000003</v>
      </c>
      <c r="BR197" s="183">
        <f t="shared" si="259"/>
        <v>0</v>
      </c>
      <c r="BS197" s="183">
        <f t="shared" si="259"/>
        <v>2752854.6100000003</v>
      </c>
      <c r="BT197" s="183">
        <f t="shared" si="259"/>
        <v>2752854.6100000003</v>
      </c>
      <c r="BU197" s="191">
        <f t="shared" si="259"/>
        <v>0</v>
      </c>
      <c r="BV197" s="183"/>
      <c r="BW197" s="183"/>
      <c r="BX197" s="183">
        <f t="shared" ref="BX197:BX201" si="260">SUM(BV197:BW197)</f>
        <v>0</v>
      </c>
      <c r="BY197" s="181"/>
      <c r="BZ197" s="181"/>
      <c r="CA197" s="181"/>
      <c r="CB197" s="181"/>
      <c r="CC197" s="181"/>
      <c r="CD197" s="181"/>
      <c r="CE197" s="181"/>
      <c r="CF197" s="181"/>
      <c r="CG197" s="181"/>
      <c r="CH197" s="181"/>
      <c r="CI197" s="181"/>
      <c r="CJ197" s="181"/>
      <c r="CK197" s="192"/>
      <c r="CL197" s="192"/>
      <c r="CM197" s="193"/>
      <c r="CN197" s="242"/>
      <c r="CO197" s="242"/>
      <c r="CP197" s="243"/>
      <c r="CQ197" s="244"/>
      <c r="CR197" s="193"/>
      <c r="CS197" s="245"/>
      <c r="CT197" s="245"/>
      <c r="CU197" s="245"/>
      <c r="CV197" s="193"/>
      <c r="CW197" s="193"/>
      <c r="CX197" s="193"/>
      <c r="CY197" s="193"/>
      <c r="CZ197" s="193"/>
      <c r="DA197" s="193"/>
      <c r="DB197" s="193"/>
      <c r="DC197" s="246"/>
      <c r="DD197" s="246"/>
      <c r="DE197" s="246"/>
      <c r="DF197" s="193"/>
      <c r="DG197" s="193"/>
      <c r="DH197" s="193"/>
      <c r="DI197" s="193"/>
      <c r="DJ197" s="193"/>
      <c r="DK197" s="135"/>
      <c r="DT197" s="222"/>
    </row>
    <row r="198" spans="1:124" s="176" customFormat="1" x14ac:dyDescent="0.2">
      <c r="A198" s="294" t="s">
        <v>614</v>
      </c>
      <c r="B198" s="197" t="s">
        <v>615</v>
      </c>
      <c r="C198" s="198">
        <v>1</v>
      </c>
      <c r="D198" s="199">
        <v>13000000</v>
      </c>
      <c r="E198" s="198" t="s">
        <v>616</v>
      </c>
      <c r="F198" s="198" t="s">
        <v>150</v>
      </c>
      <c r="G198" s="198" t="s">
        <v>151</v>
      </c>
      <c r="H198" s="200">
        <v>1</v>
      </c>
      <c r="I198" s="199">
        <f t="shared" ref="I198:I200" si="261">+L198</f>
        <v>0</v>
      </c>
      <c r="J198" s="199">
        <f>+O198+M198+P198</f>
        <v>13000000</v>
      </c>
      <c r="K198" s="199">
        <f>I198+J198</f>
        <v>13000000</v>
      </c>
      <c r="L198" s="199"/>
      <c r="M198" s="199">
        <v>13000000</v>
      </c>
      <c r="N198" s="199">
        <f>L198+M198</f>
        <v>13000000</v>
      </c>
      <c r="O198" s="199"/>
      <c r="P198" s="201">
        <v>0</v>
      </c>
      <c r="Q198" s="202">
        <v>185</v>
      </c>
      <c r="R198" s="203">
        <v>45581</v>
      </c>
      <c r="S198" s="204"/>
      <c r="T198" s="204">
        <v>3020000</v>
      </c>
      <c r="U198" s="204">
        <f>S198+T198</f>
        <v>3020000</v>
      </c>
      <c r="V198" s="198">
        <v>581</v>
      </c>
      <c r="W198" s="206">
        <v>45615</v>
      </c>
      <c r="X198" s="207"/>
      <c r="Y198" s="201">
        <f>3040000-3020000</f>
        <v>20000</v>
      </c>
      <c r="Z198" s="201">
        <f>X198+Y198</f>
        <v>20000</v>
      </c>
      <c r="AA198" s="198">
        <v>1467</v>
      </c>
      <c r="AB198" s="206">
        <v>45694</v>
      </c>
      <c r="AC198" s="207"/>
      <c r="AD198" s="201">
        <v>60000</v>
      </c>
      <c r="AE198" s="204">
        <f>AC198+AD198</f>
        <v>60000</v>
      </c>
      <c r="AF198" s="203">
        <f>+R198</f>
        <v>45581</v>
      </c>
      <c r="AG198" s="201">
        <f t="shared" ref="AG198:AG200" si="262">+AJ198</f>
        <v>0</v>
      </c>
      <c r="AH198" s="199">
        <f>+AK198+AO198</f>
        <v>3100000</v>
      </c>
      <c r="AI198" s="199">
        <f>AG198+AH198</f>
        <v>3100000</v>
      </c>
      <c r="AJ198" s="201">
        <f t="shared" ref="AJ198:AK200" si="263">+S198+X198+AC198</f>
        <v>0</v>
      </c>
      <c r="AK198" s="201">
        <f t="shared" si="263"/>
        <v>3100000</v>
      </c>
      <c r="AL198" s="201">
        <f>SUM(AJ198:AK198)</f>
        <v>3100000</v>
      </c>
      <c r="AM198" s="198"/>
      <c r="AN198" s="203"/>
      <c r="AO198" s="208"/>
      <c r="AP198" s="201">
        <f t="shared" ref="AP198:AP200" si="264">+AT198</f>
        <v>0</v>
      </c>
      <c r="AQ198" s="201">
        <f t="shared" ref="AQ198:AQ200" si="265">+AU198+AY198</f>
        <v>2408115.48</v>
      </c>
      <c r="AR198" s="201">
        <f t="shared" ref="AR198:AR200" si="266">SUM(AP198:AQ198)</f>
        <v>2408115.48</v>
      </c>
      <c r="AS198" s="201">
        <f t="shared" si="244"/>
        <v>77.681144516129038</v>
      </c>
      <c r="AT198" s="201"/>
      <c r="AU198" s="209">
        <v>2408115.48</v>
      </c>
      <c r="AV198" s="201">
        <f t="shared" ref="AV198:AV199" si="267">SUM(AT198:AU198)</f>
        <v>2408115.48</v>
      </c>
      <c r="AW198" s="201">
        <f t="shared" si="246"/>
        <v>37.096774193548384</v>
      </c>
      <c r="AX198" s="201">
        <f t="shared" ref="AX198:AX200" si="268">IF(AL198= 0,0,(AV198*100/AL198))</f>
        <v>77.681144516129038</v>
      </c>
      <c r="AY198" s="208"/>
      <c r="AZ198" s="201">
        <f t="shared" ref="AZ198:AZ200" si="269">+BC198</f>
        <v>0</v>
      </c>
      <c r="BA198" s="201">
        <f>+BD198+BF198</f>
        <v>0</v>
      </c>
      <c r="BB198" s="201">
        <f t="shared" ref="BB198:BB200" si="270">SUM(AZ198:BA198)</f>
        <v>0</v>
      </c>
      <c r="BC198" s="201"/>
      <c r="BD198" s="209"/>
      <c r="BE198" s="201">
        <f t="shared" ref="BE198:BE200" si="271">SUM(BC198:BD198)</f>
        <v>0</v>
      </c>
      <c r="BF198" s="208"/>
      <c r="BG198" s="201">
        <f t="shared" ref="BG198:BH200" si="272">+AP198+AZ198</f>
        <v>0</v>
      </c>
      <c r="BH198" s="201">
        <f t="shared" si="272"/>
        <v>2408115.48</v>
      </c>
      <c r="BI198" s="201">
        <f t="shared" ref="BI198:BI200" si="273">SUM(BG198:BH198)</f>
        <v>2408115.48</v>
      </c>
      <c r="BJ198" s="201">
        <f t="shared" si="200"/>
        <v>77.681144516129038</v>
      </c>
      <c r="BK198" s="210">
        <v>8</v>
      </c>
      <c r="BL198" s="210">
        <v>50</v>
      </c>
      <c r="BM198" s="211"/>
      <c r="BN198" s="214" t="s">
        <v>152</v>
      </c>
      <c r="BO198" s="212">
        <f>+BR198</f>
        <v>0</v>
      </c>
      <c r="BP198" s="201">
        <f>+BS198+BU198</f>
        <v>691884.52</v>
      </c>
      <c r="BQ198" s="201">
        <f>SUM(BO198:BP198)</f>
        <v>691884.52</v>
      </c>
      <c r="BR198" s="201">
        <f t="shared" ref="BR198:BS200" si="274">+AJ198-AT198</f>
        <v>0</v>
      </c>
      <c r="BS198" s="201">
        <f t="shared" si="274"/>
        <v>691884.52</v>
      </c>
      <c r="BT198" s="201">
        <f>SUM(BR198:BS198)</f>
        <v>691884.52</v>
      </c>
      <c r="BU198" s="213">
        <f>+AO198-AY198</f>
        <v>0</v>
      </c>
      <c r="BV198" s="201"/>
      <c r="BW198" s="201"/>
      <c r="BX198" s="201">
        <f t="shared" si="260"/>
        <v>0</v>
      </c>
      <c r="BY198" s="199">
        <v>500000</v>
      </c>
      <c r="BZ198" s="199">
        <v>1000000</v>
      </c>
      <c r="CA198" s="199">
        <v>1150000</v>
      </c>
      <c r="CB198" s="199">
        <v>1150000</v>
      </c>
      <c r="CC198" s="199">
        <v>1150000</v>
      </c>
      <c r="CD198" s="199">
        <v>1150000</v>
      </c>
      <c r="CE198" s="199">
        <v>1150000</v>
      </c>
      <c r="CF198" s="199">
        <v>1150000</v>
      </c>
      <c r="CG198" s="199">
        <v>1150000</v>
      </c>
      <c r="CH198" s="199">
        <v>1150000</v>
      </c>
      <c r="CI198" s="199">
        <v>1150000</v>
      </c>
      <c r="CJ198" s="199">
        <v>1150000</v>
      </c>
      <c r="CK198" s="214" t="s">
        <v>617</v>
      </c>
      <c r="CL198" s="214" t="s">
        <v>610</v>
      </c>
      <c r="CM198" s="211">
        <v>197</v>
      </c>
      <c r="CN198" s="215"/>
      <c r="CO198" s="215"/>
      <c r="CP198" s="216"/>
      <c r="CQ198" s="217"/>
      <c r="CR198" s="211"/>
      <c r="CS198" s="218"/>
      <c r="CT198" s="218"/>
      <c r="CU198" s="218"/>
      <c r="CV198" s="211"/>
      <c r="CW198" s="211"/>
      <c r="CX198" s="211"/>
      <c r="CY198" s="211"/>
      <c r="CZ198" s="211"/>
      <c r="DA198" s="211"/>
      <c r="DB198" s="211"/>
      <c r="DC198" s="219"/>
      <c r="DD198" s="219"/>
      <c r="DE198" s="219"/>
      <c r="DF198" s="211"/>
      <c r="DG198" s="211"/>
      <c r="DH198" s="211"/>
      <c r="DI198" s="211"/>
      <c r="DJ198" s="211"/>
      <c r="DK198" s="220" t="s">
        <v>32</v>
      </c>
      <c r="DT198" s="222"/>
    </row>
    <row r="199" spans="1:124" s="176" customFormat="1" x14ac:dyDescent="0.2">
      <c r="A199" s="294" t="s">
        <v>614</v>
      </c>
      <c r="B199" s="197" t="s">
        <v>618</v>
      </c>
      <c r="C199" s="198"/>
      <c r="D199" s="199"/>
      <c r="E199" s="198" t="s">
        <v>616</v>
      </c>
      <c r="F199" s="198" t="s">
        <v>150</v>
      </c>
      <c r="G199" s="198" t="s">
        <v>151</v>
      </c>
      <c r="H199" s="200"/>
      <c r="I199" s="199">
        <f t="shared" si="261"/>
        <v>0</v>
      </c>
      <c r="J199" s="199">
        <f>+O199+M199+P199</f>
        <v>0</v>
      </c>
      <c r="K199" s="199">
        <f>I199+J199</f>
        <v>0</v>
      </c>
      <c r="L199" s="199"/>
      <c r="M199" s="199"/>
      <c r="N199" s="199">
        <f>L199+M199</f>
        <v>0</v>
      </c>
      <c r="O199" s="199"/>
      <c r="P199" s="201">
        <v>0</v>
      </c>
      <c r="Q199" s="202"/>
      <c r="R199" s="203"/>
      <c r="S199" s="204"/>
      <c r="T199" s="204">
        <v>4537200</v>
      </c>
      <c r="U199" s="204">
        <f>S199+T199</f>
        <v>4537200</v>
      </c>
      <c r="V199" s="205"/>
      <c r="W199" s="200"/>
      <c r="X199" s="201"/>
      <c r="Y199" s="201">
        <f>4666200-4537200</f>
        <v>129000</v>
      </c>
      <c r="Z199" s="201">
        <f>X199+Y199</f>
        <v>129000</v>
      </c>
      <c r="AA199" s="198">
        <v>2109</v>
      </c>
      <c r="AB199" s="206">
        <v>45770</v>
      </c>
      <c r="AC199" s="207"/>
      <c r="AD199" s="201">
        <v>1338100</v>
      </c>
      <c r="AE199" s="204">
        <f>AC199+AD199</f>
        <v>1338100</v>
      </c>
      <c r="AF199" s="203">
        <v>45581</v>
      </c>
      <c r="AG199" s="201">
        <f t="shared" si="262"/>
        <v>0</v>
      </c>
      <c r="AH199" s="199">
        <f>+AK199+AO199</f>
        <v>6004300</v>
      </c>
      <c r="AI199" s="199">
        <f>AG199+AH199</f>
        <v>6004300</v>
      </c>
      <c r="AJ199" s="201">
        <f t="shared" si="263"/>
        <v>0</v>
      </c>
      <c r="AK199" s="201">
        <f t="shared" si="263"/>
        <v>6004300</v>
      </c>
      <c r="AL199" s="201">
        <f>SUM(AJ199:AK199)</f>
        <v>6004300</v>
      </c>
      <c r="AM199" s="198"/>
      <c r="AN199" s="203"/>
      <c r="AO199" s="208"/>
      <c r="AP199" s="201">
        <f t="shared" si="264"/>
        <v>0</v>
      </c>
      <c r="AQ199" s="201">
        <f t="shared" si="265"/>
        <v>5054869.75</v>
      </c>
      <c r="AR199" s="201">
        <f t="shared" si="266"/>
        <v>5054869.75</v>
      </c>
      <c r="AS199" s="201">
        <f t="shared" si="244"/>
        <v>84.187494795396631</v>
      </c>
      <c r="AT199" s="201"/>
      <c r="AU199" s="209">
        <v>5054869.75</v>
      </c>
      <c r="AV199" s="201">
        <f t="shared" si="267"/>
        <v>5054869.75</v>
      </c>
      <c r="AW199" s="201">
        <f>+CF199*100/AL199</f>
        <v>0</v>
      </c>
      <c r="AX199" s="201">
        <f t="shared" si="268"/>
        <v>84.187494795396631</v>
      </c>
      <c r="AY199" s="208"/>
      <c r="AZ199" s="201">
        <f t="shared" si="269"/>
        <v>0</v>
      </c>
      <c r="BA199" s="201">
        <f>+BD199+BF199</f>
        <v>0</v>
      </c>
      <c r="BB199" s="201">
        <f t="shared" si="270"/>
        <v>0</v>
      </c>
      <c r="BC199" s="201"/>
      <c r="BD199" s="209">
        <v>0</v>
      </c>
      <c r="BE199" s="201">
        <f t="shared" si="271"/>
        <v>0</v>
      </c>
      <c r="BF199" s="208"/>
      <c r="BG199" s="201">
        <f t="shared" si="272"/>
        <v>0</v>
      </c>
      <c r="BH199" s="201">
        <f t="shared" si="272"/>
        <v>5054869.75</v>
      </c>
      <c r="BI199" s="201">
        <f t="shared" si="273"/>
        <v>5054869.75</v>
      </c>
      <c r="BJ199" s="201">
        <f t="shared" si="200"/>
        <v>84.187494795396631</v>
      </c>
      <c r="BK199" s="210">
        <v>8</v>
      </c>
      <c r="BL199" s="210">
        <v>60</v>
      </c>
      <c r="BM199" s="211"/>
      <c r="BN199" s="214" t="s">
        <v>152</v>
      </c>
      <c r="BO199" s="212">
        <f>+BR199</f>
        <v>0</v>
      </c>
      <c r="BP199" s="201">
        <f>+BS199+BU199</f>
        <v>949430.25</v>
      </c>
      <c r="BQ199" s="201">
        <f>SUM(BO199:BP199)</f>
        <v>949430.25</v>
      </c>
      <c r="BR199" s="201">
        <f t="shared" si="274"/>
        <v>0</v>
      </c>
      <c r="BS199" s="201">
        <f t="shared" si="274"/>
        <v>949430.25</v>
      </c>
      <c r="BT199" s="201">
        <f>SUM(BR199:BS199)</f>
        <v>949430.25</v>
      </c>
      <c r="BU199" s="213">
        <f>+AO199-AY199</f>
        <v>0</v>
      </c>
      <c r="BV199" s="201"/>
      <c r="BW199" s="201"/>
      <c r="BX199" s="201">
        <f t="shared" si="260"/>
        <v>0</v>
      </c>
      <c r="BY199" s="199"/>
      <c r="BZ199" s="199"/>
      <c r="CA199" s="199"/>
      <c r="CB199" s="199"/>
      <c r="CC199" s="199"/>
      <c r="CD199" s="199"/>
      <c r="CE199" s="199"/>
      <c r="CF199" s="199"/>
      <c r="CG199" s="199"/>
      <c r="CH199" s="199"/>
      <c r="CI199" s="199"/>
      <c r="CJ199" s="199"/>
      <c r="CK199" s="214" t="s">
        <v>617</v>
      </c>
      <c r="CL199" s="214" t="s">
        <v>610</v>
      </c>
      <c r="CM199" s="211">
        <v>197</v>
      </c>
      <c r="CN199" s="215"/>
      <c r="CO199" s="215"/>
      <c r="CP199" s="216"/>
      <c r="CQ199" s="217"/>
      <c r="CR199" s="211"/>
      <c r="CS199" s="218"/>
      <c r="CT199" s="218"/>
      <c r="CU199" s="218"/>
      <c r="CV199" s="211"/>
      <c r="CW199" s="211"/>
      <c r="CX199" s="211"/>
      <c r="CY199" s="211"/>
      <c r="CZ199" s="211"/>
      <c r="DA199" s="211"/>
      <c r="DB199" s="211"/>
      <c r="DC199" s="219"/>
      <c r="DD199" s="219"/>
      <c r="DE199" s="219"/>
      <c r="DF199" s="211"/>
      <c r="DG199" s="211"/>
      <c r="DH199" s="211"/>
      <c r="DI199" s="211"/>
      <c r="DJ199" s="211"/>
      <c r="DK199" s="220" t="s">
        <v>32</v>
      </c>
      <c r="DT199" s="222"/>
    </row>
    <row r="200" spans="1:124" s="176" customFormat="1" x14ac:dyDescent="0.2">
      <c r="A200" s="294" t="s">
        <v>614</v>
      </c>
      <c r="B200" s="197" t="s">
        <v>619</v>
      </c>
      <c r="C200" s="198"/>
      <c r="D200" s="199"/>
      <c r="E200" s="198" t="s">
        <v>616</v>
      </c>
      <c r="F200" s="198" t="s">
        <v>150</v>
      </c>
      <c r="G200" s="198" t="s">
        <v>151</v>
      </c>
      <c r="H200" s="200"/>
      <c r="I200" s="199">
        <f t="shared" si="261"/>
        <v>0</v>
      </c>
      <c r="J200" s="199">
        <f>+O200+M200+P200</f>
        <v>0</v>
      </c>
      <c r="K200" s="199">
        <f>I200+J200</f>
        <v>0</v>
      </c>
      <c r="L200" s="199"/>
      <c r="M200" s="199"/>
      <c r="N200" s="199">
        <f>L200+M200</f>
        <v>0</v>
      </c>
      <c r="O200" s="199"/>
      <c r="P200" s="201">
        <v>0</v>
      </c>
      <c r="Q200" s="202"/>
      <c r="R200" s="203"/>
      <c r="S200" s="204"/>
      <c r="T200" s="204">
        <v>2685000</v>
      </c>
      <c r="U200" s="204">
        <f>S200+T200</f>
        <v>2685000</v>
      </c>
      <c r="V200" s="198"/>
      <c r="W200" s="206"/>
      <c r="X200" s="207"/>
      <c r="Y200" s="201">
        <f>2740000-2685000</f>
        <v>55000</v>
      </c>
      <c r="Z200" s="201">
        <f>X200+Y200</f>
        <v>55000</v>
      </c>
      <c r="AA200" s="198"/>
      <c r="AB200" s="206"/>
      <c r="AC200" s="207"/>
      <c r="AD200" s="201">
        <f>830000+325000</f>
        <v>1155000</v>
      </c>
      <c r="AE200" s="204">
        <f>AC200+AD200</f>
        <v>1155000</v>
      </c>
      <c r="AF200" s="203">
        <v>45581</v>
      </c>
      <c r="AG200" s="201">
        <f t="shared" si="262"/>
        <v>0</v>
      </c>
      <c r="AH200" s="199">
        <f>+AK200+AO200</f>
        <v>3895000</v>
      </c>
      <c r="AI200" s="199">
        <f>AG200+AH200</f>
        <v>3895000</v>
      </c>
      <c r="AJ200" s="201">
        <f t="shared" si="263"/>
        <v>0</v>
      </c>
      <c r="AK200" s="201">
        <f t="shared" si="263"/>
        <v>3895000</v>
      </c>
      <c r="AL200" s="201">
        <f>SUM(AJ200:AK200)</f>
        <v>3895000</v>
      </c>
      <c r="AM200" s="198"/>
      <c r="AN200" s="203"/>
      <c r="AO200" s="208"/>
      <c r="AP200" s="201">
        <f t="shared" si="264"/>
        <v>0</v>
      </c>
      <c r="AQ200" s="201">
        <f t="shared" si="265"/>
        <v>2783460.1599999997</v>
      </c>
      <c r="AR200" s="201">
        <f t="shared" si="266"/>
        <v>2783460.1599999997</v>
      </c>
      <c r="AS200" s="201">
        <f t="shared" si="244"/>
        <v>71.462391784338877</v>
      </c>
      <c r="AT200" s="201"/>
      <c r="AU200" s="209">
        <v>2783460.1599999997</v>
      </c>
      <c r="AV200" s="201">
        <f t="shared" ref="AV200" si="275">SUM(AT200:AU200)</f>
        <v>2783460.1599999997</v>
      </c>
      <c r="AW200" s="201">
        <f>+CF200*100/AL200</f>
        <v>0</v>
      </c>
      <c r="AX200" s="201">
        <f t="shared" si="268"/>
        <v>71.462391784338877</v>
      </c>
      <c r="AY200" s="208"/>
      <c r="AZ200" s="201">
        <f t="shared" si="269"/>
        <v>0</v>
      </c>
      <c r="BA200" s="201">
        <f>+BD200+BF200</f>
        <v>0</v>
      </c>
      <c r="BB200" s="201">
        <f t="shared" si="270"/>
        <v>0</v>
      </c>
      <c r="BC200" s="201"/>
      <c r="BD200" s="209"/>
      <c r="BE200" s="201">
        <f t="shared" si="271"/>
        <v>0</v>
      </c>
      <c r="BF200" s="208"/>
      <c r="BG200" s="201">
        <f t="shared" si="272"/>
        <v>0</v>
      </c>
      <c r="BH200" s="201">
        <f t="shared" si="272"/>
        <v>2783460.1599999997</v>
      </c>
      <c r="BI200" s="201">
        <f t="shared" si="273"/>
        <v>2783460.1599999997</v>
      </c>
      <c r="BJ200" s="201">
        <f t="shared" ref="BJ200:BJ219" si="276">+BI200*100/AI200</f>
        <v>71.462391784338877</v>
      </c>
      <c r="BK200" s="210">
        <v>8</v>
      </c>
      <c r="BL200" s="210">
        <v>50</v>
      </c>
      <c r="BM200" s="211"/>
      <c r="BN200" s="214" t="s">
        <v>152</v>
      </c>
      <c r="BO200" s="212">
        <f>+BR200</f>
        <v>0</v>
      </c>
      <c r="BP200" s="201">
        <f>+BS200+BU200</f>
        <v>1111539.8400000003</v>
      </c>
      <c r="BQ200" s="201">
        <f>SUM(BO200:BP200)</f>
        <v>1111539.8400000003</v>
      </c>
      <c r="BR200" s="201">
        <f t="shared" si="274"/>
        <v>0</v>
      </c>
      <c r="BS200" s="201">
        <f t="shared" si="274"/>
        <v>1111539.8400000003</v>
      </c>
      <c r="BT200" s="201">
        <f>SUM(BR200:BS200)</f>
        <v>1111539.8400000003</v>
      </c>
      <c r="BU200" s="213">
        <f>+AO200-AY200</f>
        <v>0</v>
      </c>
      <c r="BV200" s="201"/>
      <c r="BW200" s="201"/>
      <c r="BX200" s="201"/>
      <c r="BY200" s="199"/>
      <c r="BZ200" s="199"/>
      <c r="CA200" s="199"/>
      <c r="CB200" s="199"/>
      <c r="CC200" s="199"/>
      <c r="CD200" s="199"/>
      <c r="CE200" s="199"/>
      <c r="CF200" s="199"/>
      <c r="CG200" s="199"/>
      <c r="CH200" s="199"/>
      <c r="CI200" s="199"/>
      <c r="CJ200" s="199"/>
      <c r="CK200" s="214" t="s">
        <v>617</v>
      </c>
      <c r="CL200" s="214" t="s">
        <v>610</v>
      </c>
      <c r="CM200" s="211">
        <v>197</v>
      </c>
      <c r="CN200" s="215"/>
      <c r="CO200" s="215"/>
      <c r="CP200" s="216"/>
      <c r="CQ200" s="217"/>
      <c r="CR200" s="211"/>
      <c r="CS200" s="218"/>
      <c r="CT200" s="218"/>
      <c r="CU200" s="218"/>
      <c r="CV200" s="211"/>
      <c r="CW200" s="211"/>
      <c r="CX200" s="211"/>
      <c r="CY200" s="211"/>
      <c r="CZ200" s="211"/>
      <c r="DA200" s="211"/>
      <c r="DB200" s="211"/>
      <c r="DC200" s="219"/>
      <c r="DD200" s="219"/>
      <c r="DE200" s="219"/>
      <c r="DF200" s="211"/>
      <c r="DG200" s="211"/>
      <c r="DH200" s="211"/>
      <c r="DI200" s="211"/>
      <c r="DJ200" s="211"/>
      <c r="DK200" s="220" t="s">
        <v>32</v>
      </c>
      <c r="DT200" s="222"/>
    </row>
    <row r="201" spans="1:124" s="194" customFormat="1" x14ac:dyDescent="0.2">
      <c r="A201" s="177" t="s">
        <v>90</v>
      </c>
      <c r="B201" s="179" t="s">
        <v>168</v>
      </c>
      <c r="C201" s="180">
        <f>SUBTOTAL(103,C202:C515)</f>
        <v>314</v>
      </c>
      <c r="D201" s="181">
        <f>SUBTOTAL(109,D202:D515)</f>
        <v>570521300</v>
      </c>
      <c r="E201" s="182"/>
      <c r="F201" s="182"/>
      <c r="G201" s="182"/>
      <c r="H201" s="180">
        <f>SUBTOTAL(103,H202:H515)</f>
        <v>314</v>
      </c>
      <c r="I201" s="181">
        <f t="shared" ref="I201:Q201" si="277">SUBTOTAL(109,I202:I515)</f>
        <v>104496390</v>
      </c>
      <c r="J201" s="181">
        <f t="shared" si="277"/>
        <v>466024910</v>
      </c>
      <c r="K201" s="181">
        <f t="shared" si="277"/>
        <v>570521300</v>
      </c>
      <c r="L201" s="181">
        <f t="shared" si="277"/>
        <v>104496390</v>
      </c>
      <c r="M201" s="181">
        <f t="shared" si="277"/>
        <v>466024910</v>
      </c>
      <c r="N201" s="181">
        <f t="shared" si="277"/>
        <v>570521300</v>
      </c>
      <c r="O201" s="181">
        <f t="shared" si="277"/>
        <v>0</v>
      </c>
      <c r="P201" s="183">
        <f t="shared" si="277"/>
        <v>0</v>
      </c>
      <c r="Q201" s="182">
        <f t="shared" si="277"/>
        <v>29474</v>
      </c>
      <c r="R201" s="180">
        <f>SUBTOTAL(103,R202:R515)</f>
        <v>311</v>
      </c>
      <c r="S201" s="184">
        <f t="shared" ref="S201:AE201" si="278">SUBTOTAL(109,S202:S515)</f>
        <v>26184246</v>
      </c>
      <c r="T201" s="184">
        <f t="shared" si="278"/>
        <v>454288659</v>
      </c>
      <c r="U201" s="184">
        <f t="shared" si="278"/>
        <v>480472905</v>
      </c>
      <c r="V201" s="180">
        <f t="shared" si="278"/>
        <v>85588</v>
      </c>
      <c r="W201" s="185">
        <f t="shared" si="278"/>
        <v>3106405</v>
      </c>
      <c r="X201" s="184">
        <f t="shared" si="278"/>
        <v>65728277.490000002</v>
      </c>
      <c r="Y201" s="181">
        <f t="shared" si="278"/>
        <v>-3308324.06</v>
      </c>
      <c r="Z201" s="184">
        <f t="shared" si="278"/>
        <v>62419953.430000007</v>
      </c>
      <c r="AA201" s="182">
        <f t="shared" si="278"/>
        <v>31579</v>
      </c>
      <c r="AB201" s="185">
        <f t="shared" si="278"/>
        <v>959605</v>
      </c>
      <c r="AC201" s="184">
        <f t="shared" si="278"/>
        <v>9232937</v>
      </c>
      <c r="AD201" s="184">
        <f t="shared" si="278"/>
        <v>-3979348.53</v>
      </c>
      <c r="AE201" s="184">
        <f t="shared" si="278"/>
        <v>5253588.4700000007</v>
      </c>
      <c r="AF201" s="180">
        <f>SUBTOTAL(103,Q202:Q515)</f>
        <v>311</v>
      </c>
      <c r="AG201" s="183">
        <f t="shared" ref="AG201:AR201" si="279">SUBTOTAL(109,AG202:AG515)</f>
        <v>101145460.49000001</v>
      </c>
      <c r="AH201" s="184">
        <f t="shared" si="279"/>
        <v>448002486.41000003</v>
      </c>
      <c r="AI201" s="184">
        <f t="shared" si="279"/>
        <v>549147946.89999998</v>
      </c>
      <c r="AJ201" s="183">
        <f t="shared" si="279"/>
        <v>101145460.49000001</v>
      </c>
      <c r="AK201" s="183">
        <f t="shared" si="279"/>
        <v>447000986.41000003</v>
      </c>
      <c r="AL201" s="183">
        <f t="shared" si="279"/>
        <v>548146446.89999998</v>
      </c>
      <c r="AM201" s="182">
        <f t="shared" si="279"/>
        <v>687</v>
      </c>
      <c r="AN201" s="185">
        <f t="shared" si="279"/>
        <v>136758</v>
      </c>
      <c r="AO201" s="186">
        <f t="shared" si="279"/>
        <v>1001500</v>
      </c>
      <c r="AP201" s="183">
        <f t="shared" si="279"/>
        <v>52621998.109999999</v>
      </c>
      <c r="AQ201" s="183">
        <f t="shared" si="279"/>
        <v>408612706.0199998</v>
      </c>
      <c r="AR201" s="183">
        <f t="shared" si="279"/>
        <v>461234704.12999982</v>
      </c>
      <c r="AS201" s="183">
        <f>IF(AI201= 0,0,(AR201*100/AI201))</f>
        <v>83.990973058120318</v>
      </c>
      <c r="AT201" s="183">
        <f>SUBTOTAL(109,AT202:AT515)</f>
        <v>52621998.109999999</v>
      </c>
      <c r="AU201" s="187">
        <f>SUBTOTAL(109,AU202:AU515)</f>
        <v>407883683.73999983</v>
      </c>
      <c r="AV201" s="183">
        <f>SUBTOTAL(109,AV202:AV515)</f>
        <v>460505681.84999985</v>
      </c>
      <c r="AW201" s="183"/>
      <c r="AX201" s="183">
        <f>IF(AL201= 0,0,(AV201*100/AL201))</f>
        <v>84.011432429117122</v>
      </c>
      <c r="AY201" s="186">
        <f t="shared" ref="AY201:BI201" si="280">SUBTOTAL(109,AY202:AY515)</f>
        <v>729022.27999999991</v>
      </c>
      <c r="AZ201" s="183">
        <f t="shared" si="280"/>
        <v>426260</v>
      </c>
      <c r="BA201" s="183">
        <f t="shared" si="280"/>
        <v>38764288.090000004</v>
      </c>
      <c r="BB201" s="183">
        <f t="shared" si="280"/>
        <v>39190548.090000004</v>
      </c>
      <c r="BC201" s="183">
        <f t="shared" si="280"/>
        <v>426260</v>
      </c>
      <c r="BD201" s="187">
        <f t="shared" si="280"/>
        <v>38764288.090000004</v>
      </c>
      <c r="BE201" s="183">
        <f t="shared" si="280"/>
        <v>39190548.090000004</v>
      </c>
      <c r="BF201" s="186">
        <f t="shared" si="280"/>
        <v>0</v>
      </c>
      <c r="BG201" s="183">
        <f t="shared" si="280"/>
        <v>53048258.109999999</v>
      </c>
      <c r="BH201" s="183">
        <f t="shared" si="280"/>
        <v>447376994.10999984</v>
      </c>
      <c r="BI201" s="183">
        <f t="shared" si="280"/>
        <v>500425252.21999991</v>
      </c>
      <c r="BJ201" s="183">
        <f t="shared" si="276"/>
        <v>91.127583203206896</v>
      </c>
      <c r="BK201" s="188"/>
      <c r="BL201" s="188"/>
      <c r="BM201" s="189"/>
      <c r="BN201" s="189"/>
      <c r="BO201" s="190">
        <f t="shared" ref="BO201:BU201" si="281">SUBTOTAL(109,BO202:BO515)</f>
        <v>48523462.379999995</v>
      </c>
      <c r="BP201" s="183">
        <f t="shared" si="281"/>
        <v>39389780.389999986</v>
      </c>
      <c r="BQ201" s="183">
        <f t="shared" si="281"/>
        <v>87913242.769999996</v>
      </c>
      <c r="BR201" s="183">
        <f t="shared" si="281"/>
        <v>48523462.379999995</v>
      </c>
      <c r="BS201" s="183">
        <f t="shared" si="281"/>
        <v>39117302.669999987</v>
      </c>
      <c r="BT201" s="183">
        <f t="shared" si="281"/>
        <v>87640765.049999982</v>
      </c>
      <c r="BU201" s="191">
        <f t="shared" si="281"/>
        <v>272477.72000000003</v>
      </c>
      <c r="BV201" s="183"/>
      <c r="BW201" s="183"/>
      <c r="BX201" s="183">
        <f t="shared" si="260"/>
        <v>0</v>
      </c>
      <c r="BY201" s="181"/>
      <c r="BZ201" s="181"/>
      <c r="CA201" s="181"/>
      <c r="CB201" s="181"/>
      <c r="CC201" s="181"/>
      <c r="CD201" s="181"/>
      <c r="CE201" s="181"/>
      <c r="CF201" s="181"/>
      <c r="CG201" s="181"/>
      <c r="CH201" s="181"/>
      <c r="CI201" s="181"/>
      <c r="CJ201" s="181"/>
      <c r="CK201" s="192"/>
      <c r="CL201" s="192"/>
      <c r="CM201" s="193"/>
      <c r="CN201" s="320"/>
      <c r="CO201" s="320"/>
      <c r="CP201" s="321"/>
      <c r="CQ201" s="244"/>
      <c r="CR201" s="193"/>
      <c r="CS201" s="245"/>
      <c r="CT201" s="245"/>
      <c r="CU201" s="245"/>
      <c r="CV201" s="193"/>
      <c r="CW201" s="193"/>
      <c r="CX201" s="193"/>
      <c r="CY201" s="193"/>
      <c r="CZ201" s="193"/>
      <c r="DA201" s="193"/>
      <c r="DB201" s="193"/>
      <c r="DC201" s="246"/>
      <c r="DD201" s="246"/>
      <c r="DE201" s="246"/>
      <c r="DF201" s="193"/>
      <c r="DG201" s="193"/>
      <c r="DH201" s="193"/>
      <c r="DI201" s="193"/>
      <c r="DJ201" s="193"/>
      <c r="DK201" s="135"/>
      <c r="DT201" s="222"/>
    </row>
    <row r="202" spans="1:124" s="176" customFormat="1" ht="63" x14ac:dyDescent="0.2">
      <c r="A202" s="195" t="s">
        <v>108</v>
      </c>
      <c r="B202" s="197" t="s">
        <v>620</v>
      </c>
      <c r="C202" s="198">
        <v>1</v>
      </c>
      <c r="D202" s="199">
        <v>985000</v>
      </c>
      <c r="E202" s="198" t="s">
        <v>241</v>
      </c>
      <c r="F202" s="198" t="s">
        <v>241</v>
      </c>
      <c r="G202" s="198" t="s">
        <v>98</v>
      </c>
      <c r="H202" s="200">
        <v>1</v>
      </c>
      <c r="I202" s="199">
        <f t="shared" ref="I202:I219" si="282">+L202</f>
        <v>0</v>
      </c>
      <c r="J202" s="199">
        <f t="shared" ref="J202:J219" si="283">+O202+M202+P202</f>
        <v>985000</v>
      </c>
      <c r="K202" s="199">
        <f t="shared" ref="K202:K219" si="284">I202+J202</f>
        <v>985000</v>
      </c>
      <c r="L202" s="199"/>
      <c r="M202" s="199">
        <v>985000</v>
      </c>
      <c r="N202" s="199">
        <f t="shared" ref="N202:N219" si="285">L202+M202</f>
        <v>985000</v>
      </c>
      <c r="O202" s="199">
        <v>0</v>
      </c>
      <c r="P202" s="201">
        <v>0</v>
      </c>
      <c r="Q202" s="202">
        <v>14</v>
      </c>
      <c r="R202" s="203">
        <v>45566</v>
      </c>
      <c r="S202" s="199"/>
      <c r="T202" s="199">
        <v>985000</v>
      </c>
      <c r="U202" s="204">
        <f t="shared" ref="U202:U219" si="286">S202+T202</f>
        <v>985000</v>
      </c>
      <c r="V202" s="205"/>
      <c r="W202" s="200"/>
      <c r="X202" s="201"/>
      <c r="Y202" s="201"/>
      <c r="Z202" s="201">
        <f t="shared" ref="Z202:Z219" si="287">X202+Y202</f>
        <v>0</v>
      </c>
      <c r="AA202" s="198"/>
      <c r="AB202" s="206"/>
      <c r="AC202" s="207"/>
      <c r="AD202" s="201"/>
      <c r="AE202" s="204">
        <f t="shared" ref="AE202:AE219" si="288">AC202+AD202</f>
        <v>0</v>
      </c>
      <c r="AF202" s="203">
        <f t="shared" ref="AF202:AF219" si="289">+R202</f>
        <v>45566</v>
      </c>
      <c r="AG202" s="201">
        <f t="shared" ref="AG202:AG219" si="290">+AJ202</f>
        <v>0</v>
      </c>
      <c r="AH202" s="199">
        <f t="shared" ref="AH202:AH219" si="291">+AK202+AO202</f>
        <v>985000</v>
      </c>
      <c r="AI202" s="199">
        <f t="shared" ref="AI202:AI219" si="292">AG202+AH202</f>
        <v>985000</v>
      </c>
      <c r="AJ202" s="201">
        <f t="shared" ref="AJ202:AK217" si="293">+S202+X202+AC202</f>
        <v>0</v>
      </c>
      <c r="AK202" s="201">
        <f t="shared" si="293"/>
        <v>985000</v>
      </c>
      <c r="AL202" s="201">
        <f t="shared" ref="AL202:AL219" si="294">SUM(AJ202:AK202)</f>
        <v>985000</v>
      </c>
      <c r="AM202" s="198"/>
      <c r="AN202" s="203"/>
      <c r="AO202" s="208"/>
      <c r="AP202" s="201">
        <f t="shared" ref="AP202:AP219" si="295">+AT202</f>
        <v>0</v>
      </c>
      <c r="AQ202" s="201">
        <f t="shared" ref="AQ202:AQ219" si="296">+AU202+AY202</f>
        <v>923992.7</v>
      </c>
      <c r="AR202" s="201">
        <f t="shared" ref="AR202:AR219" si="297">SUM(AP202:AQ202)</f>
        <v>923992.7</v>
      </c>
      <c r="AS202" s="201">
        <f t="shared" ref="AS202:AS219" si="298">IF(AI202= 0,0,(AR202*100/AI202))</f>
        <v>93.806365482233502</v>
      </c>
      <c r="AT202" s="199"/>
      <c r="AU202" s="209">
        <v>923992.7</v>
      </c>
      <c r="AV202" s="199">
        <f t="shared" ref="AV202:AV219" si="299">SUM(AT202:AU202)</f>
        <v>923992.7</v>
      </c>
      <c r="AW202" s="201">
        <f t="shared" ref="AW202:AW265" si="300">+CF202*100/AL202</f>
        <v>0</v>
      </c>
      <c r="AX202" s="201">
        <f t="shared" ref="AX202:AX219" si="301">IF(AL202= 0,0,(AV202*100/AL202))</f>
        <v>93.806365482233502</v>
      </c>
      <c r="AY202" s="208"/>
      <c r="AZ202" s="201">
        <f t="shared" ref="AZ202:AZ219" si="302">+BC202</f>
        <v>0</v>
      </c>
      <c r="BA202" s="201">
        <f t="shared" ref="BA202:BA219" si="303">+BD202+BF202</f>
        <v>0</v>
      </c>
      <c r="BB202" s="201">
        <f t="shared" ref="BB202:BB209" si="304">SUM(AZ202:BA202)</f>
        <v>0</v>
      </c>
      <c r="BC202" s="201"/>
      <c r="BD202" s="209">
        <v>0</v>
      </c>
      <c r="BE202" s="201">
        <f t="shared" ref="BE202:BE209" si="305">SUM(BC202:BD202)</f>
        <v>0</v>
      </c>
      <c r="BF202" s="208"/>
      <c r="BG202" s="201">
        <f t="shared" ref="BG202:BH217" si="306">+AP202+AZ202</f>
        <v>0</v>
      </c>
      <c r="BH202" s="201">
        <f t="shared" si="306"/>
        <v>923992.7</v>
      </c>
      <c r="BI202" s="201">
        <f t="shared" ref="BI202:BI219" si="307">SUM(BG202:BH202)</f>
        <v>923992.7</v>
      </c>
      <c r="BJ202" s="201">
        <f t="shared" si="276"/>
        <v>93.806365482233502</v>
      </c>
      <c r="BK202" s="210">
        <v>89</v>
      </c>
      <c r="BL202" s="210">
        <v>30</v>
      </c>
      <c r="BM202" s="211"/>
      <c r="BN202" s="211"/>
      <c r="BO202" s="212">
        <f t="shared" ref="BO202:BO219" si="308">+BR202</f>
        <v>0</v>
      </c>
      <c r="BP202" s="201">
        <f t="shared" ref="BP202:BP219" si="309">+BS202+BU202</f>
        <v>61007.300000000047</v>
      </c>
      <c r="BQ202" s="201">
        <f t="shared" ref="BQ202:BQ204" si="310">SUM(BO202:BP202)</f>
        <v>61007.300000000047</v>
      </c>
      <c r="BR202" s="201">
        <f t="shared" ref="BR202:BS217" si="311">+AJ202-AT202</f>
        <v>0</v>
      </c>
      <c r="BS202" s="201">
        <f t="shared" si="311"/>
        <v>61007.300000000047</v>
      </c>
      <c r="BT202" s="201">
        <f t="shared" ref="BT202:BT206" si="312">SUM(BR202:BS202)</f>
        <v>61007.300000000047</v>
      </c>
      <c r="BU202" s="213">
        <f t="shared" ref="BU202:BU265" si="313">+AO202-AY202</f>
        <v>0</v>
      </c>
      <c r="BV202" s="201"/>
      <c r="BW202" s="201"/>
      <c r="BX202" s="201">
        <f t="shared" ref="BX202:BX206" si="314">SUM(BV202:BW202)</f>
        <v>0</v>
      </c>
      <c r="BY202" s="199">
        <v>68950</v>
      </c>
      <c r="BZ202" s="199">
        <v>295500</v>
      </c>
      <c r="CA202" s="199">
        <v>512200</v>
      </c>
      <c r="CB202" s="199">
        <v>108350</v>
      </c>
      <c r="CC202" s="199">
        <v>0</v>
      </c>
      <c r="CD202" s="199">
        <v>0</v>
      </c>
      <c r="CE202" s="199">
        <v>0</v>
      </c>
      <c r="CF202" s="199">
        <v>0</v>
      </c>
      <c r="CG202" s="199">
        <v>0</v>
      </c>
      <c r="CH202" s="199"/>
      <c r="CI202" s="199"/>
      <c r="CJ202" s="199"/>
      <c r="CK202" s="214" t="s">
        <v>621</v>
      </c>
      <c r="CL202" s="214" t="s">
        <v>610</v>
      </c>
      <c r="CM202" s="211">
        <v>198</v>
      </c>
      <c r="CN202" s="215"/>
      <c r="CO202" s="215"/>
      <c r="CP202" s="216"/>
      <c r="CQ202" s="217"/>
      <c r="CR202" s="211"/>
      <c r="CS202" s="218"/>
      <c r="CT202" s="218"/>
      <c r="CU202" s="218"/>
      <c r="CV202" s="211"/>
      <c r="CW202" s="211"/>
      <c r="CX202" s="211"/>
      <c r="CY202" s="211"/>
      <c r="CZ202" s="211"/>
      <c r="DA202" s="211"/>
      <c r="DB202" s="211"/>
      <c r="DC202" s="219"/>
      <c r="DD202" s="219"/>
      <c r="DE202" s="219"/>
      <c r="DF202" s="211"/>
      <c r="DG202" s="211"/>
      <c r="DH202" s="211"/>
      <c r="DI202" s="211"/>
      <c r="DJ202" s="211"/>
      <c r="DK202" s="220" t="s">
        <v>32</v>
      </c>
      <c r="DL202" s="248"/>
      <c r="DT202" s="222"/>
    </row>
    <row r="203" spans="1:124" s="176" customFormat="1" ht="42" x14ac:dyDescent="0.2">
      <c r="A203" s="195" t="s">
        <v>108</v>
      </c>
      <c r="B203" s="197" t="s">
        <v>622</v>
      </c>
      <c r="C203" s="198">
        <v>1</v>
      </c>
      <c r="D203" s="199">
        <v>178000</v>
      </c>
      <c r="E203" s="198" t="s">
        <v>623</v>
      </c>
      <c r="F203" s="198" t="s">
        <v>315</v>
      </c>
      <c r="G203" s="198" t="s">
        <v>98</v>
      </c>
      <c r="H203" s="200">
        <v>1</v>
      </c>
      <c r="I203" s="199">
        <f t="shared" si="282"/>
        <v>0</v>
      </c>
      <c r="J203" s="199">
        <f t="shared" si="283"/>
        <v>178000</v>
      </c>
      <c r="K203" s="199">
        <f t="shared" si="284"/>
        <v>178000</v>
      </c>
      <c r="L203" s="199"/>
      <c r="M203" s="199">
        <v>178000</v>
      </c>
      <c r="N203" s="199">
        <f t="shared" si="285"/>
        <v>178000</v>
      </c>
      <c r="O203" s="199"/>
      <c r="P203" s="201">
        <v>0</v>
      </c>
      <c r="Q203" s="202">
        <v>14</v>
      </c>
      <c r="R203" s="203">
        <v>45566</v>
      </c>
      <c r="S203" s="199"/>
      <c r="T203" s="199">
        <v>178000</v>
      </c>
      <c r="U203" s="204">
        <f t="shared" si="286"/>
        <v>178000</v>
      </c>
      <c r="V203" s="205"/>
      <c r="W203" s="200"/>
      <c r="X203" s="201"/>
      <c r="Y203" s="201"/>
      <c r="Z203" s="201">
        <f t="shared" si="287"/>
        <v>0</v>
      </c>
      <c r="AA203" s="198"/>
      <c r="AB203" s="206"/>
      <c r="AC203" s="207"/>
      <c r="AD203" s="201"/>
      <c r="AE203" s="204">
        <f t="shared" si="288"/>
        <v>0</v>
      </c>
      <c r="AF203" s="203">
        <f t="shared" si="289"/>
        <v>45566</v>
      </c>
      <c r="AG203" s="201">
        <f t="shared" si="290"/>
        <v>0</v>
      </c>
      <c r="AH203" s="199">
        <f t="shared" si="291"/>
        <v>178000</v>
      </c>
      <c r="AI203" s="199">
        <f t="shared" si="292"/>
        <v>178000</v>
      </c>
      <c r="AJ203" s="201">
        <f t="shared" si="293"/>
        <v>0</v>
      </c>
      <c r="AK203" s="201">
        <f t="shared" si="293"/>
        <v>178000</v>
      </c>
      <c r="AL203" s="201">
        <f t="shared" si="294"/>
        <v>178000</v>
      </c>
      <c r="AM203" s="198"/>
      <c r="AN203" s="203"/>
      <c r="AO203" s="208"/>
      <c r="AP203" s="201">
        <f t="shared" si="295"/>
        <v>0</v>
      </c>
      <c r="AQ203" s="201">
        <f t="shared" si="296"/>
        <v>177650</v>
      </c>
      <c r="AR203" s="201">
        <f t="shared" si="297"/>
        <v>177650</v>
      </c>
      <c r="AS203" s="201">
        <f t="shared" si="298"/>
        <v>99.803370786516851</v>
      </c>
      <c r="AT203" s="199"/>
      <c r="AU203" s="209">
        <v>177650</v>
      </c>
      <c r="AV203" s="199">
        <f t="shared" si="299"/>
        <v>177650</v>
      </c>
      <c r="AW203" s="322">
        <f t="shared" si="300"/>
        <v>0</v>
      </c>
      <c r="AX203" s="201">
        <f t="shared" si="301"/>
        <v>99.803370786516851</v>
      </c>
      <c r="AY203" s="208"/>
      <c r="AZ203" s="201">
        <f t="shared" si="302"/>
        <v>0</v>
      </c>
      <c r="BA203" s="201">
        <f t="shared" si="303"/>
        <v>0</v>
      </c>
      <c r="BB203" s="201">
        <f t="shared" si="304"/>
        <v>0</v>
      </c>
      <c r="BC203" s="201"/>
      <c r="BD203" s="209">
        <v>0</v>
      </c>
      <c r="BE203" s="201">
        <f t="shared" si="305"/>
        <v>0</v>
      </c>
      <c r="BF203" s="208"/>
      <c r="BG203" s="201">
        <f t="shared" si="306"/>
        <v>0</v>
      </c>
      <c r="BH203" s="201">
        <f t="shared" si="306"/>
        <v>177650</v>
      </c>
      <c r="BI203" s="201">
        <f t="shared" si="307"/>
        <v>177650</v>
      </c>
      <c r="BJ203" s="201">
        <f t="shared" si="276"/>
        <v>99.803370786516851</v>
      </c>
      <c r="BK203" s="210">
        <v>89</v>
      </c>
      <c r="BL203" s="210">
        <v>100</v>
      </c>
      <c r="BM203" s="211"/>
      <c r="BN203" s="211"/>
      <c r="BO203" s="212">
        <f t="shared" si="308"/>
        <v>0</v>
      </c>
      <c r="BP203" s="201">
        <f t="shared" si="309"/>
        <v>350</v>
      </c>
      <c r="BQ203" s="201">
        <f t="shared" si="310"/>
        <v>350</v>
      </c>
      <c r="BR203" s="201">
        <f t="shared" si="311"/>
        <v>0</v>
      </c>
      <c r="BS203" s="201">
        <f t="shared" si="311"/>
        <v>350</v>
      </c>
      <c r="BT203" s="201">
        <f t="shared" si="312"/>
        <v>350</v>
      </c>
      <c r="BU203" s="213">
        <f t="shared" si="313"/>
        <v>0</v>
      </c>
      <c r="BV203" s="201"/>
      <c r="BW203" s="201"/>
      <c r="BX203" s="201">
        <f t="shared" si="314"/>
        <v>0</v>
      </c>
      <c r="BY203" s="199">
        <v>12460</v>
      </c>
      <c r="BZ203" s="199">
        <v>53400</v>
      </c>
      <c r="CA203" s="199">
        <v>92560</v>
      </c>
      <c r="CB203" s="199">
        <v>19580</v>
      </c>
      <c r="CC203" s="199">
        <v>0</v>
      </c>
      <c r="CD203" s="199">
        <v>0</v>
      </c>
      <c r="CE203" s="199">
        <v>0</v>
      </c>
      <c r="CF203" s="199">
        <v>0</v>
      </c>
      <c r="CG203" s="199">
        <v>0</v>
      </c>
      <c r="CH203" s="199"/>
      <c r="CI203" s="199"/>
      <c r="CJ203" s="199"/>
      <c r="CK203" s="214" t="s">
        <v>624</v>
      </c>
      <c r="CL203" s="214" t="s">
        <v>610</v>
      </c>
      <c r="CM203" s="211">
        <v>198</v>
      </c>
      <c r="CN203" s="215"/>
      <c r="CO203" s="215"/>
      <c r="CP203" s="216"/>
      <c r="CQ203" s="217"/>
      <c r="CR203" s="211"/>
      <c r="CS203" s="218"/>
      <c r="CT203" s="218"/>
      <c r="CU203" s="218"/>
      <c r="CV203" s="211"/>
      <c r="CW203" s="211"/>
      <c r="CX203" s="211"/>
      <c r="CY203" s="211"/>
      <c r="CZ203" s="211"/>
      <c r="DA203" s="211"/>
      <c r="DB203" s="211"/>
      <c r="DC203" s="219"/>
      <c r="DD203" s="219"/>
      <c r="DE203" s="219"/>
      <c r="DF203" s="211"/>
      <c r="DG203" s="211"/>
      <c r="DH203" s="211"/>
      <c r="DI203" s="211"/>
      <c r="DJ203" s="211"/>
      <c r="DK203" s="220" t="s">
        <v>32</v>
      </c>
      <c r="DT203" s="222"/>
    </row>
    <row r="204" spans="1:124" s="176" customFormat="1" ht="42" x14ac:dyDescent="0.2">
      <c r="A204" s="195" t="s">
        <v>108</v>
      </c>
      <c r="B204" s="197" t="s">
        <v>625</v>
      </c>
      <c r="C204" s="198">
        <v>1</v>
      </c>
      <c r="D204" s="199">
        <v>210000</v>
      </c>
      <c r="E204" s="198" t="s">
        <v>278</v>
      </c>
      <c r="F204" s="198" t="s">
        <v>279</v>
      </c>
      <c r="G204" s="198" t="s">
        <v>98</v>
      </c>
      <c r="H204" s="200">
        <v>1</v>
      </c>
      <c r="I204" s="199">
        <f t="shared" si="282"/>
        <v>0</v>
      </c>
      <c r="J204" s="199">
        <f t="shared" si="283"/>
        <v>210000</v>
      </c>
      <c r="K204" s="199">
        <f t="shared" si="284"/>
        <v>210000</v>
      </c>
      <c r="L204" s="199"/>
      <c r="M204" s="199">
        <v>210000</v>
      </c>
      <c r="N204" s="199">
        <f t="shared" si="285"/>
        <v>210000</v>
      </c>
      <c r="O204" s="199"/>
      <c r="P204" s="201">
        <v>0</v>
      </c>
      <c r="Q204" s="202">
        <v>14</v>
      </c>
      <c r="R204" s="203">
        <v>45566</v>
      </c>
      <c r="S204" s="199"/>
      <c r="T204" s="199">
        <v>210000</v>
      </c>
      <c r="U204" s="204">
        <f t="shared" si="286"/>
        <v>210000</v>
      </c>
      <c r="V204" s="198"/>
      <c r="W204" s="206"/>
      <c r="X204" s="201"/>
      <c r="Y204" s="201"/>
      <c r="Z204" s="201">
        <f t="shared" si="287"/>
        <v>0</v>
      </c>
      <c r="AA204" s="198"/>
      <c r="AB204" s="206"/>
      <c r="AC204" s="207"/>
      <c r="AD204" s="201"/>
      <c r="AE204" s="204">
        <f t="shared" si="288"/>
        <v>0</v>
      </c>
      <c r="AF204" s="203">
        <f t="shared" si="289"/>
        <v>45566</v>
      </c>
      <c r="AG204" s="201">
        <f t="shared" si="290"/>
        <v>0</v>
      </c>
      <c r="AH204" s="199">
        <f t="shared" si="291"/>
        <v>210000</v>
      </c>
      <c r="AI204" s="199">
        <f t="shared" si="292"/>
        <v>210000</v>
      </c>
      <c r="AJ204" s="201">
        <f t="shared" si="293"/>
        <v>0</v>
      </c>
      <c r="AK204" s="201">
        <f t="shared" si="293"/>
        <v>210000</v>
      </c>
      <c r="AL204" s="201">
        <f t="shared" si="294"/>
        <v>210000</v>
      </c>
      <c r="AM204" s="198"/>
      <c r="AN204" s="203"/>
      <c r="AO204" s="208"/>
      <c r="AP204" s="201">
        <f t="shared" si="295"/>
        <v>0</v>
      </c>
      <c r="AQ204" s="201">
        <f t="shared" si="296"/>
        <v>209950</v>
      </c>
      <c r="AR204" s="201">
        <f t="shared" si="297"/>
        <v>209950</v>
      </c>
      <c r="AS204" s="201">
        <f t="shared" si="298"/>
        <v>99.976190476190482</v>
      </c>
      <c r="AT204" s="199"/>
      <c r="AU204" s="223">
        <v>209950</v>
      </c>
      <c r="AV204" s="199">
        <f t="shared" si="299"/>
        <v>209950</v>
      </c>
      <c r="AW204" s="322">
        <f t="shared" si="300"/>
        <v>0</v>
      </c>
      <c r="AX204" s="201">
        <f t="shared" si="301"/>
        <v>99.976190476190482</v>
      </c>
      <c r="AY204" s="208"/>
      <c r="AZ204" s="201">
        <f t="shared" si="302"/>
        <v>0</v>
      </c>
      <c r="BA204" s="201">
        <f t="shared" si="303"/>
        <v>0</v>
      </c>
      <c r="BB204" s="201">
        <f t="shared" si="304"/>
        <v>0</v>
      </c>
      <c r="BC204" s="201"/>
      <c r="BD204" s="223">
        <v>0</v>
      </c>
      <c r="BE204" s="201">
        <f t="shared" si="305"/>
        <v>0</v>
      </c>
      <c r="BF204" s="208"/>
      <c r="BG204" s="201">
        <f t="shared" si="306"/>
        <v>0</v>
      </c>
      <c r="BH204" s="201">
        <f t="shared" si="306"/>
        <v>209950</v>
      </c>
      <c r="BI204" s="201">
        <f t="shared" si="307"/>
        <v>209950</v>
      </c>
      <c r="BJ204" s="201">
        <f t="shared" si="276"/>
        <v>99.976190476190482</v>
      </c>
      <c r="BK204" s="210">
        <v>89</v>
      </c>
      <c r="BL204" s="224">
        <v>100</v>
      </c>
      <c r="BM204" s="211"/>
      <c r="BN204" s="211"/>
      <c r="BO204" s="212">
        <f t="shared" si="308"/>
        <v>0</v>
      </c>
      <c r="BP204" s="201">
        <f t="shared" si="309"/>
        <v>50</v>
      </c>
      <c r="BQ204" s="201">
        <f t="shared" si="310"/>
        <v>50</v>
      </c>
      <c r="BR204" s="201">
        <f t="shared" si="311"/>
        <v>0</v>
      </c>
      <c r="BS204" s="201">
        <f t="shared" si="311"/>
        <v>50</v>
      </c>
      <c r="BT204" s="201">
        <f t="shared" si="312"/>
        <v>50</v>
      </c>
      <c r="BU204" s="213">
        <f t="shared" si="313"/>
        <v>0</v>
      </c>
      <c r="BV204" s="201"/>
      <c r="BW204" s="201"/>
      <c r="BX204" s="201">
        <f t="shared" si="314"/>
        <v>0</v>
      </c>
      <c r="BY204" s="199">
        <v>14700</v>
      </c>
      <c r="BZ204" s="199">
        <v>63000</v>
      </c>
      <c r="CA204" s="199">
        <v>109200</v>
      </c>
      <c r="CB204" s="199">
        <v>23100</v>
      </c>
      <c r="CC204" s="199">
        <v>0</v>
      </c>
      <c r="CD204" s="199">
        <v>0</v>
      </c>
      <c r="CE204" s="199">
        <v>0</v>
      </c>
      <c r="CF204" s="199">
        <v>0</v>
      </c>
      <c r="CG204" s="199">
        <v>0</v>
      </c>
      <c r="CH204" s="199"/>
      <c r="CI204" s="199"/>
      <c r="CJ204" s="199"/>
      <c r="CK204" s="214" t="s">
        <v>626</v>
      </c>
      <c r="CL204" s="214" t="s">
        <v>610</v>
      </c>
      <c r="CM204" s="211">
        <v>198</v>
      </c>
      <c r="CN204" s="215"/>
      <c r="CO204" s="215"/>
      <c r="CP204" s="216"/>
      <c r="CQ204" s="217"/>
      <c r="CR204" s="211"/>
      <c r="CS204" s="218"/>
      <c r="CT204" s="218"/>
      <c r="CU204" s="218"/>
      <c r="CV204" s="211"/>
      <c r="CW204" s="211"/>
      <c r="CX204" s="211"/>
      <c r="CY204" s="211"/>
      <c r="CZ204" s="211"/>
      <c r="DA204" s="211"/>
      <c r="DB204" s="211"/>
      <c r="DC204" s="219"/>
      <c r="DD204" s="219"/>
      <c r="DE204" s="219"/>
      <c r="DF204" s="211"/>
      <c r="DG204" s="211"/>
      <c r="DH204" s="211"/>
      <c r="DI204" s="211"/>
      <c r="DJ204" s="211"/>
      <c r="DK204" s="220" t="s">
        <v>32</v>
      </c>
      <c r="DT204" s="222"/>
    </row>
    <row r="205" spans="1:124" s="291" customFormat="1" ht="42" x14ac:dyDescent="0.2">
      <c r="A205" s="323" t="s">
        <v>94</v>
      </c>
      <c r="B205" s="281" t="s">
        <v>627</v>
      </c>
      <c r="C205" s="198">
        <v>1</v>
      </c>
      <c r="D205" s="252">
        <v>455000</v>
      </c>
      <c r="E205" s="198" t="s">
        <v>159</v>
      </c>
      <c r="F205" s="198" t="s">
        <v>111</v>
      </c>
      <c r="G205" s="198" t="s">
        <v>98</v>
      </c>
      <c r="H205" s="200">
        <v>1</v>
      </c>
      <c r="I205" s="199">
        <f t="shared" si="282"/>
        <v>0</v>
      </c>
      <c r="J205" s="199">
        <f t="shared" si="283"/>
        <v>455000</v>
      </c>
      <c r="K205" s="199">
        <f t="shared" si="284"/>
        <v>455000</v>
      </c>
      <c r="L205" s="199"/>
      <c r="M205" s="199">
        <v>455000</v>
      </c>
      <c r="N205" s="199">
        <f t="shared" si="285"/>
        <v>455000</v>
      </c>
      <c r="O205" s="199"/>
      <c r="P205" s="201">
        <v>0</v>
      </c>
      <c r="Q205" s="202">
        <v>14</v>
      </c>
      <c r="R205" s="203">
        <v>45566</v>
      </c>
      <c r="S205" s="199"/>
      <c r="T205" s="199">
        <v>455000</v>
      </c>
      <c r="U205" s="204">
        <f t="shared" si="286"/>
        <v>455000</v>
      </c>
      <c r="V205" s="205"/>
      <c r="W205" s="200"/>
      <c r="X205" s="201"/>
      <c r="Y205" s="201">
        <v>-2112</v>
      </c>
      <c r="Z205" s="201">
        <f t="shared" si="287"/>
        <v>-2112</v>
      </c>
      <c r="AA205" s="198"/>
      <c r="AB205" s="206"/>
      <c r="AC205" s="207"/>
      <c r="AD205" s="201"/>
      <c r="AE205" s="204">
        <f t="shared" si="288"/>
        <v>0</v>
      </c>
      <c r="AF205" s="263">
        <f t="shared" si="289"/>
        <v>45566</v>
      </c>
      <c r="AG205" s="201">
        <f t="shared" si="290"/>
        <v>0</v>
      </c>
      <c r="AH205" s="199">
        <f t="shared" si="291"/>
        <v>452888</v>
      </c>
      <c r="AI205" s="199">
        <f t="shared" si="292"/>
        <v>452888</v>
      </c>
      <c r="AJ205" s="209">
        <f t="shared" si="293"/>
        <v>0</v>
      </c>
      <c r="AK205" s="209">
        <f t="shared" si="293"/>
        <v>452888</v>
      </c>
      <c r="AL205" s="209">
        <f t="shared" si="294"/>
        <v>452888</v>
      </c>
      <c r="AM205" s="198"/>
      <c r="AN205" s="203"/>
      <c r="AO205" s="208"/>
      <c r="AP205" s="201">
        <f t="shared" si="295"/>
        <v>0</v>
      </c>
      <c r="AQ205" s="201">
        <f t="shared" si="296"/>
        <v>452888</v>
      </c>
      <c r="AR205" s="201">
        <f t="shared" si="297"/>
        <v>452888</v>
      </c>
      <c r="AS205" s="201">
        <f t="shared" si="298"/>
        <v>100</v>
      </c>
      <c r="AT205" s="252"/>
      <c r="AU205" s="252">
        <v>452888</v>
      </c>
      <c r="AV205" s="252">
        <f t="shared" si="299"/>
        <v>452888</v>
      </c>
      <c r="AW205" s="322">
        <f t="shared" si="300"/>
        <v>0</v>
      </c>
      <c r="AX205" s="201">
        <f t="shared" si="301"/>
        <v>100</v>
      </c>
      <c r="AY205" s="208"/>
      <c r="AZ205" s="201">
        <f t="shared" si="302"/>
        <v>0</v>
      </c>
      <c r="BA205" s="201">
        <f t="shared" si="303"/>
        <v>0</v>
      </c>
      <c r="BB205" s="201">
        <f t="shared" ref="BB205" si="315">SUM(AZ205:BA205)</f>
        <v>0</v>
      </c>
      <c r="BC205" s="209"/>
      <c r="BD205" s="209"/>
      <c r="BE205" s="209">
        <f t="shared" si="305"/>
        <v>0</v>
      </c>
      <c r="BF205" s="208"/>
      <c r="BG205" s="209">
        <f t="shared" si="306"/>
        <v>0</v>
      </c>
      <c r="BH205" s="209">
        <f t="shared" si="306"/>
        <v>452888</v>
      </c>
      <c r="BI205" s="209">
        <f t="shared" si="307"/>
        <v>452888</v>
      </c>
      <c r="BJ205" s="209">
        <f t="shared" si="276"/>
        <v>100</v>
      </c>
      <c r="BK205" s="324">
        <v>25</v>
      </c>
      <c r="BL205" s="324">
        <v>100</v>
      </c>
      <c r="BM205" s="284"/>
      <c r="BN205" s="284"/>
      <c r="BO205" s="325">
        <f t="shared" si="308"/>
        <v>0</v>
      </c>
      <c r="BP205" s="209">
        <f t="shared" si="309"/>
        <v>0</v>
      </c>
      <c r="BQ205" s="209">
        <f t="shared" ref="BQ205" si="316">SUM(BO205:BP205)</f>
        <v>0</v>
      </c>
      <c r="BR205" s="209">
        <f t="shared" si="311"/>
        <v>0</v>
      </c>
      <c r="BS205" s="209">
        <f t="shared" si="311"/>
        <v>0</v>
      </c>
      <c r="BT205" s="209">
        <f t="shared" si="312"/>
        <v>0</v>
      </c>
      <c r="BU205" s="326">
        <f t="shared" si="313"/>
        <v>0</v>
      </c>
      <c r="BV205" s="209">
        <v>2112</v>
      </c>
      <c r="BW205" s="209"/>
      <c r="BX205" s="209">
        <f t="shared" si="314"/>
        <v>2112</v>
      </c>
      <c r="BY205" s="252">
        <v>0</v>
      </c>
      <c r="BZ205" s="252">
        <v>100000</v>
      </c>
      <c r="CA205" s="252">
        <v>100000</v>
      </c>
      <c r="CB205" s="252">
        <v>100000</v>
      </c>
      <c r="CC205" s="252">
        <v>100000</v>
      </c>
      <c r="CD205" s="252">
        <v>55000</v>
      </c>
      <c r="CE205" s="252"/>
      <c r="CF205" s="252"/>
      <c r="CG205" s="252"/>
      <c r="CH205" s="252"/>
      <c r="CI205" s="252"/>
      <c r="CJ205" s="252"/>
      <c r="CK205" s="283" t="s">
        <v>628</v>
      </c>
      <c r="CL205" s="283" t="s">
        <v>610</v>
      </c>
      <c r="CM205" s="284">
        <v>198</v>
      </c>
      <c r="CN205" s="285"/>
      <c r="CO205" s="285">
        <v>110</v>
      </c>
      <c r="CP205" s="286"/>
      <c r="CQ205" s="287"/>
      <c r="CR205" s="284"/>
      <c r="CS205" s="288"/>
      <c r="CT205" s="288"/>
      <c r="CU205" s="288"/>
      <c r="CV205" s="284"/>
      <c r="CW205" s="284"/>
      <c r="CX205" s="284"/>
      <c r="CY205" s="284"/>
      <c r="CZ205" s="284"/>
      <c r="DA205" s="284"/>
      <c r="DB205" s="284"/>
      <c r="DC205" s="289"/>
      <c r="DD205" s="289"/>
      <c r="DE205" s="289"/>
      <c r="DF205" s="284"/>
      <c r="DG205" s="284"/>
      <c r="DH205" s="284"/>
      <c r="DI205" s="284"/>
      <c r="DJ205" s="284"/>
      <c r="DK205" s="290" t="s">
        <v>32</v>
      </c>
      <c r="DT205" s="292"/>
    </row>
    <row r="206" spans="1:124" s="176" customFormat="1" ht="42" x14ac:dyDescent="0.2">
      <c r="A206" s="195" t="s">
        <v>108</v>
      </c>
      <c r="B206" s="197" t="s">
        <v>629</v>
      </c>
      <c r="C206" s="198">
        <v>1</v>
      </c>
      <c r="D206" s="199">
        <v>200000</v>
      </c>
      <c r="E206" s="198" t="s">
        <v>225</v>
      </c>
      <c r="F206" s="198" t="s">
        <v>111</v>
      </c>
      <c r="G206" s="198" t="s">
        <v>98</v>
      </c>
      <c r="H206" s="200">
        <v>1</v>
      </c>
      <c r="I206" s="199">
        <f t="shared" si="282"/>
        <v>0</v>
      </c>
      <c r="J206" s="199">
        <f t="shared" si="283"/>
        <v>200000</v>
      </c>
      <c r="K206" s="199">
        <f t="shared" si="284"/>
        <v>200000</v>
      </c>
      <c r="L206" s="199"/>
      <c r="M206" s="199">
        <v>200000</v>
      </c>
      <c r="N206" s="199">
        <f t="shared" si="285"/>
        <v>200000</v>
      </c>
      <c r="O206" s="199"/>
      <c r="P206" s="201">
        <v>0</v>
      </c>
      <c r="Q206" s="202">
        <v>14</v>
      </c>
      <c r="R206" s="203">
        <v>45566</v>
      </c>
      <c r="S206" s="199"/>
      <c r="T206" s="199">
        <v>200000</v>
      </c>
      <c r="U206" s="204">
        <f t="shared" si="286"/>
        <v>200000</v>
      </c>
      <c r="V206" s="205"/>
      <c r="W206" s="200"/>
      <c r="X206" s="201"/>
      <c r="Y206" s="201"/>
      <c r="Z206" s="201">
        <f t="shared" si="287"/>
        <v>0</v>
      </c>
      <c r="AA206" s="198"/>
      <c r="AB206" s="206"/>
      <c r="AC206" s="207"/>
      <c r="AD206" s="201"/>
      <c r="AE206" s="204">
        <f t="shared" si="288"/>
        <v>0</v>
      </c>
      <c r="AF206" s="203">
        <f t="shared" si="289"/>
        <v>45566</v>
      </c>
      <c r="AG206" s="201">
        <f t="shared" si="290"/>
        <v>0</v>
      </c>
      <c r="AH206" s="199">
        <f t="shared" si="291"/>
        <v>200000</v>
      </c>
      <c r="AI206" s="199">
        <f t="shared" si="292"/>
        <v>200000</v>
      </c>
      <c r="AJ206" s="201">
        <f t="shared" si="293"/>
        <v>0</v>
      </c>
      <c r="AK206" s="201">
        <f t="shared" si="293"/>
        <v>200000</v>
      </c>
      <c r="AL206" s="201">
        <f t="shared" si="294"/>
        <v>200000</v>
      </c>
      <c r="AM206" s="198"/>
      <c r="AN206" s="203"/>
      <c r="AO206" s="208"/>
      <c r="AP206" s="201">
        <f t="shared" si="295"/>
        <v>0</v>
      </c>
      <c r="AQ206" s="201">
        <f t="shared" si="296"/>
        <v>199793.81</v>
      </c>
      <c r="AR206" s="201">
        <f t="shared" si="297"/>
        <v>199793.81</v>
      </c>
      <c r="AS206" s="201">
        <f t="shared" si="298"/>
        <v>99.896905000000004</v>
      </c>
      <c r="AT206" s="199"/>
      <c r="AU206" s="209">
        <v>199793.81</v>
      </c>
      <c r="AV206" s="199">
        <f t="shared" si="299"/>
        <v>199793.81</v>
      </c>
      <c r="AW206" s="322">
        <f t="shared" si="300"/>
        <v>0</v>
      </c>
      <c r="AX206" s="201">
        <f t="shared" si="301"/>
        <v>99.896905000000004</v>
      </c>
      <c r="AY206" s="208"/>
      <c r="AZ206" s="201">
        <f t="shared" si="302"/>
        <v>0</v>
      </c>
      <c r="BA206" s="201">
        <f t="shared" si="303"/>
        <v>0</v>
      </c>
      <c r="BB206" s="201">
        <f t="shared" si="304"/>
        <v>0</v>
      </c>
      <c r="BC206" s="201"/>
      <c r="BD206" s="209">
        <v>0</v>
      </c>
      <c r="BE206" s="201">
        <f t="shared" si="305"/>
        <v>0</v>
      </c>
      <c r="BF206" s="208"/>
      <c r="BG206" s="201">
        <f t="shared" si="306"/>
        <v>0</v>
      </c>
      <c r="BH206" s="201">
        <f t="shared" si="306"/>
        <v>199793.81</v>
      </c>
      <c r="BI206" s="201">
        <f t="shared" si="307"/>
        <v>199793.81</v>
      </c>
      <c r="BJ206" s="201">
        <f t="shared" si="276"/>
        <v>99.896905000000004</v>
      </c>
      <c r="BK206" s="210">
        <v>89</v>
      </c>
      <c r="BL206" s="210">
        <v>10</v>
      </c>
      <c r="BM206" s="211"/>
      <c r="BN206" s="211"/>
      <c r="BO206" s="212">
        <f t="shared" si="308"/>
        <v>0</v>
      </c>
      <c r="BP206" s="201">
        <f t="shared" si="309"/>
        <v>206.19000000000233</v>
      </c>
      <c r="BQ206" s="201">
        <f t="shared" ref="BQ206" si="317">SUM(BO206:BP206)</f>
        <v>206.19000000000233</v>
      </c>
      <c r="BR206" s="201">
        <f t="shared" si="311"/>
        <v>0</v>
      </c>
      <c r="BS206" s="201">
        <f t="shared" si="311"/>
        <v>206.19000000000233</v>
      </c>
      <c r="BT206" s="201">
        <f t="shared" si="312"/>
        <v>206.19000000000233</v>
      </c>
      <c r="BU206" s="213">
        <f t="shared" si="313"/>
        <v>0</v>
      </c>
      <c r="BV206" s="201"/>
      <c r="BW206" s="201"/>
      <c r="BX206" s="201">
        <f t="shared" si="314"/>
        <v>0</v>
      </c>
      <c r="BY206" s="199">
        <v>14000</v>
      </c>
      <c r="BZ206" s="199">
        <v>60000</v>
      </c>
      <c r="CA206" s="199">
        <v>104000</v>
      </c>
      <c r="CB206" s="199">
        <v>22000</v>
      </c>
      <c r="CC206" s="199">
        <v>0</v>
      </c>
      <c r="CD206" s="199">
        <v>0</v>
      </c>
      <c r="CE206" s="199">
        <v>0</v>
      </c>
      <c r="CF206" s="199">
        <v>0</v>
      </c>
      <c r="CG206" s="199">
        <v>0</v>
      </c>
      <c r="CH206" s="199"/>
      <c r="CI206" s="199"/>
      <c r="CJ206" s="199"/>
      <c r="CK206" s="214" t="s">
        <v>630</v>
      </c>
      <c r="CL206" s="214" t="s">
        <v>610</v>
      </c>
      <c r="CM206" s="211">
        <v>198</v>
      </c>
      <c r="CN206" s="215"/>
      <c r="CO206" s="215">
        <v>110</v>
      </c>
      <c r="CP206" s="216"/>
      <c r="CQ206" s="217"/>
      <c r="CR206" s="211"/>
      <c r="CS206" s="218"/>
      <c r="CT206" s="218"/>
      <c r="CU206" s="218"/>
      <c r="CV206" s="211"/>
      <c r="CW206" s="211"/>
      <c r="CX206" s="211"/>
      <c r="CY206" s="211"/>
      <c r="CZ206" s="211"/>
      <c r="DA206" s="211"/>
      <c r="DB206" s="211"/>
      <c r="DC206" s="219"/>
      <c r="DD206" s="219"/>
      <c r="DE206" s="219"/>
      <c r="DF206" s="211"/>
      <c r="DG206" s="211"/>
      <c r="DH206" s="211"/>
      <c r="DI206" s="211"/>
      <c r="DJ206" s="211"/>
      <c r="DK206" s="220" t="s">
        <v>32</v>
      </c>
      <c r="DT206" s="222"/>
    </row>
    <row r="207" spans="1:124" s="176" customFormat="1" ht="63" x14ac:dyDescent="0.2">
      <c r="A207" s="195" t="s">
        <v>108</v>
      </c>
      <c r="B207" s="197" t="s">
        <v>631</v>
      </c>
      <c r="C207" s="198">
        <v>1</v>
      </c>
      <c r="D207" s="199">
        <v>1800000</v>
      </c>
      <c r="E207" s="198" t="s">
        <v>241</v>
      </c>
      <c r="F207" s="198" t="s">
        <v>241</v>
      </c>
      <c r="G207" s="198" t="s">
        <v>98</v>
      </c>
      <c r="H207" s="200">
        <v>1</v>
      </c>
      <c r="I207" s="199">
        <f t="shared" si="282"/>
        <v>0</v>
      </c>
      <c r="J207" s="199">
        <f t="shared" si="283"/>
        <v>1800000</v>
      </c>
      <c r="K207" s="199">
        <f t="shared" si="284"/>
        <v>1800000</v>
      </c>
      <c r="L207" s="199">
        <v>0</v>
      </c>
      <c r="M207" s="199">
        <v>1800000</v>
      </c>
      <c r="N207" s="199">
        <f t="shared" si="285"/>
        <v>1800000</v>
      </c>
      <c r="O207" s="199"/>
      <c r="P207" s="201">
        <v>0</v>
      </c>
      <c r="Q207" s="202">
        <v>14</v>
      </c>
      <c r="R207" s="203">
        <v>45566</v>
      </c>
      <c r="S207" s="199"/>
      <c r="T207" s="199">
        <v>1800000</v>
      </c>
      <c r="U207" s="204">
        <f t="shared" si="286"/>
        <v>1800000</v>
      </c>
      <c r="V207" s="198"/>
      <c r="W207" s="206"/>
      <c r="X207" s="201"/>
      <c r="Y207" s="201"/>
      <c r="Z207" s="201">
        <f t="shared" si="287"/>
        <v>0</v>
      </c>
      <c r="AA207" s="198"/>
      <c r="AB207" s="206"/>
      <c r="AC207" s="207"/>
      <c r="AD207" s="201"/>
      <c r="AE207" s="204">
        <f t="shared" si="288"/>
        <v>0</v>
      </c>
      <c r="AF207" s="203">
        <f t="shared" si="289"/>
        <v>45566</v>
      </c>
      <c r="AG207" s="201">
        <f t="shared" si="290"/>
        <v>0</v>
      </c>
      <c r="AH207" s="199">
        <f t="shared" si="291"/>
        <v>1800000</v>
      </c>
      <c r="AI207" s="199">
        <f t="shared" si="292"/>
        <v>1800000</v>
      </c>
      <c r="AJ207" s="201">
        <f t="shared" si="293"/>
        <v>0</v>
      </c>
      <c r="AK207" s="201">
        <f t="shared" si="293"/>
        <v>1800000</v>
      </c>
      <c r="AL207" s="201">
        <f t="shared" si="294"/>
        <v>1800000</v>
      </c>
      <c r="AM207" s="198"/>
      <c r="AN207" s="203"/>
      <c r="AO207" s="208"/>
      <c r="AP207" s="201">
        <f t="shared" si="295"/>
        <v>0</v>
      </c>
      <c r="AQ207" s="201">
        <f t="shared" si="296"/>
        <v>1798235.4</v>
      </c>
      <c r="AR207" s="201">
        <f t="shared" si="297"/>
        <v>1798235.4</v>
      </c>
      <c r="AS207" s="201">
        <f t="shared" si="298"/>
        <v>99.901966666666667</v>
      </c>
      <c r="AT207" s="201"/>
      <c r="AU207" s="223">
        <v>1798235.4</v>
      </c>
      <c r="AV207" s="201">
        <f t="shared" si="299"/>
        <v>1798235.4</v>
      </c>
      <c r="AW207" s="201">
        <f t="shared" si="300"/>
        <v>0</v>
      </c>
      <c r="AX207" s="201">
        <f t="shared" si="301"/>
        <v>99.901966666666667</v>
      </c>
      <c r="AY207" s="208"/>
      <c r="AZ207" s="201">
        <f t="shared" si="302"/>
        <v>0</v>
      </c>
      <c r="BA207" s="201">
        <f t="shared" si="303"/>
        <v>0</v>
      </c>
      <c r="BB207" s="201">
        <f t="shared" si="304"/>
        <v>0</v>
      </c>
      <c r="BC207" s="201"/>
      <c r="BD207" s="327">
        <v>0</v>
      </c>
      <c r="BE207" s="201">
        <f t="shared" si="305"/>
        <v>0</v>
      </c>
      <c r="BF207" s="208"/>
      <c r="BG207" s="201">
        <f t="shared" si="306"/>
        <v>0</v>
      </c>
      <c r="BH207" s="201">
        <f t="shared" si="306"/>
        <v>1798235.4</v>
      </c>
      <c r="BI207" s="201">
        <f t="shared" si="307"/>
        <v>1798235.4</v>
      </c>
      <c r="BJ207" s="201">
        <f t="shared" si="276"/>
        <v>99.901966666666667</v>
      </c>
      <c r="BK207" s="210">
        <v>89</v>
      </c>
      <c r="BL207" s="210">
        <v>100</v>
      </c>
      <c r="BM207" s="211"/>
      <c r="BN207" s="211"/>
      <c r="BO207" s="212">
        <f t="shared" si="308"/>
        <v>0</v>
      </c>
      <c r="BP207" s="201">
        <f t="shared" si="309"/>
        <v>1764.6000000000931</v>
      </c>
      <c r="BQ207" s="201">
        <f t="shared" ref="BQ207:BQ219" si="318">SUM(BO207:BP207)</f>
        <v>1764.6000000000931</v>
      </c>
      <c r="BR207" s="201">
        <f t="shared" si="311"/>
        <v>0</v>
      </c>
      <c r="BS207" s="201">
        <f t="shared" si="311"/>
        <v>1764.6000000000931</v>
      </c>
      <c r="BT207" s="201">
        <f t="shared" ref="BT207:BT219" si="319">SUM(BR207:BS207)</f>
        <v>1764.6000000000931</v>
      </c>
      <c r="BU207" s="213">
        <f t="shared" si="313"/>
        <v>0</v>
      </c>
      <c r="BV207" s="201"/>
      <c r="BW207" s="201"/>
      <c r="BX207" s="201">
        <f t="shared" ref="BX207:BX219" si="320">SUM(BV207:BW207)</f>
        <v>0</v>
      </c>
      <c r="BY207" s="199">
        <v>126000</v>
      </c>
      <c r="BZ207" s="199">
        <v>540000</v>
      </c>
      <c r="CA207" s="199">
        <v>936000</v>
      </c>
      <c r="CB207" s="199">
        <v>198000</v>
      </c>
      <c r="CC207" s="199">
        <v>0</v>
      </c>
      <c r="CD207" s="199">
        <v>0</v>
      </c>
      <c r="CE207" s="199">
        <v>0</v>
      </c>
      <c r="CF207" s="199">
        <v>0</v>
      </c>
      <c r="CG207" s="199">
        <v>0</v>
      </c>
      <c r="CH207" s="199">
        <v>0</v>
      </c>
      <c r="CI207" s="199">
        <v>0</v>
      </c>
      <c r="CJ207" s="199">
        <v>0</v>
      </c>
      <c r="CK207" s="214" t="s">
        <v>632</v>
      </c>
      <c r="CL207" s="214" t="s">
        <v>610</v>
      </c>
      <c r="CM207" s="211">
        <v>198</v>
      </c>
      <c r="CN207" s="215"/>
      <c r="CO207" s="215">
        <v>3300</v>
      </c>
      <c r="CP207" s="216">
        <v>20</v>
      </c>
      <c r="CQ207" s="217"/>
      <c r="CR207" s="211"/>
      <c r="CS207" s="218"/>
      <c r="CT207" s="218"/>
      <c r="CU207" s="218"/>
      <c r="CV207" s="211"/>
      <c r="CW207" s="211"/>
      <c r="CX207" s="211"/>
      <c r="CY207" s="211"/>
      <c r="CZ207" s="211"/>
      <c r="DA207" s="211"/>
      <c r="DB207" s="211"/>
      <c r="DC207" s="219"/>
      <c r="DD207" s="219"/>
      <c r="DE207" s="219"/>
      <c r="DF207" s="211"/>
      <c r="DG207" s="211"/>
      <c r="DH207" s="211"/>
      <c r="DI207" s="211"/>
      <c r="DJ207" s="211"/>
      <c r="DK207" s="220" t="s">
        <v>32</v>
      </c>
      <c r="DT207" s="222"/>
    </row>
    <row r="208" spans="1:124" s="176" customFormat="1" ht="51" customHeight="1" x14ac:dyDescent="0.2">
      <c r="A208" s="225" t="s">
        <v>94</v>
      </c>
      <c r="B208" s="197" t="s">
        <v>633</v>
      </c>
      <c r="C208" s="198">
        <v>1</v>
      </c>
      <c r="D208" s="199">
        <v>3150000</v>
      </c>
      <c r="E208" s="198" t="s">
        <v>159</v>
      </c>
      <c r="F208" s="198" t="s">
        <v>111</v>
      </c>
      <c r="G208" s="198" t="s">
        <v>98</v>
      </c>
      <c r="H208" s="200">
        <v>1</v>
      </c>
      <c r="I208" s="199">
        <f t="shared" si="282"/>
        <v>0</v>
      </c>
      <c r="J208" s="199">
        <f t="shared" si="283"/>
        <v>3150000</v>
      </c>
      <c r="K208" s="199">
        <f t="shared" si="284"/>
        <v>3150000</v>
      </c>
      <c r="L208" s="199">
        <v>0</v>
      </c>
      <c r="M208" s="199">
        <v>3150000</v>
      </c>
      <c r="N208" s="199">
        <f t="shared" si="285"/>
        <v>3150000</v>
      </c>
      <c r="O208" s="199"/>
      <c r="P208" s="201">
        <v>0</v>
      </c>
      <c r="Q208" s="202">
        <v>14</v>
      </c>
      <c r="R208" s="203">
        <v>45566</v>
      </c>
      <c r="S208" s="199"/>
      <c r="T208" s="199">
        <v>3150000</v>
      </c>
      <c r="U208" s="204">
        <f t="shared" si="286"/>
        <v>3150000</v>
      </c>
      <c r="V208" s="205"/>
      <c r="W208" s="200"/>
      <c r="X208" s="201"/>
      <c r="Y208" s="201"/>
      <c r="Z208" s="201">
        <f t="shared" si="287"/>
        <v>0</v>
      </c>
      <c r="AA208" s="198"/>
      <c r="AB208" s="206"/>
      <c r="AC208" s="207"/>
      <c r="AD208" s="201"/>
      <c r="AE208" s="204">
        <f t="shared" si="288"/>
        <v>0</v>
      </c>
      <c r="AF208" s="203">
        <f t="shared" si="289"/>
        <v>45566</v>
      </c>
      <c r="AG208" s="201">
        <f t="shared" si="290"/>
        <v>0</v>
      </c>
      <c r="AH208" s="199">
        <f t="shared" si="291"/>
        <v>3150000</v>
      </c>
      <c r="AI208" s="199">
        <f t="shared" si="292"/>
        <v>3150000</v>
      </c>
      <c r="AJ208" s="201">
        <f t="shared" si="293"/>
        <v>0</v>
      </c>
      <c r="AK208" s="201">
        <f t="shared" si="293"/>
        <v>3150000</v>
      </c>
      <c r="AL208" s="201">
        <f t="shared" si="294"/>
        <v>3150000</v>
      </c>
      <c r="AM208" s="198"/>
      <c r="AN208" s="203"/>
      <c r="AO208" s="208"/>
      <c r="AP208" s="201">
        <f t="shared" si="295"/>
        <v>0</v>
      </c>
      <c r="AQ208" s="201">
        <f t="shared" si="296"/>
        <v>3147543.2</v>
      </c>
      <c r="AR208" s="201">
        <f t="shared" si="297"/>
        <v>3147543.2</v>
      </c>
      <c r="AS208" s="201">
        <f t="shared" si="298"/>
        <v>99.922006349206356</v>
      </c>
      <c r="AT208" s="201"/>
      <c r="AU208" s="209">
        <v>3147543.2</v>
      </c>
      <c r="AV208" s="201">
        <f t="shared" si="299"/>
        <v>3147543.2</v>
      </c>
      <c r="AW208" s="201">
        <f t="shared" si="300"/>
        <v>6.3492063492063489</v>
      </c>
      <c r="AX208" s="201">
        <f t="shared" si="301"/>
        <v>99.922006349206356</v>
      </c>
      <c r="AY208" s="208"/>
      <c r="AZ208" s="201">
        <f t="shared" si="302"/>
        <v>0</v>
      </c>
      <c r="BA208" s="201">
        <f t="shared" si="303"/>
        <v>0</v>
      </c>
      <c r="BB208" s="201">
        <f t="shared" si="304"/>
        <v>0</v>
      </c>
      <c r="BC208" s="201"/>
      <c r="BD208" s="209"/>
      <c r="BE208" s="201">
        <f t="shared" si="305"/>
        <v>0</v>
      </c>
      <c r="BF208" s="208"/>
      <c r="BG208" s="201">
        <f t="shared" si="306"/>
        <v>0</v>
      </c>
      <c r="BH208" s="201">
        <f t="shared" si="306"/>
        <v>3147543.2</v>
      </c>
      <c r="BI208" s="201">
        <f t="shared" si="307"/>
        <v>3147543.2</v>
      </c>
      <c r="BJ208" s="201">
        <f t="shared" si="276"/>
        <v>99.922006349206356</v>
      </c>
      <c r="BK208" s="210">
        <v>10</v>
      </c>
      <c r="BL208" s="210">
        <v>100</v>
      </c>
      <c r="BM208" s="211"/>
      <c r="BN208" s="211"/>
      <c r="BO208" s="212">
        <f t="shared" si="308"/>
        <v>0</v>
      </c>
      <c r="BP208" s="201">
        <f t="shared" si="309"/>
        <v>2456.7999999998137</v>
      </c>
      <c r="BQ208" s="201">
        <f t="shared" si="318"/>
        <v>2456.7999999998137</v>
      </c>
      <c r="BR208" s="201">
        <f t="shared" si="311"/>
        <v>0</v>
      </c>
      <c r="BS208" s="201">
        <f t="shared" si="311"/>
        <v>2456.7999999998137</v>
      </c>
      <c r="BT208" s="201">
        <f t="shared" si="319"/>
        <v>2456.7999999998137</v>
      </c>
      <c r="BU208" s="213">
        <f t="shared" si="313"/>
        <v>0</v>
      </c>
      <c r="BV208" s="201"/>
      <c r="BW208" s="201"/>
      <c r="BX208" s="201">
        <f t="shared" si="320"/>
        <v>0</v>
      </c>
      <c r="BY208" s="199">
        <v>362500</v>
      </c>
      <c r="BZ208" s="199">
        <v>362500</v>
      </c>
      <c r="CA208" s="199">
        <v>300000</v>
      </c>
      <c r="CB208" s="199">
        <v>300000</v>
      </c>
      <c r="CC208" s="199">
        <v>300000</v>
      </c>
      <c r="CD208" s="199">
        <v>300000</v>
      </c>
      <c r="CE208" s="199">
        <v>200000</v>
      </c>
      <c r="CF208" s="199">
        <v>200000</v>
      </c>
      <c r="CG208" s="199">
        <v>200000</v>
      </c>
      <c r="CH208" s="199">
        <v>225000</v>
      </c>
      <c r="CI208" s="199">
        <v>200000</v>
      </c>
      <c r="CJ208" s="199">
        <v>200000</v>
      </c>
      <c r="CK208" s="214" t="s">
        <v>634</v>
      </c>
      <c r="CL208" s="214" t="s">
        <v>610</v>
      </c>
      <c r="CM208" s="211">
        <v>198</v>
      </c>
      <c r="CN208" s="215"/>
      <c r="CO208" s="215">
        <v>1238</v>
      </c>
      <c r="CP208" s="216">
        <v>47</v>
      </c>
      <c r="CQ208" s="217"/>
      <c r="CR208" s="211"/>
      <c r="CS208" s="218"/>
      <c r="CT208" s="218"/>
      <c r="CU208" s="218"/>
      <c r="CV208" s="211"/>
      <c r="CW208" s="211"/>
      <c r="CX208" s="211"/>
      <c r="CY208" s="211"/>
      <c r="CZ208" s="211"/>
      <c r="DA208" s="211"/>
      <c r="DB208" s="211"/>
      <c r="DC208" s="219"/>
      <c r="DD208" s="219"/>
      <c r="DE208" s="219"/>
      <c r="DF208" s="211"/>
      <c r="DG208" s="211"/>
      <c r="DH208" s="211"/>
      <c r="DI208" s="211"/>
      <c r="DJ208" s="211"/>
      <c r="DK208" s="220" t="s">
        <v>32</v>
      </c>
      <c r="DT208" s="222"/>
    </row>
    <row r="209" spans="1:124" s="176" customFormat="1" ht="42" x14ac:dyDescent="0.2">
      <c r="A209" s="195" t="s">
        <v>108</v>
      </c>
      <c r="B209" s="197" t="s">
        <v>635</v>
      </c>
      <c r="C209" s="198">
        <v>1</v>
      </c>
      <c r="D209" s="199">
        <v>200000</v>
      </c>
      <c r="E209" s="198" t="s">
        <v>636</v>
      </c>
      <c r="F209" s="198" t="s">
        <v>238</v>
      </c>
      <c r="G209" s="198" t="s">
        <v>98</v>
      </c>
      <c r="H209" s="200">
        <v>1</v>
      </c>
      <c r="I209" s="199">
        <f t="shared" si="282"/>
        <v>196600</v>
      </c>
      <c r="J209" s="199">
        <f t="shared" si="283"/>
        <v>3400</v>
      </c>
      <c r="K209" s="199">
        <f t="shared" si="284"/>
        <v>200000</v>
      </c>
      <c r="L209" s="199">
        <f>196600</f>
        <v>196600</v>
      </c>
      <c r="M209" s="199">
        <v>3400</v>
      </c>
      <c r="N209" s="199">
        <f t="shared" si="285"/>
        <v>200000</v>
      </c>
      <c r="O209" s="199"/>
      <c r="P209" s="201">
        <v>0</v>
      </c>
      <c r="Q209" s="202">
        <v>1574</v>
      </c>
      <c r="R209" s="203">
        <v>45708</v>
      </c>
      <c r="S209" s="199">
        <v>196080</v>
      </c>
      <c r="T209" s="199">
        <v>3432</v>
      </c>
      <c r="U209" s="204">
        <f t="shared" si="286"/>
        <v>199512</v>
      </c>
      <c r="V209" s="205"/>
      <c r="W209" s="200"/>
      <c r="X209" s="201"/>
      <c r="Y209" s="201"/>
      <c r="Z209" s="201">
        <f t="shared" si="287"/>
        <v>0</v>
      </c>
      <c r="AA209" s="198"/>
      <c r="AB209" s="206"/>
      <c r="AC209" s="207"/>
      <c r="AD209" s="201"/>
      <c r="AE209" s="204">
        <f t="shared" si="288"/>
        <v>0</v>
      </c>
      <c r="AF209" s="203">
        <f t="shared" si="289"/>
        <v>45708</v>
      </c>
      <c r="AG209" s="201">
        <f t="shared" si="290"/>
        <v>196080</v>
      </c>
      <c r="AH209" s="199">
        <f t="shared" si="291"/>
        <v>3432</v>
      </c>
      <c r="AI209" s="199">
        <f t="shared" si="292"/>
        <v>199512</v>
      </c>
      <c r="AJ209" s="201">
        <f t="shared" si="293"/>
        <v>196080</v>
      </c>
      <c r="AK209" s="201">
        <f t="shared" si="293"/>
        <v>3432</v>
      </c>
      <c r="AL209" s="201">
        <f t="shared" si="294"/>
        <v>199512</v>
      </c>
      <c r="AM209" s="198"/>
      <c r="AN209" s="203"/>
      <c r="AO209" s="208"/>
      <c r="AP209" s="201">
        <f t="shared" si="295"/>
        <v>196080</v>
      </c>
      <c r="AQ209" s="201">
        <f t="shared" si="296"/>
        <v>0</v>
      </c>
      <c r="AR209" s="201">
        <f t="shared" si="297"/>
        <v>196080</v>
      </c>
      <c r="AS209" s="201">
        <f t="shared" si="298"/>
        <v>98.279802718633462</v>
      </c>
      <c r="AT209" s="201">
        <v>196080</v>
      </c>
      <c r="AU209" s="209"/>
      <c r="AV209" s="201">
        <f t="shared" si="299"/>
        <v>196080</v>
      </c>
      <c r="AW209" s="201">
        <f t="shared" si="300"/>
        <v>0</v>
      </c>
      <c r="AX209" s="201">
        <f t="shared" si="301"/>
        <v>98.279802718633462</v>
      </c>
      <c r="AY209" s="208"/>
      <c r="AZ209" s="201">
        <f t="shared" si="302"/>
        <v>0</v>
      </c>
      <c r="BA209" s="201">
        <f t="shared" si="303"/>
        <v>0</v>
      </c>
      <c r="BB209" s="201">
        <f t="shared" si="304"/>
        <v>0</v>
      </c>
      <c r="BC209" s="201"/>
      <c r="BD209" s="209">
        <v>0</v>
      </c>
      <c r="BE209" s="201">
        <f t="shared" si="305"/>
        <v>0</v>
      </c>
      <c r="BF209" s="208"/>
      <c r="BG209" s="201">
        <f t="shared" si="306"/>
        <v>196080</v>
      </c>
      <c r="BH209" s="201">
        <f t="shared" si="306"/>
        <v>0</v>
      </c>
      <c r="BI209" s="201">
        <f t="shared" si="307"/>
        <v>196080</v>
      </c>
      <c r="BJ209" s="201">
        <f t="shared" si="276"/>
        <v>98.279802718633462</v>
      </c>
      <c r="BK209" s="210">
        <v>7</v>
      </c>
      <c r="BL209" s="210">
        <v>100</v>
      </c>
      <c r="BM209" s="211"/>
      <c r="BN209" s="211"/>
      <c r="BO209" s="212">
        <f t="shared" si="308"/>
        <v>0</v>
      </c>
      <c r="BP209" s="201">
        <f t="shared" si="309"/>
        <v>3432</v>
      </c>
      <c r="BQ209" s="201">
        <f t="shared" si="318"/>
        <v>3432</v>
      </c>
      <c r="BR209" s="201">
        <f t="shared" si="311"/>
        <v>0</v>
      </c>
      <c r="BS209" s="201">
        <f t="shared" si="311"/>
        <v>3432</v>
      </c>
      <c r="BT209" s="201">
        <f t="shared" si="319"/>
        <v>3432</v>
      </c>
      <c r="BU209" s="213">
        <f t="shared" si="313"/>
        <v>0</v>
      </c>
      <c r="BV209" s="201"/>
      <c r="BW209" s="201"/>
      <c r="BX209" s="201">
        <f t="shared" si="320"/>
        <v>0</v>
      </c>
      <c r="BY209" s="199">
        <v>14000</v>
      </c>
      <c r="BZ209" s="199">
        <v>60000</v>
      </c>
      <c r="CA209" s="199">
        <v>104000</v>
      </c>
      <c r="CB209" s="199">
        <v>22000</v>
      </c>
      <c r="CC209" s="199">
        <v>0</v>
      </c>
      <c r="CD209" s="199">
        <v>0</v>
      </c>
      <c r="CE209" s="199">
        <v>0</v>
      </c>
      <c r="CF209" s="199">
        <v>0</v>
      </c>
      <c r="CG209" s="199">
        <v>0</v>
      </c>
      <c r="CH209" s="199">
        <v>0</v>
      </c>
      <c r="CI209" s="199">
        <v>0</v>
      </c>
      <c r="CJ209" s="199">
        <v>0</v>
      </c>
      <c r="CK209" s="214"/>
      <c r="CL209" s="214"/>
      <c r="CM209" s="211">
        <v>191</v>
      </c>
      <c r="CN209" s="215"/>
      <c r="CO209" s="215">
        <v>20000</v>
      </c>
      <c r="CP209" s="216">
        <v>3000</v>
      </c>
      <c r="CQ209" s="217"/>
      <c r="CR209" s="211"/>
      <c r="CS209" s="218"/>
      <c r="CT209" s="218"/>
      <c r="CU209" s="218"/>
      <c r="CV209" s="211"/>
      <c r="CW209" s="211"/>
      <c r="CX209" s="211"/>
      <c r="CY209" s="211"/>
      <c r="CZ209" s="211"/>
      <c r="DA209" s="211"/>
      <c r="DB209" s="211"/>
      <c r="DC209" s="219"/>
      <c r="DD209" s="219"/>
      <c r="DE209" s="219"/>
      <c r="DF209" s="211"/>
      <c r="DG209" s="211"/>
      <c r="DH209" s="211"/>
      <c r="DI209" s="211"/>
      <c r="DJ209" s="211"/>
      <c r="DK209" s="220" t="s">
        <v>70</v>
      </c>
      <c r="DT209" s="222"/>
    </row>
    <row r="210" spans="1:124" s="176" customFormat="1" ht="42" x14ac:dyDescent="0.2">
      <c r="A210" s="195" t="s">
        <v>108</v>
      </c>
      <c r="B210" s="197" t="s">
        <v>637</v>
      </c>
      <c r="C210" s="198">
        <v>1</v>
      </c>
      <c r="D210" s="199">
        <v>400000</v>
      </c>
      <c r="E210" s="198" t="s">
        <v>638</v>
      </c>
      <c r="F210" s="198" t="s">
        <v>238</v>
      </c>
      <c r="G210" s="198" t="s">
        <v>98</v>
      </c>
      <c r="H210" s="200">
        <v>1</v>
      </c>
      <c r="I210" s="199">
        <f t="shared" si="282"/>
        <v>393200</v>
      </c>
      <c r="J210" s="199">
        <f t="shared" si="283"/>
        <v>6800</v>
      </c>
      <c r="K210" s="199">
        <f t="shared" si="284"/>
        <v>400000</v>
      </c>
      <c r="L210" s="199">
        <f>393200</f>
        <v>393200</v>
      </c>
      <c r="M210" s="199">
        <v>6800</v>
      </c>
      <c r="N210" s="199">
        <f t="shared" si="285"/>
        <v>400000</v>
      </c>
      <c r="O210" s="199"/>
      <c r="P210" s="201">
        <v>0</v>
      </c>
      <c r="Q210" s="202">
        <v>1574</v>
      </c>
      <c r="R210" s="203">
        <v>45708</v>
      </c>
      <c r="S210" s="199">
        <v>392160</v>
      </c>
      <c r="T210" s="199">
        <v>6863</v>
      </c>
      <c r="U210" s="204">
        <f t="shared" si="286"/>
        <v>399023</v>
      </c>
      <c r="V210" s="205"/>
      <c r="W210" s="200"/>
      <c r="X210" s="201"/>
      <c r="Y210" s="201"/>
      <c r="Z210" s="201">
        <f t="shared" si="287"/>
        <v>0</v>
      </c>
      <c r="AA210" s="198"/>
      <c r="AB210" s="206"/>
      <c r="AC210" s="207"/>
      <c r="AD210" s="201"/>
      <c r="AE210" s="204">
        <f t="shared" si="288"/>
        <v>0</v>
      </c>
      <c r="AF210" s="203">
        <f t="shared" si="289"/>
        <v>45708</v>
      </c>
      <c r="AG210" s="201">
        <f t="shared" si="290"/>
        <v>392160</v>
      </c>
      <c r="AH210" s="199">
        <f t="shared" si="291"/>
        <v>6863</v>
      </c>
      <c r="AI210" s="199">
        <f t="shared" si="292"/>
        <v>399023</v>
      </c>
      <c r="AJ210" s="201">
        <f t="shared" si="293"/>
        <v>392160</v>
      </c>
      <c r="AK210" s="201">
        <f t="shared" si="293"/>
        <v>6863</v>
      </c>
      <c r="AL210" s="201">
        <f t="shared" si="294"/>
        <v>399023</v>
      </c>
      <c r="AM210" s="198"/>
      <c r="AN210" s="203"/>
      <c r="AO210" s="208"/>
      <c r="AP210" s="201">
        <f t="shared" si="295"/>
        <v>392160</v>
      </c>
      <c r="AQ210" s="201">
        <f t="shared" si="296"/>
        <v>0</v>
      </c>
      <c r="AR210" s="201">
        <f t="shared" si="297"/>
        <v>392160</v>
      </c>
      <c r="AS210" s="201">
        <f t="shared" si="298"/>
        <v>98.280049019730697</v>
      </c>
      <c r="AT210" s="201">
        <v>392160</v>
      </c>
      <c r="AU210" s="209"/>
      <c r="AV210" s="201">
        <f t="shared" si="299"/>
        <v>392160</v>
      </c>
      <c r="AW210" s="201">
        <f t="shared" si="300"/>
        <v>0</v>
      </c>
      <c r="AX210" s="201">
        <f t="shared" si="301"/>
        <v>98.280049019730697</v>
      </c>
      <c r="AY210" s="208"/>
      <c r="AZ210" s="201">
        <f t="shared" si="302"/>
        <v>0</v>
      </c>
      <c r="BA210" s="201">
        <f t="shared" si="303"/>
        <v>0</v>
      </c>
      <c r="BB210" s="201">
        <f t="shared" ref="BB210:BB215" si="321">SUM(AZ210:BA210)</f>
        <v>0</v>
      </c>
      <c r="BC210" s="201"/>
      <c r="BD210" s="209">
        <v>0</v>
      </c>
      <c r="BE210" s="201">
        <f t="shared" ref="BE210:BE215" si="322">SUM(BC210:BD210)</f>
        <v>0</v>
      </c>
      <c r="BF210" s="208"/>
      <c r="BG210" s="201">
        <f t="shared" si="306"/>
        <v>392160</v>
      </c>
      <c r="BH210" s="201">
        <f t="shared" si="306"/>
        <v>0</v>
      </c>
      <c r="BI210" s="201">
        <f t="shared" si="307"/>
        <v>392160</v>
      </c>
      <c r="BJ210" s="201">
        <f t="shared" si="276"/>
        <v>98.280049019730697</v>
      </c>
      <c r="BK210" s="210">
        <v>7</v>
      </c>
      <c r="BL210" s="210">
        <v>100</v>
      </c>
      <c r="BM210" s="211"/>
      <c r="BN210" s="211"/>
      <c r="BO210" s="212">
        <f t="shared" si="308"/>
        <v>0</v>
      </c>
      <c r="BP210" s="201">
        <f t="shared" si="309"/>
        <v>6863</v>
      </c>
      <c r="BQ210" s="201">
        <f t="shared" si="318"/>
        <v>6863</v>
      </c>
      <c r="BR210" s="201">
        <f t="shared" si="311"/>
        <v>0</v>
      </c>
      <c r="BS210" s="201">
        <f t="shared" si="311"/>
        <v>6863</v>
      </c>
      <c r="BT210" s="201">
        <f t="shared" si="319"/>
        <v>6863</v>
      </c>
      <c r="BU210" s="213">
        <f t="shared" si="313"/>
        <v>0</v>
      </c>
      <c r="BV210" s="201"/>
      <c r="BW210" s="201"/>
      <c r="BX210" s="201">
        <f t="shared" si="320"/>
        <v>0</v>
      </c>
      <c r="BY210" s="199">
        <v>28000</v>
      </c>
      <c r="BZ210" s="199">
        <v>120000</v>
      </c>
      <c r="CA210" s="199">
        <v>208000</v>
      </c>
      <c r="CB210" s="199">
        <v>44000</v>
      </c>
      <c r="CC210" s="199">
        <v>0</v>
      </c>
      <c r="CD210" s="199">
        <v>0</v>
      </c>
      <c r="CE210" s="199">
        <v>0</v>
      </c>
      <c r="CF210" s="199">
        <v>0</v>
      </c>
      <c r="CG210" s="199">
        <v>0</v>
      </c>
      <c r="CH210" s="199">
        <v>0</v>
      </c>
      <c r="CI210" s="199">
        <v>0</v>
      </c>
      <c r="CJ210" s="199">
        <v>0</v>
      </c>
      <c r="CK210" s="214"/>
      <c r="CL210" s="214"/>
      <c r="CM210" s="211">
        <v>191</v>
      </c>
      <c r="CN210" s="215"/>
      <c r="CO210" s="215">
        <v>70</v>
      </c>
      <c r="CP210" s="216">
        <v>180</v>
      </c>
      <c r="CQ210" s="217"/>
      <c r="CR210" s="211"/>
      <c r="CS210" s="218"/>
      <c r="CT210" s="218"/>
      <c r="CU210" s="218"/>
      <c r="CV210" s="211"/>
      <c r="CW210" s="211"/>
      <c r="CX210" s="211"/>
      <c r="CY210" s="211"/>
      <c r="CZ210" s="211"/>
      <c r="DA210" s="211"/>
      <c r="DB210" s="211"/>
      <c r="DC210" s="219"/>
      <c r="DD210" s="219"/>
      <c r="DE210" s="219"/>
      <c r="DF210" s="211"/>
      <c r="DG210" s="211"/>
      <c r="DH210" s="211"/>
      <c r="DI210" s="211"/>
      <c r="DJ210" s="211"/>
      <c r="DK210" s="220" t="s">
        <v>70</v>
      </c>
      <c r="DL210" s="248"/>
      <c r="DT210" s="222"/>
    </row>
    <row r="211" spans="1:124" s="176" customFormat="1" ht="42" x14ac:dyDescent="0.2">
      <c r="A211" s="195" t="s">
        <v>108</v>
      </c>
      <c r="B211" s="197" t="s">
        <v>639</v>
      </c>
      <c r="C211" s="198">
        <v>1</v>
      </c>
      <c r="D211" s="199">
        <v>350000</v>
      </c>
      <c r="E211" s="198" t="s">
        <v>307</v>
      </c>
      <c r="F211" s="198" t="s">
        <v>115</v>
      </c>
      <c r="G211" s="198" t="s">
        <v>98</v>
      </c>
      <c r="H211" s="200">
        <v>1</v>
      </c>
      <c r="I211" s="199">
        <f t="shared" si="282"/>
        <v>344000</v>
      </c>
      <c r="J211" s="199">
        <f t="shared" si="283"/>
        <v>6000</v>
      </c>
      <c r="K211" s="199">
        <f t="shared" si="284"/>
        <v>350000</v>
      </c>
      <c r="L211" s="199">
        <f>344000</f>
        <v>344000</v>
      </c>
      <c r="M211" s="199">
        <v>6000</v>
      </c>
      <c r="N211" s="199">
        <f t="shared" si="285"/>
        <v>350000</v>
      </c>
      <c r="O211" s="199"/>
      <c r="P211" s="201">
        <v>0</v>
      </c>
      <c r="Q211" s="202">
        <v>1574</v>
      </c>
      <c r="R211" s="203">
        <v>45708</v>
      </c>
      <c r="S211" s="199">
        <v>344000</v>
      </c>
      <c r="T211" s="199">
        <v>6000</v>
      </c>
      <c r="U211" s="204">
        <f t="shared" si="286"/>
        <v>350000</v>
      </c>
      <c r="V211" s="205"/>
      <c r="W211" s="200"/>
      <c r="X211" s="201"/>
      <c r="Y211" s="201"/>
      <c r="Z211" s="201">
        <f t="shared" si="287"/>
        <v>0</v>
      </c>
      <c r="AA211" s="198"/>
      <c r="AB211" s="206"/>
      <c r="AC211" s="207"/>
      <c r="AD211" s="201"/>
      <c r="AE211" s="204">
        <f t="shared" si="288"/>
        <v>0</v>
      </c>
      <c r="AF211" s="203">
        <f t="shared" si="289"/>
        <v>45708</v>
      </c>
      <c r="AG211" s="201">
        <f t="shared" si="290"/>
        <v>344000</v>
      </c>
      <c r="AH211" s="199">
        <f t="shared" si="291"/>
        <v>6000</v>
      </c>
      <c r="AI211" s="199">
        <f t="shared" si="292"/>
        <v>350000</v>
      </c>
      <c r="AJ211" s="201">
        <f t="shared" si="293"/>
        <v>344000</v>
      </c>
      <c r="AK211" s="201">
        <f t="shared" si="293"/>
        <v>6000</v>
      </c>
      <c r="AL211" s="201">
        <f t="shared" si="294"/>
        <v>350000</v>
      </c>
      <c r="AM211" s="198"/>
      <c r="AN211" s="203"/>
      <c r="AO211" s="208"/>
      <c r="AP211" s="201">
        <f t="shared" si="295"/>
        <v>344000</v>
      </c>
      <c r="AQ211" s="201">
        <f t="shared" si="296"/>
        <v>0</v>
      </c>
      <c r="AR211" s="201">
        <f t="shared" si="297"/>
        <v>344000</v>
      </c>
      <c r="AS211" s="201">
        <f t="shared" si="298"/>
        <v>98.285714285714292</v>
      </c>
      <c r="AT211" s="201">
        <v>344000</v>
      </c>
      <c r="AU211" s="209"/>
      <c r="AV211" s="201">
        <f t="shared" si="299"/>
        <v>344000</v>
      </c>
      <c r="AW211" s="201">
        <f t="shared" si="300"/>
        <v>0</v>
      </c>
      <c r="AX211" s="201">
        <f t="shared" si="301"/>
        <v>98.285714285714292</v>
      </c>
      <c r="AY211" s="208"/>
      <c r="AZ211" s="201">
        <f t="shared" si="302"/>
        <v>0</v>
      </c>
      <c r="BA211" s="201">
        <f t="shared" si="303"/>
        <v>0</v>
      </c>
      <c r="BB211" s="201">
        <f t="shared" si="321"/>
        <v>0</v>
      </c>
      <c r="BC211" s="201"/>
      <c r="BD211" s="209">
        <v>0</v>
      </c>
      <c r="BE211" s="201">
        <f t="shared" si="322"/>
        <v>0</v>
      </c>
      <c r="BF211" s="208"/>
      <c r="BG211" s="201">
        <f t="shared" si="306"/>
        <v>344000</v>
      </c>
      <c r="BH211" s="201">
        <f t="shared" si="306"/>
        <v>0</v>
      </c>
      <c r="BI211" s="201">
        <f t="shared" si="307"/>
        <v>344000</v>
      </c>
      <c r="BJ211" s="201">
        <f t="shared" si="276"/>
        <v>98.285714285714292</v>
      </c>
      <c r="BK211" s="210">
        <v>7</v>
      </c>
      <c r="BL211" s="210">
        <v>100</v>
      </c>
      <c r="BM211" s="211"/>
      <c r="BN211" s="211"/>
      <c r="BO211" s="212">
        <f t="shared" si="308"/>
        <v>0</v>
      </c>
      <c r="BP211" s="201">
        <f t="shared" si="309"/>
        <v>6000</v>
      </c>
      <c r="BQ211" s="201">
        <f t="shared" si="318"/>
        <v>6000</v>
      </c>
      <c r="BR211" s="201">
        <f t="shared" si="311"/>
        <v>0</v>
      </c>
      <c r="BS211" s="201">
        <f t="shared" si="311"/>
        <v>6000</v>
      </c>
      <c r="BT211" s="201">
        <f t="shared" si="319"/>
        <v>6000</v>
      </c>
      <c r="BU211" s="213">
        <f t="shared" si="313"/>
        <v>0</v>
      </c>
      <c r="BV211" s="201"/>
      <c r="BW211" s="201"/>
      <c r="BX211" s="201">
        <f t="shared" si="320"/>
        <v>0</v>
      </c>
      <c r="BY211" s="199">
        <v>24500</v>
      </c>
      <c r="BZ211" s="199">
        <v>105000</v>
      </c>
      <c r="CA211" s="199">
        <v>182000</v>
      </c>
      <c r="CB211" s="199">
        <v>38500</v>
      </c>
      <c r="CC211" s="199">
        <v>0</v>
      </c>
      <c r="CD211" s="199">
        <v>0</v>
      </c>
      <c r="CE211" s="199">
        <v>0</v>
      </c>
      <c r="CF211" s="199">
        <v>0</v>
      </c>
      <c r="CG211" s="199">
        <v>0</v>
      </c>
      <c r="CH211" s="199">
        <v>0</v>
      </c>
      <c r="CI211" s="199">
        <v>0</v>
      </c>
      <c r="CJ211" s="199">
        <v>0</v>
      </c>
      <c r="CK211" s="214"/>
      <c r="CL211" s="214"/>
      <c r="CM211" s="211">
        <v>191</v>
      </c>
      <c r="CN211" s="215"/>
      <c r="CO211" s="215">
        <v>7000</v>
      </c>
      <c r="CP211" s="216"/>
      <c r="CQ211" s="217"/>
      <c r="CR211" s="211"/>
      <c r="CS211" s="218"/>
      <c r="CT211" s="218"/>
      <c r="CU211" s="218"/>
      <c r="CV211" s="211"/>
      <c r="CW211" s="211"/>
      <c r="CX211" s="211"/>
      <c r="CY211" s="211"/>
      <c r="CZ211" s="211"/>
      <c r="DA211" s="211"/>
      <c r="DB211" s="211"/>
      <c r="DC211" s="219"/>
      <c r="DD211" s="219"/>
      <c r="DE211" s="219"/>
      <c r="DF211" s="211"/>
      <c r="DG211" s="211"/>
      <c r="DH211" s="211"/>
      <c r="DI211" s="211"/>
      <c r="DJ211" s="211"/>
      <c r="DK211" s="220" t="s">
        <v>70</v>
      </c>
      <c r="DT211" s="222"/>
    </row>
    <row r="212" spans="1:124" s="176" customFormat="1" ht="42" x14ac:dyDescent="0.2">
      <c r="A212" s="195" t="s">
        <v>108</v>
      </c>
      <c r="B212" s="197" t="s">
        <v>640</v>
      </c>
      <c r="C212" s="198">
        <v>1</v>
      </c>
      <c r="D212" s="199">
        <v>3000000</v>
      </c>
      <c r="E212" s="198" t="s">
        <v>321</v>
      </c>
      <c r="F212" s="198" t="s">
        <v>106</v>
      </c>
      <c r="G212" s="198" t="s">
        <v>98</v>
      </c>
      <c r="H212" s="200">
        <v>1</v>
      </c>
      <c r="I212" s="199">
        <f t="shared" si="282"/>
        <v>0</v>
      </c>
      <c r="J212" s="199">
        <f t="shared" si="283"/>
        <v>3000000</v>
      </c>
      <c r="K212" s="199">
        <f t="shared" si="284"/>
        <v>3000000</v>
      </c>
      <c r="L212" s="199">
        <v>0</v>
      </c>
      <c r="M212" s="199">
        <v>3000000</v>
      </c>
      <c r="N212" s="199">
        <f t="shared" si="285"/>
        <v>3000000</v>
      </c>
      <c r="O212" s="199"/>
      <c r="P212" s="201">
        <v>0</v>
      </c>
      <c r="Q212" s="202">
        <v>14</v>
      </c>
      <c r="R212" s="203">
        <v>45566</v>
      </c>
      <c r="S212" s="199"/>
      <c r="T212" s="199">
        <v>3000000</v>
      </c>
      <c r="U212" s="204">
        <f t="shared" si="286"/>
        <v>3000000</v>
      </c>
      <c r="V212" s="205"/>
      <c r="W212" s="200"/>
      <c r="X212" s="201"/>
      <c r="Y212" s="201"/>
      <c r="Z212" s="201">
        <f t="shared" si="287"/>
        <v>0</v>
      </c>
      <c r="AA212" s="198"/>
      <c r="AB212" s="206"/>
      <c r="AC212" s="207"/>
      <c r="AD212" s="201"/>
      <c r="AE212" s="204">
        <f t="shared" si="288"/>
        <v>0</v>
      </c>
      <c r="AF212" s="203">
        <f t="shared" si="289"/>
        <v>45566</v>
      </c>
      <c r="AG212" s="201">
        <f t="shared" si="290"/>
        <v>0</v>
      </c>
      <c r="AH212" s="199">
        <f t="shared" si="291"/>
        <v>3000000</v>
      </c>
      <c r="AI212" s="199">
        <f t="shared" si="292"/>
        <v>3000000</v>
      </c>
      <c r="AJ212" s="201">
        <f t="shared" si="293"/>
        <v>0</v>
      </c>
      <c r="AK212" s="201">
        <f t="shared" si="293"/>
        <v>3000000</v>
      </c>
      <c r="AL212" s="201">
        <f t="shared" si="294"/>
        <v>3000000</v>
      </c>
      <c r="AM212" s="198"/>
      <c r="AN212" s="203"/>
      <c r="AO212" s="208"/>
      <c r="AP212" s="201">
        <f t="shared" si="295"/>
        <v>0</v>
      </c>
      <c r="AQ212" s="201">
        <f t="shared" si="296"/>
        <v>2993069.9</v>
      </c>
      <c r="AR212" s="201">
        <f t="shared" si="297"/>
        <v>2993069.9</v>
      </c>
      <c r="AS212" s="201">
        <f t="shared" si="298"/>
        <v>99.768996666666666</v>
      </c>
      <c r="AT212" s="201"/>
      <c r="AU212" s="223">
        <v>2993069.9</v>
      </c>
      <c r="AV212" s="201">
        <f t="shared" si="299"/>
        <v>2993069.9</v>
      </c>
      <c r="AW212" s="201">
        <f t="shared" si="300"/>
        <v>0</v>
      </c>
      <c r="AX212" s="201">
        <f t="shared" si="301"/>
        <v>99.768996666666666</v>
      </c>
      <c r="AY212" s="208"/>
      <c r="AZ212" s="201">
        <f t="shared" si="302"/>
        <v>0</v>
      </c>
      <c r="BA212" s="201">
        <f t="shared" si="303"/>
        <v>0</v>
      </c>
      <c r="BB212" s="201">
        <f t="shared" si="321"/>
        <v>0</v>
      </c>
      <c r="BC212" s="322"/>
      <c r="BD212" s="223">
        <v>0</v>
      </c>
      <c r="BE212" s="201">
        <f t="shared" si="322"/>
        <v>0</v>
      </c>
      <c r="BF212" s="208"/>
      <c r="BG212" s="201">
        <f t="shared" si="306"/>
        <v>0</v>
      </c>
      <c r="BH212" s="201">
        <f t="shared" si="306"/>
        <v>2993069.9</v>
      </c>
      <c r="BI212" s="201">
        <f t="shared" si="307"/>
        <v>2993069.9</v>
      </c>
      <c r="BJ212" s="201">
        <f t="shared" si="276"/>
        <v>99.768996666666666</v>
      </c>
      <c r="BK212" s="210">
        <v>89</v>
      </c>
      <c r="BL212" s="210">
        <v>100</v>
      </c>
      <c r="BM212" s="211"/>
      <c r="BN212" s="211"/>
      <c r="BO212" s="212">
        <f t="shared" si="308"/>
        <v>0</v>
      </c>
      <c r="BP212" s="201">
        <f t="shared" si="309"/>
        <v>6930.1000000000931</v>
      </c>
      <c r="BQ212" s="201">
        <f t="shared" si="318"/>
        <v>6930.1000000000931</v>
      </c>
      <c r="BR212" s="201">
        <f t="shared" si="311"/>
        <v>0</v>
      </c>
      <c r="BS212" s="201">
        <f t="shared" si="311"/>
        <v>6930.1000000000931</v>
      </c>
      <c r="BT212" s="201">
        <f t="shared" si="319"/>
        <v>6930.1000000000931</v>
      </c>
      <c r="BU212" s="213">
        <f t="shared" si="313"/>
        <v>0</v>
      </c>
      <c r="BV212" s="201"/>
      <c r="BW212" s="201"/>
      <c r="BX212" s="201">
        <f t="shared" si="320"/>
        <v>0</v>
      </c>
      <c r="BY212" s="199">
        <v>210000</v>
      </c>
      <c r="BZ212" s="199">
        <v>900000</v>
      </c>
      <c r="CA212" s="199">
        <v>1560000</v>
      </c>
      <c r="CB212" s="199">
        <v>330000</v>
      </c>
      <c r="CC212" s="199"/>
      <c r="CD212" s="199"/>
      <c r="CE212" s="199"/>
      <c r="CF212" s="199"/>
      <c r="CG212" s="199"/>
      <c r="CH212" s="199"/>
      <c r="CI212" s="199"/>
      <c r="CJ212" s="199"/>
      <c r="CK212" s="214" t="s">
        <v>641</v>
      </c>
      <c r="CL212" s="214" t="s">
        <v>610</v>
      </c>
      <c r="CM212" s="211">
        <v>198</v>
      </c>
      <c r="CN212" s="215"/>
      <c r="CO212" s="215">
        <v>650</v>
      </c>
      <c r="CP212" s="216">
        <v>531</v>
      </c>
      <c r="CQ212" s="217"/>
      <c r="CR212" s="211"/>
      <c r="CS212" s="218"/>
      <c r="CT212" s="218"/>
      <c r="CU212" s="218"/>
      <c r="CV212" s="211"/>
      <c r="CW212" s="211"/>
      <c r="CX212" s="211"/>
      <c r="CY212" s="211"/>
      <c r="CZ212" s="211"/>
      <c r="DA212" s="211"/>
      <c r="DB212" s="211"/>
      <c r="DC212" s="219"/>
      <c r="DD212" s="219"/>
      <c r="DE212" s="219"/>
      <c r="DF212" s="211"/>
      <c r="DG212" s="211"/>
      <c r="DH212" s="211"/>
      <c r="DI212" s="211"/>
      <c r="DJ212" s="211"/>
      <c r="DK212" s="220" t="s">
        <v>32</v>
      </c>
      <c r="DT212" s="222"/>
    </row>
    <row r="213" spans="1:124" s="176" customFormat="1" ht="42" x14ac:dyDescent="0.2">
      <c r="A213" s="195" t="s">
        <v>108</v>
      </c>
      <c r="B213" s="197" t="s">
        <v>642</v>
      </c>
      <c r="C213" s="198">
        <v>1</v>
      </c>
      <c r="D213" s="199">
        <v>1000000</v>
      </c>
      <c r="E213" s="198" t="s">
        <v>590</v>
      </c>
      <c r="F213" s="198" t="s">
        <v>115</v>
      </c>
      <c r="G213" s="198" t="s">
        <v>98</v>
      </c>
      <c r="H213" s="200">
        <v>1</v>
      </c>
      <c r="I213" s="199">
        <f t="shared" si="282"/>
        <v>0</v>
      </c>
      <c r="J213" s="199">
        <f t="shared" si="283"/>
        <v>1000000</v>
      </c>
      <c r="K213" s="199">
        <f t="shared" si="284"/>
        <v>1000000</v>
      </c>
      <c r="L213" s="199">
        <v>0</v>
      </c>
      <c r="M213" s="199">
        <v>1000000</v>
      </c>
      <c r="N213" s="199">
        <f t="shared" si="285"/>
        <v>1000000</v>
      </c>
      <c r="O213" s="199"/>
      <c r="P213" s="201">
        <v>0</v>
      </c>
      <c r="Q213" s="202">
        <v>14</v>
      </c>
      <c r="R213" s="203">
        <v>45566</v>
      </c>
      <c r="S213" s="199"/>
      <c r="T213" s="199">
        <v>1000000</v>
      </c>
      <c r="U213" s="204">
        <f t="shared" si="286"/>
        <v>1000000</v>
      </c>
      <c r="V213" s="205"/>
      <c r="W213" s="200"/>
      <c r="X213" s="201"/>
      <c r="Y213" s="201"/>
      <c r="Z213" s="201">
        <f t="shared" si="287"/>
        <v>0</v>
      </c>
      <c r="AA213" s="198"/>
      <c r="AB213" s="206"/>
      <c r="AC213" s="207"/>
      <c r="AD213" s="201"/>
      <c r="AE213" s="204">
        <f t="shared" si="288"/>
        <v>0</v>
      </c>
      <c r="AF213" s="203">
        <f t="shared" si="289"/>
        <v>45566</v>
      </c>
      <c r="AG213" s="201">
        <f t="shared" si="290"/>
        <v>0</v>
      </c>
      <c r="AH213" s="199">
        <f t="shared" si="291"/>
        <v>1000000</v>
      </c>
      <c r="AI213" s="199">
        <f t="shared" si="292"/>
        <v>1000000</v>
      </c>
      <c r="AJ213" s="201">
        <f t="shared" si="293"/>
        <v>0</v>
      </c>
      <c r="AK213" s="201">
        <f t="shared" si="293"/>
        <v>1000000</v>
      </c>
      <c r="AL213" s="201">
        <f t="shared" si="294"/>
        <v>1000000</v>
      </c>
      <c r="AM213" s="198"/>
      <c r="AN213" s="203"/>
      <c r="AO213" s="208"/>
      <c r="AP213" s="201">
        <f t="shared" si="295"/>
        <v>0</v>
      </c>
      <c r="AQ213" s="201">
        <f t="shared" si="296"/>
        <v>999700.76</v>
      </c>
      <c r="AR213" s="201">
        <f t="shared" si="297"/>
        <v>999700.76</v>
      </c>
      <c r="AS213" s="201">
        <f t="shared" si="298"/>
        <v>99.970076000000006</v>
      </c>
      <c r="AT213" s="322"/>
      <c r="AU213" s="223">
        <v>999700.76</v>
      </c>
      <c r="AV213" s="201">
        <f t="shared" si="299"/>
        <v>999700.76</v>
      </c>
      <c r="AW213" s="201">
        <f t="shared" si="300"/>
        <v>0</v>
      </c>
      <c r="AX213" s="201">
        <f t="shared" si="301"/>
        <v>99.970076000000006</v>
      </c>
      <c r="AY213" s="208"/>
      <c r="AZ213" s="201">
        <f t="shared" si="302"/>
        <v>0</v>
      </c>
      <c r="BA213" s="201">
        <f t="shared" si="303"/>
        <v>0</v>
      </c>
      <c r="BB213" s="201">
        <f t="shared" si="321"/>
        <v>0</v>
      </c>
      <c r="BC213" s="322"/>
      <c r="BD213" s="223">
        <v>0</v>
      </c>
      <c r="BE213" s="201">
        <f t="shared" si="322"/>
        <v>0</v>
      </c>
      <c r="BF213" s="208"/>
      <c r="BG213" s="201">
        <f t="shared" si="306"/>
        <v>0</v>
      </c>
      <c r="BH213" s="201">
        <f t="shared" si="306"/>
        <v>999700.76</v>
      </c>
      <c r="BI213" s="201">
        <f t="shared" si="307"/>
        <v>999700.76</v>
      </c>
      <c r="BJ213" s="201">
        <f t="shared" si="276"/>
        <v>99.970076000000006</v>
      </c>
      <c r="BK213" s="210">
        <v>89</v>
      </c>
      <c r="BL213" s="210">
        <v>100</v>
      </c>
      <c r="BM213" s="211"/>
      <c r="BN213" s="211"/>
      <c r="BO213" s="212">
        <f t="shared" si="308"/>
        <v>0</v>
      </c>
      <c r="BP213" s="201">
        <f t="shared" si="309"/>
        <v>299.23999999999069</v>
      </c>
      <c r="BQ213" s="201">
        <f t="shared" si="318"/>
        <v>299.23999999999069</v>
      </c>
      <c r="BR213" s="201">
        <f t="shared" si="311"/>
        <v>0</v>
      </c>
      <c r="BS213" s="201">
        <f t="shared" si="311"/>
        <v>299.23999999999069</v>
      </c>
      <c r="BT213" s="201">
        <f t="shared" si="319"/>
        <v>299.23999999999069</v>
      </c>
      <c r="BU213" s="213">
        <f t="shared" si="313"/>
        <v>0</v>
      </c>
      <c r="BV213" s="201"/>
      <c r="BW213" s="201"/>
      <c r="BX213" s="201">
        <f t="shared" si="320"/>
        <v>0</v>
      </c>
      <c r="BY213" s="199">
        <v>70000</v>
      </c>
      <c r="BZ213" s="199">
        <v>300000</v>
      </c>
      <c r="CA213" s="199">
        <v>520000</v>
      </c>
      <c r="CB213" s="199">
        <v>110000</v>
      </c>
      <c r="CC213" s="199"/>
      <c r="CD213" s="199"/>
      <c r="CE213" s="199"/>
      <c r="CF213" s="199"/>
      <c r="CG213" s="199"/>
      <c r="CH213" s="199"/>
      <c r="CI213" s="199"/>
      <c r="CJ213" s="199"/>
      <c r="CK213" s="214" t="s">
        <v>643</v>
      </c>
      <c r="CL213" s="214" t="s">
        <v>610</v>
      </c>
      <c r="CM213" s="211">
        <v>198</v>
      </c>
      <c r="CN213" s="215"/>
      <c r="CO213" s="215">
        <v>500</v>
      </c>
      <c r="CP213" s="216">
        <v>200</v>
      </c>
      <c r="CQ213" s="217"/>
      <c r="CR213" s="211"/>
      <c r="CS213" s="218"/>
      <c r="CT213" s="218"/>
      <c r="CU213" s="218"/>
      <c r="CV213" s="211"/>
      <c r="CW213" s="211"/>
      <c r="CX213" s="211"/>
      <c r="CY213" s="211"/>
      <c r="CZ213" s="211"/>
      <c r="DA213" s="211"/>
      <c r="DB213" s="211"/>
      <c r="DC213" s="219"/>
      <c r="DD213" s="219"/>
      <c r="DE213" s="219"/>
      <c r="DF213" s="211"/>
      <c r="DG213" s="211"/>
      <c r="DH213" s="211"/>
      <c r="DI213" s="211"/>
      <c r="DJ213" s="211"/>
      <c r="DK213" s="220" t="s">
        <v>32</v>
      </c>
      <c r="DT213" s="222"/>
    </row>
    <row r="214" spans="1:124" s="176" customFormat="1" ht="42" x14ac:dyDescent="0.2">
      <c r="A214" s="195" t="s">
        <v>108</v>
      </c>
      <c r="B214" s="197" t="s">
        <v>644</v>
      </c>
      <c r="C214" s="198">
        <v>1</v>
      </c>
      <c r="D214" s="199">
        <v>500000</v>
      </c>
      <c r="E214" s="198" t="s">
        <v>340</v>
      </c>
      <c r="F214" s="198" t="s">
        <v>234</v>
      </c>
      <c r="G214" s="198" t="s">
        <v>98</v>
      </c>
      <c r="H214" s="200">
        <v>1</v>
      </c>
      <c r="I214" s="199">
        <f t="shared" si="282"/>
        <v>494000</v>
      </c>
      <c r="J214" s="199">
        <f t="shared" si="283"/>
        <v>6000</v>
      </c>
      <c r="K214" s="199">
        <f t="shared" si="284"/>
        <v>500000</v>
      </c>
      <c r="L214" s="199">
        <f>494000</f>
        <v>494000</v>
      </c>
      <c r="M214" s="199">
        <v>6000</v>
      </c>
      <c r="N214" s="199">
        <f t="shared" si="285"/>
        <v>500000</v>
      </c>
      <c r="O214" s="199"/>
      <c r="P214" s="201">
        <v>0</v>
      </c>
      <c r="Q214" s="202">
        <v>1325</v>
      </c>
      <c r="R214" s="203">
        <v>45680</v>
      </c>
      <c r="S214" s="199">
        <v>491616</v>
      </c>
      <c r="T214" s="199">
        <v>0</v>
      </c>
      <c r="U214" s="204">
        <f t="shared" si="286"/>
        <v>491616</v>
      </c>
      <c r="V214" s="205"/>
      <c r="W214" s="200"/>
      <c r="X214" s="201"/>
      <c r="Y214" s="201"/>
      <c r="Z214" s="201">
        <f t="shared" si="287"/>
        <v>0</v>
      </c>
      <c r="AA214" s="198"/>
      <c r="AB214" s="206"/>
      <c r="AC214" s="207"/>
      <c r="AD214" s="201"/>
      <c r="AE214" s="204">
        <f t="shared" si="288"/>
        <v>0</v>
      </c>
      <c r="AF214" s="203">
        <f t="shared" si="289"/>
        <v>45680</v>
      </c>
      <c r="AG214" s="201">
        <f t="shared" si="290"/>
        <v>491616</v>
      </c>
      <c r="AH214" s="199">
        <f t="shared" si="291"/>
        <v>0</v>
      </c>
      <c r="AI214" s="199">
        <f t="shared" si="292"/>
        <v>491616</v>
      </c>
      <c r="AJ214" s="201">
        <f t="shared" si="293"/>
        <v>491616</v>
      </c>
      <c r="AK214" s="201">
        <f t="shared" si="293"/>
        <v>0</v>
      </c>
      <c r="AL214" s="201">
        <f t="shared" si="294"/>
        <v>491616</v>
      </c>
      <c r="AM214" s="198"/>
      <c r="AN214" s="203"/>
      <c r="AO214" s="208"/>
      <c r="AP214" s="201">
        <f t="shared" si="295"/>
        <v>0</v>
      </c>
      <c r="AQ214" s="201">
        <f t="shared" si="296"/>
        <v>0</v>
      </c>
      <c r="AR214" s="201">
        <f t="shared" si="297"/>
        <v>0</v>
      </c>
      <c r="AS214" s="201">
        <f t="shared" si="298"/>
        <v>0</v>
      </c>
      <c r="AT214" s="201"/>
      <c r="AU214" s="209">
        <v>0</v>
      </c>
      <c r="AV214" s="201">
        <f t="shared" si="299"/>
        <v>0</v>
      </c>
      <c r="AW214" s="201">
        <f t="shared" si="300"/>
        <v>0</v>
      </c>
      <c r="AX214" s="201">
        <f t="shared" si="301"/>
        <v>0</v>
      </c>
      <c r="AY214" s="208"/>
      <c r="AZ214" s="201">
        <f t="shared" si="302"/>
        <v>0</v>
      </c>
      <c r="BA214" s="201">
        <f t="shared" si="303"/>
        <v>491616</v>
      </c>
      <c r="BB214" s="201">
        <f t="shared" si="321"/>
        <v>491616</v>
      </c>
      <c r="BC214" s="201"/>
      <c r="BD214" s="209">
        <v>491616</v>
      </c>
      <c r="BE214" s="201">
        <f t="shared" si="322"/>
        <v>491616</v>
      </c>
      <c r="BF214" s="208"/>
      <c r="BG214" s="201">
        <f t="shared" si="306"/>
        <v>0</v>
      </c>
      <c r="BH214" s="201">
        <f t="shared" si="306"/>
        <v>491616</v>
      </c>
      <c r="BI214" s="201">
        <f t="shared" si="307"/>
        <v>491616</v>
      </c>
      <c r="BJ214" s="201">
        <f t="shared" si="276"/>
        <v>100</v>
      </c>
      <c r="BK214" s="210">
        <v>7</v>
      </c>
      <c r="BL214" s="210">
        <v>0</v>
      </c>
      <c r="BM214" s="211"/>
      <c r="BN214" s="211"/>
      <c r="BO214" s="212">
        <f t="shared" si="308"/>
        <v>491616</v>
      </c>
      <c r="BP214" s="201">
        <f t="shared" si="309"/>
        <v>0</v>
      </c>
      <c r="BQ214" s="201">
        <f t="shared" si="318"/>
        <v>491616</v>
      </c>
      <c r="BR214" s="201">
        <f t="shared" si="311"/>
        <v>491616</v>
      </c>
      <c r="BS214" s="201">
        <f t="shared" si="311"/>
        <v>0</v>
      </c>
      <c r="BT214" s="201">
        <f t="shared" si="319"/>
        <v>491616</v>
      </c>
      <c r="BU214" s="213">
        <f t="shared" si="313"/>
        <v>0</v>
      </c>
      <c r="BV214" s="201"/>
      <c r="BW214" s="201"/>
      <c r="BX214" s="201">
        <f t="shared" si="320"/>
        <v>0</v>
      </c>
      <c r="BY214" s="199">
        <v>35000</v>
      </c>
      <c r="BZ214" s="199">
        <v>150000</v>
      </c>
      <c r="CA214" s="199">
        <v>260000</v>
      </c>
      <c r="CB214" s="199">
        <v>55000</v>
      </c>
      <c r="CC214" s="199"/>
      <c r="CD214" s="199"/>
      <c r="CE214" s="199"/>
      <c r="CF214" s="199"/>
      <c r="CG214" s="199"/>
      <c r="CH214" s="199"/>
      <c r="CI214" s="199"/>
      <c r="CJ214" s="199"/>
      <c r="CK214" s="214"/>
      <c r="CL214" s="214"/>
      <c r="CM214" s="211">
        <v>191</v>
      </c>
      <c r="CN214" s="215"/>
      <c r="CO214" s="215">
        <v>2400</v>
      </c>
      <c r="CP214" s="216">
        <v>80</v>
      </c>
      <c r="CQ214" s="217"/>
      <c r="CR214" s="211"/>
      <c r="CS214" s="218"/>
      <c r="CT214" s="218"/>
      <c r="CU214" s="218"/>
      <c r="CV214" s="211"/>
      <c r="CW214" s="211"/>
      <c r="CX214" s="211"/>
      <c r="CY214" s="211"/>
      <c r="CZ214" s="211"/>
      <c r="DA214" s="211"/>
      <c r="DB214" s="211"/>
      <c r="DC214" s="219"/>
      <c r="DD214" s="219"/>
      <c r="DE214" s="219"/>
      <c r="DF214" s="211"/>
      <c r="DG214" s="211"/>
      <c r="DH214" s="211"/>
      <c r="DI214" s="211"/>
      <c r="DJ214" s="211"/>
      <c r="DK214" s="220" t="s">
        <v>70</v>
      </c>
      <c r="DT214" s="222"/>
    </row>
    <row r="215" spans="1:124" s="176" customFormat="1" ht="42" x14ac:dyDescent="0.2">
      <c r="A215" s="195" t="s">
        <v>108</v>
      </c>
      <c r="B215" s="197" t="s">
        <v>645</v>
      </c>
      <c r="C215" s="198">
        <v>1</v>
      </c>
      <c r="D215" s="199">
        <v>500000</v>
      </c>
      <c r="E215" s="198" t="s">
        <v>359</v>
      </c>
      <c r="F215" s="198" t="s">
        <v>230</v>
      </c>
      <c r="G215" s="198" t="s">
        <v>98</v>
      </c>
      <c r="H215" s="200">
        <v>1</v>
      </c>
      <c r="I215" s="199">
        <f t="shared" si="282"/>
        <v>494000</v>
      </c>
      <c r="J215" s="199">
        <f t="shared" si="283"/>
        <v>6000</v>
      </c>
      <c r="K215" s="199">
        <f t="shared" si="284"/>
        <v>500000</v>
      </c>
      <c r="L215" s="199">
        <f t="shared" ref="L215:L219" si="323">494000</f>
        <v>494000</v>
      </c>
      <c r="M215" s="199">
        <v>6000</v>
      </c>
      <c r="N215" s="199">
        <f t="shared" si="285"/>
        <v>500000</v>
      </c>
      <c r="O215" s="199"/>
      <c r="P215" s="201">
        <v>0</v>
      </c>
      <c r="Q215" s="202">
        <v>1325</v>
      </c>
      <c r="R215" s="203">
        <v>45680</v>
      </c>
      <c r="S215" s="201">
        <v>493020</v>
      </c>
      <c r="T215" s="199"/>
      <c r="U215" s="204">
        <f t="shared" si="286"/>
        <v>493020</v>
      </c>
      <c r="V215" s="205"/>
      <c r="W215" s="200"/>
      <c r="X215" s="201"/>
      <c r="Y215" s="201"/>
      <c r="Z215" s="201">
        <f t="shared" si="287"/>
        <v>0</v>
      </c>
      <c r="AA215" s="198"/>
      <c r="AB215" s="206"/>
      <c r="AC215" s="207"/>
      <c r="AD215" s="201"/>
      <c r="AE215" s="204">
        <f t="shared" si="288"/>
        <v>0</v>
      </c>
      <c r="AF215" s="203">
        <f t="shared" si="289"/>
        <v>45680</v>
      </c>
      <c r="AG215" s="201">
        <f t="shared" si="290"/>
        <v>493020</v>
      </c>
      <c r="AH215" s="199">
        <f t="shared" si="291"/>
        <v>0</v>
      </c>
      <c r="AI215" s="199">
        <f t="shared" si="292"/>
        <v>493020</v>
      </c>
      <c r="AJ215" s="201">
        <f t="shared" si="293"/>
        <v>493020</v>
      </c>
      <c r="AK215" s="201">
        <f t="shared" si="293"/>
        <v>0</v>
      </c>
      <c r="AL215" s="201">
        <f t="shared" si="294"/>
        <v>493020</v>
      </c>
      <c r="AM215" s="198"/>
      <c r="AN215" s="203"/>
      <c r="AO215" s="208"/>
      <c r="AP215" s="201">
        <f t="shared" si="295"/>
        <v>0</v>
      </c>
      <c r="AQ215" s="201">
        <f t="shared" si="296"/>
        <v>0</v>
      </c>
      <c r="AR215" s="201">
        <f t="shared" si="297"/>
        <v>0</v>
      </c>
      <c r="AS215" s="201">
        <f t="shared" si="298"/>
        <v>0</v>
      </c>
      <c r="AT215" s="201"/>
      <c r="AU215" s="209">
        <v>0</v>
      </c>
      <c r="AV215" s="201">
        <f t="shared" si="299"/>
        <v>0</v>
      </c>
      <c r="AW215" s="201">
        <f t="shared" si="300"/>
        <v>0</v>
      </c>
      <c r="AX215" s="201">
        <f t="shared" si="301"/>
        <v>0</v>
      </c>
      <c r="AY215" s="208"/>
      <c r="AZ215" s="201">
        <f t="shared" si="302"/>
        <v>0</v>
      </c>
      <c r="BA215" s="201">
        <f t="shared" si="303"/>
        <v>493020</v>
      </c>
      <c r="BB215" s="201">
        <f t="shared" si="321"/>
        <v>493020</v>
      </c>
      <c r="BC215" s="201"/>
      <c r="BD215" s="209">
        <v>493020</v>
      </c>
      <c r="BE215" s="201">
        <f t="shared" si="322"/>
        <v>493020</v>
      </c>
      <c r="BF215" s="208"/>
      <c r="BG215" s="201">
        <f t="shared" si="306"/>
        <v>0</v>
      </c>
      <c r="BH215" s="201">
        <f t="shared" si="306"/>
        <v>493020</v>
      </c>
      <c r="BI215" s="201">
        <f t="shared" si="307"/>
        <v>493020</v>
      </c>
      <c r="BJ215" s="201">
        <f t="shared" si="276"/>
        <v>100</v>
      </c>
      <c r="BK215" s="210">
        <v>7</v>
      </c>
      <c r="BL215" s="210">
        <v>0</v>
      </c>
      <c r="BM215" s="211"/>
      <c r="BN215" s="211"/>
      <c r="BO215" s="212">
        <f t="shared" si="308"/>
        <v>493020</v>
      </c>
      <c r="BP215" s="201">
        <f t="shared" si="309"/>
        <v>0</v>
      </c>
      <c r="BQ215" s="201">
        <f t="shared" si="318"/>
        <v>493020</v>
      </c>
      <c r="BR215" s="201">
        <f t="shared" si="311"/>
        <v>493020</v>
      </c>
      <c r="BS215" s="201">
        <f t="shared" si="311"/>
        <v>0</v>
      </c>
      <c r="BT215" s="201">
        <f t="shared" si="319"/>
        <v>493020</v>
      </c>
      <c r="BU215" s="213">
        <f t="shared" si="313"/>
        <v>0</v>
      </c>
      <c r="BV215" s="201"/>
      <c r="BW215" s="201"/>
      <c r="BX215" s="201">
        <f t="shared" si="320"/>
        <v>0</v>
      </c>
      <c r="BY215" s="199">
        <v>35000</v>
      </c>
      <c r="BZ215" s="199">
        <v>150000</v>
      </c>
      <c r="CA215" s="199">
        <v>260000</v>
      </c>
      <c r="CB215" s="199">
        <v>55000</v>
      </c>
      <c r="CC215" s="199"/>
      <c r="CD215" s="199"/>
      <c r="CE215" s="199"/>
      <c r="CF215" s="199"/>
      <c r="CG215" s="199"/>
      <c r="CH215" s="199"/>
      <c r="CI215" s="199"/>
      <c r="CJ215" s="199"/>
      <c r="CK215" s="214"/>
      <c r="CL215" s="214"/>
      <c r="CM215" s="211">
        <v>191</v>
      </c>
      <c r="CN215" s="215"/>
      <c r="CO215" s="215">
        <v>400</v>
      </c>
      <c r="CP215" s="216">
        <v>250</v>
      </c>
      <c r="CQ215" s="217"/>
      <c r="CR215" s="211"/>
      <c r="CS215" s="218"/>
      <c r="CT215" s="218"/>
      <c r="CU215" s="218"/>
      <c r="CV215" s="211"/>
      <c r="CW215" s="211"/>
      <c r="CX215" s="211"/>
      <c r="CY215" s="211"/>
      <c r="CZ215" s="211"/>
      <c r="DA215" s="211"/>
      <c r="DB215" s="211"/>
      <c r="DC215" s="219"/>
      <c r="DD215" s="219"/>
      <c r="DE215" s="219"/>
      <c r="DF215" s="211"/>
      <c r="DG215" s="211"/>
      <c r="DH215" s="211"/>
      <c r="DI215" s="211"/>
      <c r="DJ215" s="211"/>
      <c r="DK215" s="220" t="s">
        <v>70</v>
      </c>
      <c r="DT215" s="222"/>
    </row>
    <row r="216" spans="1:124" s="176" customFormat="1" ht="42" x14ac:dyDescent="0.2">
      <c r="A216" s="195" t="s">
        <v>108</v>
      </c>
      <c r="B216" s="197" t="s">
        <v>646</v>
      </c>
      <c r="C216" s="198">
        <v>1</v>
      </c>
      <c r="D216" s="199">
        <v>500000</v>
      </c>
      <c r="E216" s="198" t="s">
        <v>310</v>
      </c>
      <c r="F216" s="198" t="s">
        <v>311</v>
      </c>
      <c r="G216" s="198" t="s">
        <v>98</v>
      </c>
      <c r="H216" s="200">
        <v>1</v>
      </c>
      <c r="I216" s="199">
        <f t="shared" si="282"/>
        <v>494000</v>
      </c>
      <c r="J216" s="199">
        <f t="shared" si="283"/>
        <v>6000</v>
      </c>
      <c r="K216" s="199">
        <f t="shared" si="284"/>
        <v>500000</v>
      </c>
      <c r="L216" s="199">
        <f t="shared" si="323"/>
        <v>494000</v>
      </c>
      <c r="M216" s="199">
        <v>6000</v>
      </c>
      <c r="N216" s="199">
        <f t="shared" si="285"/>
        <v>500000</v>
      </c>
      <c r="O216" s="199"/>
      <c r="P216" s="201">
        <v>0</v>
      </c>
      <c r="Q216" s="202">
        <v>1325</v>
      </c>
      <c r="R216" s="203">
        <v>45680</v>
      </c>
      <c r="S216" s="199">
        <v>491616</v>
      </c>
      <c r="T216" s="199"/>
      <c r="U216" s="204">
        <f t="shared" si="286"/>
        <v>491616</v>
      </c>
      <c r="V216" s="205"/>
      <c r="W216" s="200"/>
      <c r="X216" s="201"/>
      <c r="Y216" s="201"/>
      <c r="Z216" s="201">
        <f t="shared" si="287"/>
        <v>0</v>
      </c>
      <c r="AA216" s="198"/>
      <c r="AB216" s="206"/>
      <c r="AC216" s="207"/>
      <c r="AD216" s="201"/>
      <c r="AE216" s="204">
        <f t="shared" si="288"/>
        <v>0</v>
      </c>
      <c r="AF216" s="203">
        <f t="shared" si="289"/>
        <v>45680</v>
      </c>
      <c r="AG216" s="201">
        <f t="shared" si="290"/>
        <v>491616</v>
      </c>
      <c r="AH216" s="199">
        <f t="shared" si="291"/>
        <v>0</v>
      </c>
      <c r="AI216" s="199">
        <f t="shared" si="292"/>
        <v>491616</v>
      </c>
      <c r="AJ216" s="201">
        <f t="shared" si="293"/>
        <v>491616</v>
      </c>
      <c r="AK216" s="201">
        <f t="shared" si="293"/>
        <v>0</v>
      </c>
      <c r="AL216" s="201">
        <f t="shared" si="294"/>
        <v>491616</v>
      </c>
      <c r="AM216" s="198"/>
      <c r="AN216" s="203"/>
      <c r="AO216" s="208"/>
      <c r="AP216" s="201">
        <f t="shared" si="295"/>
        <v>0</v>
      </c>
      <c r="AQ216" s="201">
        <f t="shared" si="296"/>
        <v>0</v>
      </c>
      <c r="AR216" s="201">
        <f t="shared" si="297"/>
        <v>0</v>
      </c>
      <c r="AS216" s="201">
        <f t="shared" si="298"/>
        <v>0</v>
      </c>
      <c r="AT216" s="201"/>
      <c r="AU216" s="223">
        <v>0</v>
      </c>
      <c r="AV216" s="201">
        <f t="shared" si="299"/>
        <v>0</v>
      </c>
      <c r="AW216" s="201">
        <f t="shared" si="300"/>
        <v>0</v>
      </c>
      <c r="AX216" s="201">
        <f t="shared" si="301"/>
        <v>0</v>
      </c>
      <c r="AY216" s="208"/>
      <c r="AZ216" s="201">
        <f t="shared" si="302"/>
        <v>0</v>
      </c>
      <c r="BA216" s="201">
        <f t="shared" si="303"/>
        <v>491616</v>
      </c>
      <c r="BB216" s="201">
        <f t="shared" ref="BB216:BB219" si="324">SUM(AZ216:BA216)</f>
        <v>491616</v>
      </c>
      <c r="BC216" s="201"/>
      <c r="BD216" s="209">
        <v>491616</v>
      </c>
      <c r="BE216" s="201">
        <f t="shared" ref="BE216:BE219" si="325">SUM(BC216:BD216)</f>
        <v>491616</v>
      </c>
      <c r="BF216" s="208"/>
      <c r="BG216" s="201">
        <f t="shared" si="306"/>
        <v>0</v>
      </c>
      <c r="BH216" s="201">
        <f t="shared" si="306"/>
        <v>491616</v>
      </c>
      <c r="BI216" s="201">
        <f t="shared" si="307"/>
        <v>491616</v>
      </c>
      <c r="BJ216" s="201">
        <f t="shared" si="276"/>
        <v>100</v>
      </c>
      <c r="BK216" s="210">
        <v>7</v>
      </c>
      <c r="BL216" s="210">
        <v>0</v>
      </c>
      <c r="BM216" s="211"/>
      <c r="BN216" s="211"/>
      <c r="BO216" s="212">
        <f t="shared" si="308"/>
        <v>491616</v>
      </c>
      <c r="BP216" s="201">
        <f t="shared" si="309"/>
        <v>0</v>
      </c>
      <c r="BQ216" s="201">
        <f t="shared" si="318"/>
        <v>491616</v>
      </c>
      <c r="BR216" s="201">
        <f t="shared" si="311"/>
        <v>491616</v>
      </c>
      <c r="BS216" s="201">
        <f t="shared" si="311"/>
        <v>0</v>
      </c>
      <c r="BT216" s="201">
        <f t="shared" si="319"/>
        <v>491616</v>
      </c>
      <c r="BU216" s="213">
        <f t="shared" si="313"/>
        <v>0</v>
      </c>
      <c r="BV216" s="201"/>
      <c r="BW216" s="201"/>
      <c r="BX216" s="201">
        <f t="shared" si="320"/>
        <v>0</v>
      </c>
      <c r="BY216" s="199">
        <v>35000</v>
      </c>
      <c r="BZ216" s="199">
        <v>150000</v>
      </c>
      <c r="CA216" s="199">
        <v>260000</v>
      </c>
      <c r="CB216" s="199">
        <v>55000</v>
      </c>
      <c r="CC216" s="199"/>
      <c r="CD216" s="199"/>
      <c r="CE216" s="199"/>
      <c r="CF216" s="199"/>
      <c r="CG216" s="199"/>
      <c r="CH216" s="199"/>
      <c r="CI216" s="199"/>
      <c r="CJ216" s="199"/>
      <c r="CK216" s="214"/>
      <c r="CL216" s="214"/>
      <c r="CM216" s="211">
        <v>191</v>
      </c>
      <c r="CN216" s="215"/>
      <c r="CO216" s="215">
        <v>100</v>
      </c>
      <c r="CP216" s="216"/>
      <c r="CQ216" s="217"/>
      <c r="CR216" s="211"/>
      <c r="CS216" s="218"/>
      <c r="CT216" s="218"/>
      <c r="CU216" s="218"/>
      <c r="CV216" s="211"/>
      <c r="CW216" s="211"/>
      <c r="CX216" s="211"/>
      <c r="CY216" s="211"/>
      <c r="CZ216" s="211"/>
      <c r="DA216" s="211"/>
      <c r="DB216" s="211"/>
      <c r="DC216" s="219"/>
      <c r="DD216" s="219"/>
      <c r="DE216" s="219"/>
      <c r="DF216" s="211"/>
      <c r="DG216" s="211"/>
      <c r="DH216" s="211"/>
      <c r="DI216" s="211"/>
      <c r="DJ216" s="211"/>
      <c r="DK216" s="220" t="s">
        <v>70</v>
      </c>
      <c r="DT216" s="222"/>
    </row>
    <row r="217" spans="1:124" s="176" customFormat="1" ht="42" x14ac:dyDescent="0.2">
      <c r="A217" s="195" t="s">
        <v>108</v>
      </c>
      <c r="B217" s="197" t="s">
        <v>647</v>
      </c>
      <c r="C217" s="198">
        <v>1</v>
      </c>
      <c r="D217" s="199">
        <v>500000</v>
      </c>
      <c r="E217" s="198" t="s">
        <v>343</v>
      </c>
      <c r="F217" s="198" t="s">
        <v>234</v>
      </c>
      <c r="G217" s="198" t="s">
        <v>98</v>
      </c>
      <c r="H217" s="200">
        <v>1</v>
      </c>
      <c r="I217" s="199">
        <f t="shared" si="282"/>
        <v>494000</v>
      </c>
      <c r="J217" s="199">
        <f t="shared" si="283"/>
        <v>6000</v>
      </c>
      <c r="K217" s="199">
        <f t="shared" si="284"/>
        <v>500000</v>
      </c>
      <c r="L217" s="199">
        <f t="shared" si="323"/>
        <v>494000</v>
      </c>
      <c r="M217" s="199">
        <v>6000</v>
      </c>
      <c r="N217" s="199">
        <f t="shared" si="285"/>
        <v>500000</v>
      </c>
      <c r="O217" s="199"/>
      <c r="P217" s="201">
        <v>0</v>
      </c>
      <c r="Q217" s="202">
        <v>1058</v>
      </c>
      <c r="R217" s="203">
        <v>45659</v>
      </c>
      <c r="S217" s="199">
        <v>490510</v>
      </c>
      <c r="T217" s="199"/>
      <c r="U217" s="204">
        <f t="shared" si="286"/>
        <v>490510</v>
      </c>
      <c r="V217" s="205"/>
      <c r="W217" s="200"/>
      <c r="X217" s="201"/>
      <c r="Y217" s="201"/>
      <c r="Z217" s="201">
        <f t="shared" si="287"/>
        <v>0</v>
      </c>
      <c r="AA217" s="198"/>
      <c r="AB217" s="206"/>
      <c r="AC217" s="207"/>
      <c r="AD217" s="201"/>
      <c r="AE217" s="204">
        <f t="shared" si="288"/>
        <v>0</v>
      </c>
      <c r="AF217" s="203">
        <f t="shared" si="289"/>
        <v>45659</v>
      </c>
      <c r="AG217" s="201">
        <f t="shared" si="290"/>
        <v>490510</v>
      </c>
      <c r="AH217" s="199">
        <f t="shared" si="291"/>
        <v>0</v>
      </c>
      <c r="AI217" s="199">
        <f t="shared" si="292"/>
        <v>490510</v>
      </c>
      <c r="AJ217" s="201">
        <f t="shared" si="293"/>
        <v>490510</v>
      </c>
      <c r="AK217" s="201">
        <f t="shared" si="293"/>
        <v>0</v>
      </c>
      <c r="AL217" s="201">
        <f t="shared" si="294"/>
        <v>490510</v>
      </c>
      <c r="AM217" s="198"/>
      <c r="AN217" s="203"/>
      <c r="AO217" s="208"/>
      <c r="AP217" s="201">
        <f t="shared" si="295"/>
        <v>490510</v>
      </c>
      <c r="AQ217" s="201">
        <f t="shared" si="296"/>
        <v>0</v>
      </c>
      <c r="AR217" s="201">
        <f t="shared" si="297"/>
        <v>490510</v>
      </c>
      <c r="AS217" s="201">
        <f t="shared" si="298"/>
        <v>100</v>
      </c>
      <c r="AT217" s="201">
        <v>490510</v>
      </c>
      <c r="AU217" s="223"/>
      <c r="AV217" s="201">
        <f t="shared" si="299"/>
        <v>490510</v>
      </c>
      <c r="AW217" s="201">
        <f t="shared" si="300"/>
        <v>0</v>
      </c>
      <c r="AX217" s="201">
        <f t="shared" si="301"/>
        <v>100</v>
      </c>
      <c r="AY217" s="208"/>
      <c r="AZ217" s="201">
        <f t="shared" si="302"/>
        <v>0</v>
      </c>
      <c r="BA217" s="201">
        <f t="shared" si="303"/>
        <v>0</v>
      </c>
      <c r="BB217" s="201">
        <f t="shared" si="324"/>
        <v>0</v>
      </c>
      <c r="BC217" s="201"/>
      <c r="BD217" s="209">
        <v>0</v>
      </c>
      <c r="BE217" s="201">
        <f t="shared" si="325"/>
        <v>0</v>
      </c>
      <c r="BF217" s="208"/>
      <c r="BG217" s="201">
        <f>+AP217+AZ217</f>
        <v>490510</v>
      </c>
      <c r="BH217" s="201">
        <f t="shared" si="306"/>
        <v>0</v>
      </c>
      <c r="BI217" s="201">
        <f t="shared" si="307"/>
        <v>490510</v>
      </c>
      <c r="BJ217" s="201">
        <f t="shared" si="276"/>
        <v>100</v>
      </c>
      <c r="BK217" s="210">
        <v>7</v>
      </c>
      <c r="BL217" s="210">
        <v>100</v>
      </c>
      <c r="BM217" s="211"/>
      <c r="BN217" s="211"/>
      <c r="BO217" s="212">
        <f t="shared" si="308"/>
        <v>0</v>
      </c>
      <c r="BP217" s="201">
        <f t="shared" si="309"/>
        <v>0</v>
      </c>
      <c r="BQ217" s="201">
        <f t="shared" si="318"/>
        <v>0</v>
      </c>
      <c r="BR217" s="201">
        <f t="shared" si="311"/>
        <v>0</v>
      </c>
      <c r="BS217" s="201">
        <f t="shared" si="311"/>
        <v>0</v>
      </c>
      <c r="BT217" s="201">
        <f t="shared" si="319"/>
        <v>0</v>
      </c>
      <c r="BU217" s="213">
        <f t="shared" si="313"/>
        <v>0</v>
      </c>
      <c r="BV217" s="201"/>
      <c r="BW217" s="201"/>
      <c r="BX217" s="201">
        <f t="shared" si="320"/>
        <v>0</v>
      </c>
      <c r="BY217" s="199">
        <v>35000</v>
      </c>
      <c r="BZ217" s="199">
        <v>150000</v>
      </c>
      <c r="CA217" s="199">
        <v>260000</v>
      </c>
      <c r="CB217" s="199">
        <v>55000</v>
      </c>
      <c r="CC217" s="199"/>
      <c r="CD217" s="199"/>
      <c r="CE217" s="199"/>
      <c r="CF217" s="199"/>
      <c r="CG217" s="199"/>
      <c r="CH217" s="199"/>
      <c r="CI217" s="199"/>
      <c r="CJ217" s="199"/>
      <c r="CK217" s="214"/>
      <c r="CL217" s="214"/>
      <c r="CM217" s="211">
        <v>191</v>
      </c>
      <c r="CN217" s="215"/>
      <c r="CO217" s="215">
        <v>100</v>
      </c>
      <c r="CP217" s="216"/>
      <c r="CQ217" s="217"/>
      <c r="CR217" s="211"/>
      <c r="CS217" s="218"/>
      <c r="CT217" s="218"/>
      <c r="CU217" s="218"/>
      <c r="CV217" s="211"/>
      <c r="CW217" s="211"/>
      <c r="CX217" s="211"/>
      <c r="CY217" s="211"/>
      <c r="CZ217" s="211"/>
      <c r="DA217" s="211"/>
      <c r="DB217" s="211"/>
      <c r="DC217" s="219"/>
      <c r="DD217" s="219"/>
      <c r="DE217" s="219"/>
      <c r="DF217" s="211"/>
      <c r="DG217" s="211"/>
      <c r="DH217" s="211"/>
      <c r="DI217" s="211"/>
      <c r="DJ217" s="211"/>
      <c r="DK217" s="220" t="s">
        <v>70</v>
      </c>
      <c r="DT217" s="222"/>
    </row>
    <row r="218" spans="1:124" s="176" customFormat="1" ht="42" x14ac:dyDescent="0.2">
      <c r="A218" s="195" t="s">
        <v>108</v>
      </c>
      <c r="B218" s="197" t="s">
        <v>648</v>
      </c>
      <c r="C218" s="198">
        <v>1</v>
      </c>
      <c r="D218" s="199">
        <v>500000</v>
      </c>
      <c r="E218" s="198" t="s">
        <v>297</v>
      </c>
      <c r="F218" s="198" t="s">
        <v>285</v>
      </c>
      <c r="G218" s="198" t="s">
        <v>98</v>
      </c>
      <c r="H218" s="200">
        <v>1</v>
      </c>
      <c r="I218" s="199">
        <f t="shared" si="282"/>
        <v>494000</v>
      </c>
      <c r="J218" s="199">
        <f t="shared" si="283"/>
        <v>6000</v>
      </c>
      <c r="K218" s="199">
        <f t="shared" si="284"/>
        <v>500000</v>
      </c>
      <c r="L218" s="199">
        <f t="shared" si="323"/>
        <v>494000</v>
      </c>
      <c r="M218" s="199">
        <v>6000</v>
      </c>
      <c r="N218" s="199">
        <f t="shared" si="285"/>
        <v>500000</v>
      </c>
      <c r="O218" s="199"/>
      <c r="P218" s="201">
        <v>0</v>
      </c>
      <c r="Q218" s="202">
        <v>1058</v>
      </c>
      <c r="R218" s="203">
        <v>45659</v>
      </c>
      <c r="S218" s="199">
        <v>487872</v>
      </c>
      <c r="T218" s="199"/>
      <c r="U218" s="204">
        <f t="shared" si="286"/>
        <v>487872</v>
      </c>
      <c r="V218" s="205"/>
      <c r="W218" s="200"/>
      <c r="X218" s="201"/>
      <c r="Y218" s="201"/>
      <c r="Z218" s="201">
        <f t="shared" si="287"/>
        <v>0</v>
      </c>
      <c r="AA218" s="198"/>
      <c r="AB218" s="206"/>
      <c r="AC218" s="207"/>
      <c r="AD218" s="201"/>
      <c r="AE218" s="204">
        <f t="shared" si="288"/>
        <v>0</v>
      </c>
      <c r="AF218" s="203">
        <f t="shared" si="289"/>
        <v>45659</v>
      </c>
      <c r="AG218" s="201">
        <f t="shared" si="290"/>
        <v>487872</v>
      </c>
      <c r="AH218" s="199">
        <f t="shared" si="291"/>
        <v>0</v>
      </c>
      <c r="AI218" s="199">
        <f t="shared" si="292"/>
        <v>487872</v>
      </c>
      <c r="AJ218" s="201">
        <f t="shared" ref="AJ218:AK233" si="326">+S218+X218+AC218</f>
        <v>487872</v>
      </c>
      <c r="AK218" s="201">
        <f t="shared" si="326"/>
        <v>0</v>
      </c>
      <c r="AL218" s="201">
        <f t="shared" si="294"/>
        <v>487872</v>
      </c>
      <c r="AM218" s="198"/>
      <c r="AN218" s="203"/>
      <c r="AO218" s="208"/>
      <c r="AP218" s="201">
        <f t="shared" si="295"/>
        <v>487872</v>
      </c>
      <c r="AQ218" s="201">
        <f t="shared" si="296"/>
        <v>0</v>
      </c>
      <c r="AR218" s="201">
        <f t="shared" si="297"/>
        <v>487872</v>
      </c>
      <c r="AS218" s="201">
        <f t="shared" si="298"/>
        <v>100</v>
      </c>
      <c r="AT218" s="201">
        <v>487872</v>
      </c>
      <c r="AU218" s="223"/>
      <c r="AV218" s="201">
        <f t="shared" si="299"/>
        <v>487872</v>
      </c>
      <c r="AW218" s="201">
        <f t="shared" si="300"/>
        <v>0</v>
      </c>
      <c r="AX218" s="201">
        <f t="shared" si="301"/>
        <v>100</v>
      </c>
      <c r="AY218" s="208"/>
      <c r="AZ218" s="201">
        <f t="shared" si="302"/>
        <v>0</v>
      </c>
      <c r="BA218" s="201">
        <f t="shared" si="303"/>
        <v>0</v>
      </c>
      <c r="BB218" s="201">
        <f t="shared" si="324"/>
        <v>0</v>
      </c>
      <c r="BC218" s="201"/>
      <c r="BD218" s="209">
        <v>0</v>
      </c>
      <c r="BE218" s="201">
        <f t="shared" si="325"/>
        <v>0</v>
      </c>
      <c r="BF218" s="208"/>
      <c r="BG218" s="201">
        <f t="shared" ref="BG218:BH233" si="327">+AP218+AZ218</f>
        <v>487872</v>
      </c>
      <c r="BH218" s="201">
        <f t="shared" si="327"/>
        <v>0</v>
      </c>
      <c r="BI218" s="201">
        <f t="shared" si="307"/>
        <v>487872</v>
      </c>
      <c r="BJ218" s="201">
        <f t="shared" si="276"/>
        <v>100</v>
      </c>
      <c r="BK218" s="210">
        <v>7</v>
      </c>
      <c r="BL218" s="210">
        <v>100</v>
      </c>
      <c r="BM218" s="211"/>
      <c r="BN218" s="211"/>
      <c r="BO218" s="212">
        <f t="shared" si="308"/>
        <v>0</v>
      </c>
      <c r="BP218" s="201">
        <f t="shared" si="309"/>
        <v>0</v>
      </c>
      <c r="BQ218" s="201">
        <f t="shared" si="318"/>
        <v>0</v>
      </c>
      <c r="BR218" s="201">
        <f t="shared" ref="BR218:BS233" si="328">+AJ218-AT218</f>
        <v>0</v>
      </c>
      <c r="BS218" s="201">
        <f t="shared" si="328"/>
        <v>0</v>
      </c>
      <c r="BT218" s="201">
        <f t="shared" si="319"/>
        <v>0</v>
      </c>
      <c r="BU218" s="213">
        <f t="shared" si="313"/>
        <v>0</v>
      </c>
      <c r="BV218" s="201"/>
      <c r="BW218" s="201"/>
      <c r="BX218" s="201">
        <f t="shared" si="320"/>
        <v>0</v>
      </c>
      <c r="BY218" s="199">
        <v>35000</v>
      </c>
      <c r="BZ218" s="199">
        <v>150000</v>
      </c>
      <c r="CA218" s="199">
        <v>260000</v>
      </c>
      <c r="CB218" s="199">
        <v>55000</v>
      </c>
      <c r="CC218" s="199"/>
      <c r="CD218" s="199"/>
      <c r="CE218" s="199"/>
      <c r="CF218" s="199"/>
      <c r="CG218" s="199"/>
      <c r="CH218" s="199"/>
      <c r="CI218" s="199"/>
      <c r="CJ218" s="199"/>
      <c r="CK218" s="214"/>
      <c r="CL218" s="214"/>
      <c r="CM218" s="211">
        <v>191</v>
      </c>
      <c r="CN218" s="215"/>
      <c r="CO218" s="215">
        <v>100</v>
      </c>
      <c r="CP218" s="216"/>
      <c r="CQ218" s="217"/>
      <c r="CR218" s="211"/>
      <c r="CS218" s="218"/>
      <c r="CT218" s="218"/>
      <c r="CU218" s="218"/>
      <c r="CV218" s="211"/>
      <c r="CW218" s="211"/>
      <c r="CX218" s="211"/>
      <c r="CY218" s="211"/>
      <c r="CZ218" s="211"/>
      <c r="DA218" s="211"/>
      <c r="DB218" s="211"/>
      <c r="DC218" s="219"/>
      <c r="DD218" s="219"/>
      <c r="DE218" s="219"/>
      <c r="DF218" s="211"/>
      <c r="DG218" s="211"/>
      <c r="DH218" s="211"/>
      <c r="DI218" s="211"/>
      <c r="DJ218" s="211"/>
      <c r="DK218" s="220" t="s">
        <v>70</v>
      </c>
      <c r="DT218" s="222"/>
    </row>
    <row r="219" spans="1:124" s="176" customFormat="1" ht="42" x14ac:dyDescent="0.2">
      <c r="A219" s="195" t="s">
        <v>108</v>
      </c>
      <c r="B219" s="197" t="s">
        <v>649</v>
      </c>
      <c r="C219" s="198">
        <v>1</v>
      </c>
      <c r="D219" s="199">
        <v>500000</v>
      </c>
      <c r="E219" s="198" t="s">
        <v>229</v>
      </c>
      <c r="F219" s="198" t="s">
        <v>230</v>
      </c>
      <c r="G219" s="198" t="s">
        <v>98</v>
      </c>
      <c r="H219" s="200">
        <v>1</v>
      </c>
      <c r="I219" s="199">
        <f t="shared" si="282"/>
        <v>494000</v>
      </c>
      <c r="J219" s="199">
        <f t="shared" si="283"/>
        <v>6000</v>
      </c>
      <c r="K219" s="199">
        <f t="shared" si="284"/>
        <v>500000</v>
      </c>
      <c r="L219" s="199">
        <f t="shared" si="323"/>
        <v>494000</v>
      </c>
      <c r="M219" s="199">
        <v>6000</v>
      </c>
      <c r="N219" s="199">
        <f t="shared" si="285"/>
        <v>500000</v>
      </c>
      <c r="O219" s="199"/>
      <c r="P219" s="201">
        <v>0</v>
      </c>
      <c r="Q219" s="202">
        <v>1325</v>
      </c>
      <c r="R219" s="203">
        <v>45680</v>
      </c>
      <c r="S219" s="199">
        <v>493020</v>
      </c>
      <c r="T219" s="199"/>
      <c r="U219" s="204">
        <f t="shared" si="286"/>
        <v>493020</v>
      </c>
      <c r="V219" s="205"/>
      <c r="W219" s="200"/>
      <c r="X219" s="201"/>
      <c r="Y219" s="201"/>
      <c r="Z219" s="201">
        <f t="shared" si="287"/>
        <v>0</v>
      </c>
      <c r="AA219" s="198"/>
      <c r="AB219" s="206"/>
      <c r="AC219" s="207"/>
      <c r="AD219" s="201"/>
      <c r="AE219" s="204">
        <f t="shared" si="288"/>
        <v>0</v>
      </c>
      <c r="AF219" s="203">
        <f t="shared" si="289"/>
        <v>45680</v>
      </c>
      <c r="AG219" s="201">
        <f t="shared" si="290"/>
        <v>493020</v>
      </c>
      <c r="AH219" s="199">
        <f t="shared" si="291"/>
        <v>0</v>
      </c>
      <c r="AI219" s="199">
        <f t="shared" si="292"/>
        <v>493020</v>
      </c>
      <c r="AJ219" s="201">
        <f t="shared" si="326"/>
        <v>493020</v>
      </c>
      <c r="AK219" s="201">
        <f t="shared" si="326"/>
        <v>0</v>
      </c>
      <c r="AL219" s="201">
        <f t="shared" si="294"/>
        <v>493020</v>
      </c>
      <c r="AM219" s="198"/>
      <c r="AN219" s="203"/>
      <c r="AO219" s="208"/>
      <c r="AP219" s="201">
        <f t="shared" si="295"/>
        <v>0</v>
      </c>
      <c r="AQ219" s="201">
        <f t="shared" si="296"/>
        <v>493020</v>
      </c>
      <c r="AR219" s="201">
        <f t="shared" si="297"/>
        <v>493020</v>
      </c>
      <c r="AS219" s="201">
        <f t="shared" si="298"/>
        <v>100</v>
      </c>
      <c r="AT219" s="201"/>
      <c r="AU219" s="223">
        <v>493020</v>
      </c>
      <c r="AV219" s="201">
        <f t="shared" si="299"/>
        <v>493020</v>
      </c>
      <c r="AW219" s="201">
        <f t="shared" si="300"/>
        <v>0</v>
      </c>
      <c r="AX219" s="201">
        <f t="shared" si="301"/>
        <v>100</v>
      </c>
      <c r="AY219" s="208"/>
      <c r="AZ219" s="201">
        <f t="shared" si="302"/>
        <v>0</v>
      </c>
      <c r="BA219" s="201">
        <f t="shared" si="303"/>
        <v>0</v>
      </c>
      <c r="BB219" s="201">
        <f t="shared" si="324"/>
        <v>0</v>
      </c>
      <c r="BC219" s="201"/>
      <c r="BD219" s="209">
        <v>0</v>
      </c>
      <c r="BE219" s="201">
        <f t="shared" si="325"/>
        <v>0</v>
      </c>
      <c r="BF219" s="208"/>
      <c r="BG219" s="201">
        <f t="shared" si="327"/>
        <v>0</v>
      </c>
      <c r="BH219" s="201">
        <f t="shared" si="327"/>
        <v>493020</v>
      </c>
      <c r="BI219" s="201">
        <f t="shared" si="307"/>
        <v>493020</v>
      </c>
      <c r="BJ219" s="201">
        <f t="shared" si="276"/>
        <v>100</v>
      </c>
      <c r="BK219" s="210">
        <v>7</v>
      </c>
      <c r="BL219" s="210">
        <v>0</v>
      </c>
      <c r="BM219" s="211"/>
      <c r="BN219" s="211"/>
      <c r="BO219" s="212">
        <f t="shared" si="308"/>
        <v>493020</v>
      </c>
      <c r="BP219" s="201">
        <f t="shared" si="309"/>
        <v>-493020</v>
      </c>
      <c r="BQ219" s="201">
        <f t="shared" si="318"/>
        <v>0</v>
      </c>
      <c r="BR219" s="201">
        <f t="shared" si="328"/>
        <v>493020</v>
      </c>
      <c r="BS219" s="201">
        <f t="shared" si="328"/>
        <v>-493020</v>
      </c>
      <c r="BT219" s="201">
        <f t="shared" si="319"/>
        <v>0</v>
      </c>
      <c r="BU219" s="213">
        <f t="shared" si="313"/>
        <v>0</v>
      </c>
      <c r="BV219" s="201"/>
      <c r="BW219" s="201"/>
      <c r="BX219" s="201">
        <f t="shared" si="320"/>
        <v>0</v>
      </c>
      <c r="BY219" s="199">
        <v>35000</v>
      </c>
      <c r="BZ219" s="199">
        <v>150000</v>
      </c>
      <c r="CA219" s="199">
        <v>260000</v>
      </c>
      <c r="CB219" s="199">
        <v>55000</v>
      </c>
      <c r="CC219" s="199"/>
      <c r="CD219" s="199"/>
      <c r="CE219" s="199"/>
      <c r="CF219" s="199"/>
      <c r="CG219" s="199"/>
      <c r="CH219" s="199"/>
      <c r="CI219" s="199"/>
      <c r="CJ219" s="199"/>
      <c r="CK219" s="214"/>
      <c r="CL219" s="214"/>
      <c r="CM219" s="211">
        <v>191</v>
      </c>
      <c r="CN219" s="215"/>
      <c r="CO219" s="215">
        <v>100</v>
      </c>
      <c r="CP219" s="216"/>
      <c r="CQ219" s="217"/>
      <c r="CR219" s="211"/>
      <c r="CS219" s="218"/>
      <c r="CT219" s="218"/>
      <c r="CU219" s="218"/>
      <c r="CV219" s="211"/>
      <c r="CW219" s="211"/>
      <c r="CX219" s="211"/>
      <c r="CY219" s="211"/>
      <c r="CZ219" s="211"/>
      <c r="DA219" s="211"/>
      <c r="DB219" s="211"/>
      <c r="DC219" s="219"/>
      <c r="DD219" s="219"/>
      <c r="DE219" s="219"/>
      <c r="DF219" s="211"/>
      <c r="DG219" s="211"/>
      <c r="DH219" s="211"/>
      <c r="DI219" s="211"/>
      <c r="DJ219" s="211"/>
      <c r="DK219" s="220" t="s">
        <v>70</v>
      </c>
      <c r="DT219" s="222"/>
    </row>
    <row r="220" spans="1:124" s="176" customFormat="1" x14ac:dyDescent="0.2">
      <c r="A220" s="195" t="s">
        <v>108</v>
      </c>
      <c r="B220" s="197" t="s">
        <v>650</v>
      </c>
      <c r="C220" s="198">
        <v>1</v>
      </c>
      <c r="D220" s="199">
        <v>63000</v>
      </c>
      <c r="E220" s="198"/>
      <c r="F220" s="198"/>
      <c r="G220" s="198" t="s">
        <v>98</v>
      </c>
      <c r="H220" s="200">
        <v>1</v>
      </c>
      <c r="I220" s="199">
        <f>+L220</f>
        <v>0</v>
      </c>
      <c r="J220" s="199">
        <f>+O220+M220+P220</f>
        <v>63000</v>
      </c>
      <c r="K220" s="199">
        <f>I220+J220</f>
        <v>63000</v>
      </c>
      <c r="L220" s="199"/>
      <c r="M220" s="199">
        <v>63000</v>
      </c>
      <c r="N220" s="199">
        <f>L220+M220</f>
        <v>63000</v>
      </c>
      <c r="O220" s="199"/>
      <c r="P220" s="201">
        <v>0</v>
      </c>
      <c r="Q220" s="202">
        <v>1058</v>
      </c>
      <c r="R220" s="203">
        <v>45566</v>
      </c>
      <c r="S220" s="199"/>
      <c r="T220" s="199">
        <v>63000</v>
      </c>
      <c r="U220" s="204">
        <f>S220+T220</f>
        <v>63000</v>
      </c>
      <c r="V220" s="205">
        <v>40</v>
      </c>
      <c r="W220" s="200">
        <v>45568</v>
      </c>
      <c r="X220" s="201"/>
      <c r="Y220" s="201">
        <v>-63000</v>
      </c>
      <c r="Z220" s="201">
        <f>X220+Y220</f>
        <v>-63000</v>
      </c>
      <c r="AA220" s="198">
        <v>1058</v>
      </c>
      <c r="AB220" s="206">
        <v>45659</v>
      </c>
      <c r="AC220" s="207"/>
      <c r="AD220" s="201">
        <f>8538+8584+6000+6000+6000+6000</f>
        <v>41122</v>
      </c>
      <c r="AE220" s="204">
        <f>AC220+AD220</f>
        <v>41122</v>
      </c>
      <c r="AF220" s="203">
        <f>+R220</f>
        <v>45566</v>
      </c>
      <c r="AG220" s="201">
        <f>+AJ220</f>
        <v>0</v>
      </c>
      <c r="AH220" s="199">
        <f>+AK220+AO220</f>
        <v>41122</v>
      </c>
      <c r="AI220" s="199">
        <f>AG220+AH220</f>
        <v>41122</v>
      </c>
      <c r="AJ220" s="201">
        <f t="shared" si="326"/>
        <v>0</v>
      </c>
      <c r="AK220" s="201">
        <f t="shared" si="326"/>
        <v>41122</v>
      </c>
      <c r="AL220" s="201">
        <f>SUM(AJ220:AK220)</f>
        <v>41122</v>
      </c>
      <c r="AM220" s="198"/>
      <c r="AN220" s="203"/>
      <c r="AO220" s="208"/>
      <c r="AP220" s="201">
        <f>+AT220</f>
        <v>0</v>
      </c>
      <c r="AQ220" s="201">
        <f>+AU220+AY220</f>
        <v>16219.2</v>
      </c>
      <c r="AR220" s="201">
        <f>SUM(AP220:AQ220)</f>
        <v>16219.2</v>
      </c>
      <c r="AS220" s="201">
        <f>IF(AI220= 0,0,(AR220*100/AI220))</f>
        <v>39.44166139779194</v>
      </c>
      <c r="AT220" s="201"/>
      <c r="AU220" s="209">
        <v>16219.2</v>
      </c>
      <c r="AV220" s="201">
        <f>SUM(AT220:AU220)</f>
        <v>16219.2</v>
      </c>
      <c r="AW220" s="201">
        <f t="shared" si="300"/>
        <v>0</v>
      </c>
      <c r="AX220" s="201">
        <f>IF(AL220= 0,0,(AV220*100/AL220))</f>
        <v>39.44166139779194</v>
      </c>
      <c r="AY220" s="208"/>
      <c r="AZ220" s="201">
        <f>+BC220</f>
        <v>0</v>
      </c>
      <c r="BA220" s="201">
        <f>+BD220+BF220</f>
        <v>0</v>
      </c>
      <c r="BB220" s="201">
        <f>SUM(AZ220:BA220)</f>
        <v>0</v>
      </c>
      <c r="BC220" s="201"/>
      <c r="BD220" s="209">
        <v>0</v>
      </c>
      <c r="BE220" s="201">
        <f>SUM(BC220:BD220)</f>
        <v>0</v>
      </c>
      <c r="BF220" s="208"/>
      <c r="BG220" s="201">
        <f t="shared" si="327"/>
        <v>0</v>
      </c>
      <c r="BH220" s="201">
        <f t="shared" si="327"/>
        <v>16219.2</v>
      </c>
      <c r="BI220" s="201">
        <f>SUM(BG220:BH220)</f>
        <v>16219.2</v>
      </c>
      <c r="BJ220" s="201">
        <f>+BI220*100/AI220</f>
        <v>39.44166139779194</v>
      </c>
      <c r="BK220" s="210"/>
      <c r="BL220" s="210">
        <v>30</v>
      </c>
      <c r="BM220" s="211"/>
      <c r="BN220" s="211"/>
      <c r="BO220" s="212">
        <f>+BR220</f>
        <v>0</v>
      </c>
      <c r="BP220" s="201">
        <f>+BS220+BU220</f>
        <v>24902.799999999999</v>
      </c>
      <c r="BQ220" s="201">
        <f>SUM(BO220:BP220)</f>
        <v>24902.799999999999</v>
      </c>
      <c r="BR220" s="201">
        <f t="shared" si="328"/>
        <v>0</v>
      </c>
      <c r="BS220" s="201">
        <f t="shared" si="328"/>
        <v>24902.799999999999</v>
      </c>
      <c r="BT220" s="201">
        <f>SUM(BR220:BS220)</f>
        <v>24902.799999999999</v>
      </c>
      <c r="BU220" s="213">
        <f t="shared" si="313"/>
        <v>0</v>
      </c>
      <c r="BV220" s="201">
        <v>63000</v>
      </c>
      <c r="BW220" s="201"/>
      <c r="BX220" s="201">
        <f>SUM(BV220:BW220)</f>
        <v>63000</v>
      </c>
      <c r="BY220" s="199">
        <v>4410</v>
      </c>
      <c r="BZ220" s="199">
        <v>18900</v>
      </c>
      <c r="CA220" s="199">
        <v>32760</v>
      </c>
      <c r="CB220" s="199">
        <v>6930</v>
      </c>
      <c r="CC220" s="199"/>
      <c r="CD220" s="199"/>
      <c r="CE220" s="199"/>
      <c r="CF220" s="199"/>
      <c r="CG220" s="199"/>
      <c r="CH220" s="199"/>
      <c r="CI220" s="199"/>
      <c r="CJ220" s="199"/>
      <c r="CK220" s="214" t="s">
        <v>651</v>
      </c>
      <c r="CL220" s="214" t="s">
        <v>610</v>
      </c>
      <c r="CM220" s="211">
        <v>198</v>
      </c>
      <c r="CN220" s="215"/>
      <c r="CO220" s="215"/>
      <c r="CP220" s="216"/>
      <c r="CQ220" s="217"/>
      <c r="CR220" s="211"/>
      <c r="CS220" s="218"/>
      <c r="CT220" s="218"/>
      <c r="CU220" s="218"/>
      <c r="CV220" s="211"/>
      <c r="CW220" s="211"/>
      <c r="CX220" s="211"/>
      <c r="CY220" s="211"/>
      <c r="CZ220" s="211"/>
      <c r="DA220" s="211"/>
      <c r="DB220" s="211"/>
      <c r="DC220" s="219"/>
      <c r="DD220" s="219"/>
      <c r="DE220" s="219"/>
      <c r="DF220" s="211"/>
      <c r="DG220" s="211"/>
      <c r="DH220" s="211"/>
      <c r="DI220" s="211"/>
      <c r="DJ220" s="211"/>
      <c r="DK220" s="220" t="s">
        <v>32</v>
      </c>
      <c r="DT220" s="222"/>
    </row>
    <row r="221" spans="1:124" s="176" customFormat="1" ht="42" x14ac:dyDescent="0.2">
      <c r="A221" s="195" t="s">
        <v>108</v>
      </c>
      <c r="B221" s="197" t="s">
        <v>652</v>
      </c>
      <c r="C221" s="198">
        <v>1</v>
      </c>
      <c r="D221" s="199">
        <v>9980000</v>
      </c>
      <c r="E221" s="198" t="s">
        <v>653</v>
      </c>
      <c r="F221" s="198" t="s">
        <v>106</v>
      </c>
      <c r="G221" s="198" t="s">
        <v>98</v>
      </c>
      <c r="H221" s="200">
        <v>1</v>
      </c>
      <c r="I221" s="199">
        <f>+L221</f>
        <v>0</v>
      </c>
      <c r="J221" s="199">
        <f>+O221+M221+P221</f>
        <v>9980000</v>
      </c>
      <c r="K221" s="199">
        <f>I221+J221</f>
        <v>9980000</v>
      </c>
      <c r="L221" s="199"/>
      <c r="M221" s="199">
        <v>9980000</v>
      </c>
      <c r="N221" s="199">
        <f>L221+M221</f>
        <v>9980000</v>
      </c>
      <c r="O221" s="199"/>
      <c r="P221" s="201">
        <v>0</v>
      </c>
      <c r="Q221" s="202">
        <v>14</v>
      </c>
      <c r="R221" s="203">
        <v>45566</v>
      </c>
      <c r="S221" s="199"/>
      <c r="T221" s="199">
        <v>9980000</v>
      </c>
      <c r="U221" s="204">
        <f>S221+T221</f>
        <v>9980000</v>
      </c>
      <c r="V221" s="205"/>
      <c r="W221" s="200"/>
      <c r="X221" s="201"/>
      <c r="Y221" s="201">
        <v>-10950</v>
      </c>
      <c r="Z221" s="201">
        <f>X221+Y221</f>
        <v>-10950</v>
      </c>
      <c r="AA221" s="198"/>
      <c r="AB221" s="206"/>
      <c r="AC221" s="207"/>
      <c r="AD221" s="201"/>
      <c r="AE221" s="204">
        <f>AC221+AD221</f>
        <v>0</v>
      </c>
      <c r="AF221" s="203">
        <f>+R221</f>
        <v>45566</v>
      </c>
      <c r="AG221" s="201">
        <f>+AJ221</f>
        <v>0</v>
      </c>
      <c r="AH221" s="199">
        <f>+AK221+AO221</f>
        <v>9969050</v>
      </c>
      <c r="AI221" s="199">
        <f>AG221+AH221</f>
        <v>9969050</v>
      </c>
      <c r="AJ221" s="201">
        <f t="shared" si="326"/>
        <v>0</v>
      </c>
      <c r="AK221" s="201">
        <f t="shared" si="326"/>
        <v>9969050</v>
      </c>
      <c r="AL221" s="201">
        <f>SUM(AJ221:AK221)</f>
        <v>9969050</v>
      </c>
      <c r="AM221" s="198"/>
      <c r="AN221" s="203"/>
      <c r="AO221" s="208"/>
      <c r="AP221" s="201">
        <f>+AT221</f>
        <v>0</v>
      </c>
      <c r="AQ221" s="201">
        <f>+AU221+AY221</f>
        <v>3687423.49</v>
      </c>
      <c r="AR221" s="201">
        <f>SUM(AP221:AQ221)</f>
        <v>3687423.49</v>
      </c>
      <c r="AS221" s="201">
        <f>IF(AI221= 0,0,(AR221*100/AI221))</f>
        <v>36.988714972840945</v>
      </c>
      <c r="AT221" s="201"/>
      <c r="AU221" s="209">
        <v>3687423.49</v>
      </c>
      <c r="AV221" s="201">
        <f>SUM(AT221:AU221)</f>
        <v>3687423.49</v>
      </c>
      <c r="AW221" s="201">
        <f t="shared" si="300"/>
        <v>7.5232845657309371</v>
      </c>
      <c r="AX221" s="201">
        <f>IF(AL221= 0,0,(AV221*100/AL221))</f>
        <v>36.988714972840945</v>
      </c>
      <c r="AY221" s="208"/>
      <c r="AZ221" s="201">
        <f>+BC221</f>
        <v>0</v>
      </c>
      <c r="BA221" s="201">
        <f>+BD221+BF221</f>
        <v>5579720</v>
      </c>
      <c r="BB221" s="201">
        <f>SUM(AZ221:BA221)</f>
        <v>5579720</v>
      </c>
      <c r="BC221" s="201"/>
      <c r="BD221" s="209">
        <v>5579720</v>
      </c>
      <c r="BE221" s="201">
        <f>SUM(BC221:BD221)</f>
        <v>5579720</v>
      </c>
      <c r="BF221" s="208"/>
      <c r="BG221" s="201">
        <f t="shared" si="327"/>
        <v>0</v>
      </c>
      <c r="BH221" s="201">
        <f t="shared" si="327"/>
        <v>9267143.4900000002</v>
      </c>
      <c r="BI221" s="201">
        <f>SUM(BG221:BH221)</f>
        <v>9267143.4900000002</v>
      </c>
      <c r="BJ221" s="201">
        <f>+BI221*100/AI221</f>
        <v>92.959143448974572</v>
      </c>
      <c r="BK221" s="201">
        <v>10</v>
      </c>
      <c r="BL221" s="210">
        <v>70</v>
      </c>
      <c r="BM221" s="211"/>
      <c r="BN221" s="211"/>
      <c r="BO221" s="212">
        <f>+BR221</f>
        <v>0</v>
      </c>
      <c r="BP221" s="201">
        <f>+BS221+BU221</f>
        <v>6281626.5099999998</v>
      </c>
      <c r="BQ221" s="201">
        <f>SUM(BO221:BP221)</f>
        <v>6281626.5099999998</v>
      </c>
      <c r="BR221" s="201">
        <f t="shared" si="328"/>
        <v>0</v>
      </c>
      <c r="BS221" s="201">
        <f t="shared" si="328"/>
        <v>6281626.5099999998</v>
      </c>
      <c r="BT221" s="201">
        <f>SUM(BR221:BS221)</f>
        <v>6281626.5099999998</v>
      </c>
      <c r="BU221" s="213">
        <f t="shared" si="313"/>
        <v>0</v>
      </c>
      <c r="BV221" s="201">
        <v>10950</v>
      </c>
      <c r="BW221" s="201"/>
      <c r="BX221" s="201">
        <f>SUM(BV221:BW221)</f>
        <v>10950</v>
      </c>
      <c r="BY221" s="199">
        <v>1050000</v>
      </c>
      <c r="BZ221" s="199">
        <v>1010000</v>
      </c>
      <c r="CA221" s="199">
        <v>1020000</v>
      </c>
      <c r="CB221" s="199">
        <v>960000</v>
      </c>
      <c r="CC221" s="199">
        <v>900000</v>
      </c>
      <c r="CD221" s="199">
        <v>520000</v>
      </c>
      <c r="CE221" s="199">
        <v>1040000</v>
      </c>
      <c r="CF221" s="199">
        <v>750000</v>
      </c>
      <c r="CG221" s="199">
        <v>760000</v>
      </c>
      <c r="CH221" s="199">
        <v>650000</v>
      </c>
      <c r="CI221" s="199">
        <v>680000</v>
      </c>
      <c r="CJ221" s="199">
        <v>640000</v>
      </c>
      <c r="CK221" s="214" t="s">
        <v>654</v>
      </c>
      <c r="CL221" s="214" t="s">
        <v>610</v>
      </c>
      <c r="CM221" s="211">
        <v>198</v>
      </c>
      <c r="CN221" s="215"/>
      <c r="CO221" s="215"/>
      <c r="CP221" s="216"/>
      <c r="CQ221" s="217"/>
      <c r="CR221" s="211"/>
      <c r="CS221" s="218"/>
      <c r="CT221" s="218"/>
      <c r="CU221" s="218"/>
      <c r="CV221" s="211"/>
      <c r="CW221" s="211"/>
      <c r="CX221" s="211"/>
      <c r="CY221" s="211"/>
      <c r="CZ221" s="211"/>
      <c r="DA221" s="211"/>
      <c r="DB221" s="211"/>
      <c r="DC221" s="219"/>
      <c r="DD221" s="219"/>
      <c r="DE221" s="219"/>
      <c r="DF221" s="211"/>
      <c r="DG221" s="211"/>
      <c r="DH221" s="211"/>
      <c r="DI221" s="211"/>
      <c r="DJ221" s="211"/>
      <c r="DK221" s="220" t="s">
        <v>32</v>
      </c>
      <c r="DT221" s="222"/>
    </row>
    <row r="222" spans="1:124" s="176" customFormat="1" ht="42" x14ac:dyDescent="0.2">
      <c r="A222" s="294" t="s">
        <v>94</v>
      </c>
      <c r="B222" s="197" t="s">
        <v>655</v>
      </c>
      <c r="C222" s="198">
        <v>1</v>
      </c>
      <c r="D222" s="199">
        <v>740000</v>
      </c>
      <c r="E222" s="198" t="s">
        <v>159</v>
      </c>
      <c r="F222" s="198" t="s">
        <v>111</v>
      </c>
      <c r="G222" s="198" t="s">
        <v>98</v>
      </c>
      <c r="H222" s="200">
        <v>1</v>
      </c>
      <c r="I222" s="199">
        <f>+L222</f>
        <v>0</v>
      </c>
      <c r="J222" s="199">
        <f>+O222+M222+P222</f>
        <v>740000</v>
      </c>
      <c r="K222" s="199">
        <f>I222+J222</f>
        <v>740000</v>
      </c>
      <c r="L222" s="199"/>
      <c r="M222" s="199">
        <v>740000</v>
      </c>
      <c r="N222" s="199">
        <f>L222+M222</f>
        <v>740000</v>
      </c>
      <c r="O222" s="199"/>
      <c r="P222" s="201">
        <v>0</v>
      </c>
      <c r="Q222" s="202">
        <v>14</v>
      </c>
      <c r="R222" s="203">
        <v>45566</v>
      </c>
      <c r="S222" s="199"/>
      <c r="T222" s="199">
        <v>740000</v>
      </c>
      <c r="U222" s="204">
        <f>S222+T222</f>
        <v>740000</v>
      </c>
      <c r="V222" s="205"/>
      <c r="W222" s="200"/>
      <c r="X222" s="201"/>
      <c r="Y222" s="201"/>
      <c r="Z222" s="201">
        <f>X222+Y222</f>
        <v>0</v>
      </c>
      <c r="AA222" s="198"/>
      <c r="AB222" s="206"/>
      <c r="AC222" s="207"/>
      <c r="AD222" s="201"/>
      <c r="AE222" s="204">
        <f>AC222+AD222</f>
        <v>0</v>
      </c>
      <c r="AF222" s="203">
        <f>+R222</f>
        <v>45566</v>
      </c>
      <c r="AG222" s="201">
        <f>+AJ222</f>
        <v>0</v>
      </c>
      <c r="AH222" s="201">
        <f>+AK222+AO222</f>
        <v>740000</v>
      </c>
      <c r="AI222" s="199">
        <f>AG222+AH222</f>
        <v>740000</v>
      </c>
      <c r="AJ222" s="201">
        <f t="shared" si="326"/>
        <v>0</v>
      </c>
      <c r="AK222" s="201">
        <f t="shared" si="326"/>
        <v>740000</v>
      </c>
      <c r="AL222" s="201">
        <f>SUM(AJ222:AK222)</f>
        <v>740000</v>
      </c>
      <c r="AM222" s="198"/>
      <c r="AN222" s="203"/>
      <c r="AO222" s="208"/>
      <c r="AP222" s="201">
        <f>+AT222</f>
        <v>0</v>
      </c>
      <c r="AQ222" s="201">
        <f>+AU222+AY222</f>
        <v>441700</v>
      </c>
      <c r="AR222" s="201">
        <f>SUM(AP222:AQ222)</f>
        <v>441700</v>
      </c>
      <c r="AS222" s="201">
        <f>IF(AI222= 0,0,(AR222*100/AI222))</f>
        <v>59.689189189189186</v>
      </c>
      <c r="AT222" s="201"/>
      <c r="AU222" s="209">
        <v>441700</v>
      </c>
      <c r="AV222" s="201">
        <f>SUM(AT222:AU222)</f>
        <v>441700</v>
      </c>
      <c r="AW222" s="201">
        <f t="shared" si="300"/>
        <v>8.1081081081081088</v>
      </c>
      <c r="AX222" s="201">
        <f>IF(AL222= 0,0,(AV222*100/AL222))</f>
        <v>59.689189189189186</v>
      </c>
      <c r="AY222" s="208"/>
      <c r="AZ222" s="201">
        <f>+BC222</f>
        <v>0</v>
      </c>
      <c r="BA222" s="201">
        <f>+BD222+BF222</f>
        <v>0</v>
      </c>
      <c r="BB222" s="201">
        <f>SUM(AZ222:BA222)</f>
        <v>0</v>
      </c>
      <c r="BC222" s="201"/>
      <c r="BD222" s="209"/>
      <c r="BE222" s="201">
        <f>SUM(BC222:BD222)</f>
        <v>0</v>
      </c>
      <c r="BF222" s="208"/>
      <c r="BG222" s="201">
        <f t="shared" si="327"/>
        <v>0</v>
      </c>
      <c r="BH222" s="201">
        <f t="shared" si="327"/>
        <v>441700</v>
      </c>
      <c r="BI222" s="201">
        <f>SUM(BG222:BH222)</f>
        <v>441700</v>
      </c>
      <c r="BJ222" s="201">
        <f>+BI222*100/AI222</f>
        <v>59.689189189189186</v>
      </c>
      <c r="BK222" s="201">
        <v>5</v>
      </c>
      <c r="BL222" s="210">
        <v>40</v>
      </c>
      <c r="BM222" s="211"/>
      <c r="BN222" s="211"/>
      <c r="BO222" s="212">
        <f>+BR222</f>
        <v>0</v>
      </c>
      <c r="BP222" s="201">
        <f>+BS222+BU222</f>
        <v>298300</v>
      </c>
      <c r="BQ222" s="201">
        <f>SUM(BO222:BP222)</f>
        <v>298300</v>
      </c>
      <c r="BR222" s="201">
        <f t="shared" si="328"/>
        <v>0</v>
      </c>
      <c r="BS222" s="201">
        <f t="shared" si="328"/>
        <v>298300</v>
      </c>
      <c r="BT222" s="201">
        <f>SUM(BR222:BS222)</f>
        <v>298300</v>
      </c>
      <c r="BU222" s="213">
        <f t="shared" si="313"/>
        <v>0</v>
      </c>
      <c r="BV222" s="201"/>
      <c r="BW222" s="201"/>
      <c r="BX222" s="201">
        <f>SUM(BV222:BW222)</f>
        <v>0</v>
      </c>
      <c r="BY222" s="199">
        <v>65000</v>
      </c>
      <c r="BZ222" s="199">
        <v>65000</v>
      </c>
      <c r="CA222" s="199">
        <v>65000</v>
      </c>
      <c r="CB222" s="199">
        <v>65000</v>
      </c>
      <c r="CC222" s="199">
        <v>65000</v>
      </c>
      <c r="CD222" s="199">
        <v>65000</v>
      </c>
      <c r="CE222" s="199">
        <v>60000</v>
      </c>
      <c r="CF222" s="199">
        <v>60000</v>
      </c>
      <c r="CG222" s="199">
        <v>60000</v>
      </c>
      <c r="CH222" s="199">
        <v>60000</v>
      </c>
      <c r="CI222" s="199">
        <v>50000</v>
      </c>
      <c r="CJ222" s="199">
        <v>60000</v>
      </c>
      <c r="CK222" s="214" t="s">
        <v>656</v>
      </c>
      <c r="CL222" s="214" t="s">
        <v>610</v>
      </c>
      <c r="CM222" s="211">
        <v>198</v>
      </c>
      <c r="CN222" s="215"/>
      <c r="CO222" s="215"/>
      <c r="CP222" s="216"/>
      <c r="CQ222" s="217"/>
      <c r="CR222" s="211"/>
      <c r="CS222" s="218"/>
      <c r="CT222" s="218"/>
      <c r="CU222" s="218"/>
      <c r="CV222" s="211"/>
      <c r="CW222" s="211"/>
      <c r="CX222" s="211"/>
      <c r="CY222" s="211"/>
      <c r="CZ222" s="211"/>
      <c r="DA222" s="211"/>
      <c r="DB222" s="211"/>
      <c r="DC222" s="219"/>
      <c r="DD222" s="219"/>
      <c r="DE222" s="219"/>
      <c r="DF222" s="211"/>
      <c r="DG222" s="211"/>
      <c r="DH222" s="211"/>
      <c r="DI222" s="211"/>
      <c r="DJ222" s="211"/>
      <c r="DK222" s="220" t="s">
        <v>32</v>
      </c>
      <c r="DT222" s="222"/>
    </row>
    <row r="223" spans="1:124" s="176" customFormat="1" ht="42" x14ac:dyDescent="0.2">
      <c r="A223" s="195" t="s">
        <v>108</v>
      </c>
      <c r="B223" s="197" t="s">
        <v>657</v>
      </c>
      <c r="C223" s="198">
        <v>1</v>
      </c>
      <c r="D223" s="199">
        <v>600000</v>
      </c>
      <c r="E223" s="198" t="s">
        <v>653</v>
      </c>
      <c r="F223" s="198" t="s">
        <v>106</v>
      </c>
      <c r="G223" s="198" t="s">
        <v>98</v>
      </c>
      <c r="H223" s="200">
        <v>1</v>
      </c>
      <c r="I223" s="199">
        <f t="shared" ref="I223:I286" si="329">+L223</f>
        <v>0</v>
      </c>
      <c r="J223" s="199">
        <f t="shared" ref="J223:J286" si="330">+O223+M223+P223</f>
        <v>600000</v>
      </c>
      <c r="K223" s="199">
        <f t="shared" ref="K223:K286" si="331">I223+J223</f>
        <v>600000</v>
      </c>
      <c r="L223" s="199"/>
      <c r="M223" s="199">
        <v>600000</v>
      </c>
      <c r="N223" s="199">
        <f t="shared" ref="N223:N286" si="332">L223+M223</f>
        <v>600000</v>
      </c>
      <c r="O223" s="199"/>
      <c r="P223" s="201">
        <v>0</v>
      </c>
      <c r="Q223" s="202">
        <v>14</v>
      </c>
      <c r="R223" s="203">
        <v>45566</v>
      </c>
      <c r="S223" s="199"/>
      <c r="T223" s="199">
        <v>600000</v>
      </c>
      <c r="U223" s="204">
        <f t="shared" ref="U223:U286" si="333">S223+T223</f>
        <v>600000</v>
      </c>
      <c r="V223" s="205"/>
      <c r="W223" s="200"/>
      <c r="X223" s="201"/>
      <c r="Y223" s="201"/>
      <c r="Z223" s="201">
        <f t="shared" ref="Z223:Z286" si="334">X223+Y223</f>
        <v>0</v>
      </c>
      <c r="AA223" s="198"/>
      <c r="AB223" s="206"/>
      <c r="AC223" s="207"/>
      <c r="AD223" s="201"/>
      <c r="AE223" s="204">
        <f t="shared" ref="AE223:AE286" si="335">AC223+AD223</f>
        <v>0</v>
      </c>
      <c r="AF223" s="203">
        <f t="shared" ref="AF223:AF286" si="336">+R223</f>
        <v>45566</v>
      </c>
      <c r="AG223" s="201">
        <f t="shared" ref="AG223:AG286" si="337">+AJ223</f>
        <v>0</v>
      </c>
      <c r="AH223" s="199">
        <f t="shared" ref="AH223:AH286" si="338">+AK223+AO223</f>
        <v>600000</v>
      </c>
      <c r="AI223" s="199">
        <f t="shared" ref="AI223:AI286" si="339">AG223+AH223</f>
        <v>600000</v>
      </c>
      <c r="AJ223" s="201">
        <f t="shared" si="326"/>
        <v>0</v>
      </c>
      <c r="AK223" s="201">
        <f t="shared" si="326"/>
        <v>600000</v>
      </c>
      <c r="AL223" s="201">
        <f t="shared" ref="AL223:AL286" si="340">SUM(AJ223:AK223)</f>
        <v>600000</v>
      </c>
      <c r="AM223" s="198"/>
      <c r="AN223" s="203"/>
      <c r="AO223" s="208"/>
      <c r="AP223" s="201">
        <f t="shared" ref="AP223:AP286" si="341">+AT223</f>
        <v>0</v>
      </c>
      <c r="AQ223" s="201">
        <f t="shared" ref="AQ223:AQ286" si="342">+AU223+AY223</f>
        <v>599475.44999999995</v>
      </c>
      <c r="AR223" s="201">
        <f t="shared" ref="AR223:AR286" si="343">SUM(AP223:AQ223)</f>
        <v>599475.44999999995</v>
      </c>
      <c r="AS223" s="201">
        <f t="shared" ref="AS223:AS286" si="344">IF(AI223= 0,0,(AR223*100/AI223))</f>
        <v>99.91257499999999</v>
      </c>
      <c r="AT223" s="201"/>
      <c r="AU223" s="209">
        <v>599475.44999999995</v>
      </c>
      <c r="AV223" s="201">
        <f t="shared" ref="AV223:AV286" si="345">SUM(AT223:AU223)</f>
        <v>599475.44999999995</v>
      </c>
      <c r="AW223" s="201">
        <f t="shared" si="300"/>
        <v>0</v>
      </c>
      <c r="AX223" s="201">
        <f t="shared" ref="AX223:AX286" si="346">IF(AL223= 0,0,(AV223*100/AL223))</f>
        <v>99.91257499999999</v>
      </c>
      <c r="AY223" s="208"/>
      <c r="AZ223" s="201">
        <f t="shared" ref="AZ223:AZ286" si="347">+BC223</f>
        <v>0</v>
      </c>
      <c r="BA223" s="201">
        <f t="shared" ref="BA223:BA286" si="348">+BD223+BF223</f>
        <v>0</v>
      </c>
      <c r="BB223" s="201">
        <f t="shared" ref="BB223:BB286" si="349">SUM(AZ223:BA223)</f>
        <v>0</v>
      </c>
      <c r="BC223" s="201"/>
      <c r="BD223" s="209">
        <v>0</v>
      </c>
      <c r="BE223" s="201">
        <f t="shared" ref="BE223:BE251" si="350">SUM(BC223:BD223)</f>
        <v>0</v>
      </c>
      <c r="BF223" s="208"/>
      <c r="BG223" s="201">
        <f t="shared" si="327"/>
        <v>0</v>
      </c>
      <c r="BH223" s="201">
        <f t="shared" si="327"/>
        <v>599475.44999999995</v>
      </c>
      <c r="BI223" s="201">
        <f t="shared" ref="BI223:BI286" si="351">SUM(BG223:BH223)</f>
        <v>599475.44999999995</v>
      </c>
      <c r="BJ223" s="201">
        <f t="shared" ref="BJ223:BJ286" si="352">+BI223*100/AI223</f>
        <v>99.91257499999999</v>
      </c>
      <c r="BK223" s="210">
        <v>89</v>
      </c>
      <c r="BL223" s="210">
        <v>100</v>
      </c>
      <c r="BM223" s="211"/>
      <c r="BN223" s="211"/>
      <c r="BO223" s="212">
        <f t="shared" ref="BO223:BO286" si="353">+BR223</f>
        <v>0</v>
      </c>
      <c r="BP223" s="201">
        <f t="shared" ref="BP223:BP286" si="354">+BS223+BU223</f>
        <v>524.55000000004657</v>
      </c>
      <c r="BQ223" s="201">
        <f t="shared" ref="BQ223:BQ253" si="355">SUM(BO223:BP223)</f>
        <v>524.55000000004657</v>
      </c>
      <c r="BR223" s="201">
        <f t="shared" si="328"/>
        <v>0</v>
      </c>
      <c r="BS223" s="201">
        <f t="shared" si="328"/>
        <v>524.55000000004657</v>
      </c>
      <c r="BT223" s="201">
        <f t="shared" ref="BT223:BT253" si="356">SUM(BR223:BS223)</f>
        <v>524.55000000004657</v>
      </c>
      <c r="BU223" s="213">
        <f t="shared" si="313"/>
        <v>0</v>
      </c>
      <c r="BV223" s="201"/>
      <c r="BW223" s="201"/>
      <c r="BX223" s="201">
        <f t="shared" ref="BX223:BX253" si="357">SUM(BV223:BW223)</f>
        <v>0</v>
      </c>
      <c r="BY223" s="199">
        <v>42000</v>
      </c>
      <c r="BZ223" s="199">
        <v>180000</v>
      </c>
      <c r="CA223" s="199">
        <v>312000</v>
      </c>
      <c r="CB223" s="199">
        <v>66000</v>
      </c>
      <c r="CC223" s="199"/>
      <c r="CD223" s="199"/>
      <c r="CE223" s="199"/>
      <c r="CF223" s="199"/>
      <c r="CG223" s="199"/>
      <c r="CH223" s="199"/>
      <c r="CI223" s="199"/>
      <c r="CJ223" s="199"/>
      <c r="CK223" s="214" t="s">
        <v>658</v>
      </c>
      <c r="CL223" s="214" t="s">
        <v>610</v>
      </c>
      <c r="CM223" s="211">
        <v>198</v>
      </c>
      <c r="CN223" s="215"/>
      <c r="CO223" s="215">
        <v>2000</v>
      </c>
      <c r="CP223" s="216">
        <v>395</v>
      </c>
      <c r="CQ223" s="217"/>
      <c r="CR223" s="211"/>
      <c r="CS223" s="218"/>
      <c r="CT223" s="218"/>
      <c r="CU223" s="218"/>
      <c r="CV223" s="211"/>
      <c r="CW223" s="211"/>
      <c r="CX223" s="211"/>
      <c r="CY223" s="211"/>
      <c r="CZ223" s="211"/>
      <c r="DA223" s="211"/>
      <c r="DB223" s="211"/>
      <c r="DC223" s="219"/>
      <c r="DD223" s="219"/>
      <c r="DE223" s="219"/>
      <c r="DF223" s="211"/>
      <c r="DG223" s="211"/>
      <c r="DH223" s="211"/>
      <c r="DI223" s="211"/>
      <c r="DJ223" s="211"/>
      <c r="DK223" s="220" t="s">
        <v>32</v>
      </c>
      <c r="DT223" s="222"/>
    </row>
    <row r="224" spans="1:124" s="176" customFormat="1" ht="42" x14ac:dyDescent="0.2">
      <c r="A224" s="195" t="s">
        <v>108</v>
      </c>
      <c r="B224" s="197" t="s">
        <v>659</v>
      </c>
      <c r="C224" s="198">
        <v>1</v>
      </c>
      <c r="D224" s="199">
        <v>990000</v>
      </c>
      <c r="E224" s="198" t="s">
        <v>288</v>
      </c>
      <c r="F224" s="198" t="s">
        <v>285</v>
      </c>
      <c r="G224" s="198" t="s">
        <v>98</v>
      </c>
      <c r="H224" s="200">
        <v>1</v>
      </c>
      <c r="I224" s="199">
        <f t="shared" si="329"/>
        <v>0</v>
      </c>
      <c r="J224" s="199">
        <f t="shared" si="330"/>
        <v>990000</v>
      </c>
      <c r="K224" s="199">
        <f t="shared" si="331"/>
        <v>990000</v>
      </c>
      <c r="L224" s="199"/>
      <c r="M224" s="199">
        <v>990000</v>
      </c>
      <c r="N224" s="199">
        <f t="shared" si="332"/>
        <v>990000</v>
      </c>
      <c r="O224" s="199"/>
      <c r="P224" s="201">
        <v>0</v>
      </c>
      <c r="Q224" s="202">
        <v>14</v>
      </c>
      <c r="R224" s="203">
        <v>45566</v>
      </c>
      <c r="S224" s="199"/>
      <c r="T224" s="199">
        <v>990000</v>
      </c>
      <c r="U224" s="204">
        <f t="shared" si="333"/>
        <v>990000</v>
      </c>
      <c r="V224" s="205"/>
      <c r="W224" s="200"/>
      <c r="X224" s="201"/>
      <c r="Y224" s="201"/>
      <c r="Z224" s="201">
        <f t="shared" si="334"/>
        <v>0</v>
      </c>
      <c r="AA224" s="198"/>
      <c r="AB224" s="206"/>
      <c r="AC224" s="207"/>
      <c r="AD224" s="201"/>
      <c r="AE224" s="204">
        <f t="shared" si="335"/>
        <v>0</v>
      </c>
      <c r="AF224" s="203">
        <f t="shared" si="336"/>
        <v>45566</v>
      </c>
      <c r="AG224" s="201">
        <f t="shared" si="337"/>
        <v>0</v>
      </c>
      <c r="AH224" s="199">
        <f t="shared" si="338"/>
        <v>990000</v>
      </c>
      <c r="AI224" s="199">
        <f t="shared" si="339"/>
        <v>990000</v>
      </c>
      <c r="AJ224" s="201">
        <f t="shared" si="326"/>
        <v>0</v>
      </c>
      <c r="AK224" s="201">
        <f t="shared" si="326"/>
        <v>990000</v>
      </c>
      <c r="AL224" s="201">
        <f t="shared" si="340"/>
        <v>990000</v>
      </c>
      <c r="AM224" s="198"/>
      <c r="AN224" s="203"/>
      <c r="AO224" s="208"/>
      <c r="AP224" s="201">
        <f t="shared" si="341"/>
        <v>0</v>
      </c>
      <c r="AQ224" s="201">
        <f t="shared" si="342"/>
        <v>965309.4</v>
      </c>
      <c r="AR224" s="201">
        <f t="shared" si="343"/>
        <v>965309.4</v>
      </c>
      <c r="AS224" s="201">
        <f t="shared" si="344"/>
        <v>97.506</v>
      </c>
      <c r="AT224" s="201"/>
      <c r="AU224" s="209">
        <v>965309.4</v>
      </c>
      <c r="AV224" s="201">
        <f t="shared" si="345"/>
        <v>965309.4</v>
      </c>
      <c r="AW224" s="201">
        <f t="shared" si="300"/>
        <v>0</v>
      </c>
      <c r="AX224" s="201">
        <f t="shared" si="346"/>
        <v>97.506</v>
      </c>
      <c r="AY224" s="208"/>
      <c r="AZ224" s="201">
        <f t="shared" si="347"/>
        <v>0</v>
      </c>
      <c r="BA224" s="201">
        <f t="shared" si="348"/>
        <v>0</v>
      </c>
      <c r="BB224" s="201">
        <f t="shared" si="349"/>
        <v>0</v>
      </c>
      <c r="BC224" s="201"/>
      <c r="BD224" s="209">
        <v>0</v>
      </c>
      <c r="BE224" s="201">
        <f t="shared" si="350"/>
        <v>0</v>
      </c>
      <c r="BF224" s="208"/>
      <c r="BG224" s="201">
        <f t="shared" si="327"/>
        <v>0</v>
      </c>
      <c r="BH224" s="201">
        <f t="shared" si="327"/>
        <v>965309.4</v>
      </c>
      <c r="BI224" s="201">
        <f t="shared" si="351"/>
        <v>965309.4</v>
      </c>
      <c r="BJ224" s="201">
        <f t="shared" si="352"/>
        <v>97.506</v>
      </c>
      <c r="BK224" s="210">
        <v>89</v>
      </c>
      <c r="BL224" s="210">
        <v>85</v>
      </c>
      <c r="BM224" s="211"/>
      <c r="BN224" s="211"/>
      <c r="BO224" s="212">
        <f t="shared" si="353"/>
        <v>0</v>
      </c>
      <c r="BP224" s="201">
        <f t="shared" si="354"/>
        <v>24690.599999999977</v>
      </c>
      <c r="BQ224" s="201">
        <f t="shared" si="355"/>
        <v>24690.599999999977</v>
      </c>
      <c r="BR224" s="201">
        <f t="shared" si="328"/>
        <v>0</v>
      </c>
      <c r="BS224" s="201">
        <f t="shared" si="328"/>
        <v>24690.599999999977</v>
      </c>
      <c r="BT224" s="201">
        <f t="shared" si="356"/>
        <v>24690.599999999977</v>
      </c>
      <c r="BU224" s="213">
        <f t="shared" si="313"/>
        <v>0</v>
      </c>
      <c r="BV224" s="201"/>
      <c r="BW224" s="201"/>
      <c r="BX224" s="201">
        <f t="shared" si="357"/>
        <v>0</v>
      </c>
      <c r="BY224" s="199">
        <v>69300</v>
      </c>
      <c r="BZ224" s="199">
        <v>297000</v>
      </c>
      <c r="CA224" s="199">
        <v>514800</v>
      </c>
      <c r="CB224" s="199">
        <v>108900</v>
      </c>
      <c r="CC224" s="199"/>
      <c r="CD224" s="199"/>
      <c r="CE224" s="199"/>
      <c r="CF224" s="199"/>
      <c r="CG224" s="199"/>
      <c r="CH224" s="199"/>
      <c r="CI224" s="199"/>
      <c r="CJ224" s="199"/>
      <c r="CK224" s="214" t="s">
        <v>660</v>
      </c>
      <c r="CL224" s="214" t="s">
        <v>610</v>
      </c>
      <c r="CM224" s="211">
        <v>198</v>
      </c>
      <c r="CN224" s="215"/>
      <c r="CO224" s="215">
        <v>100</v>
      </c>
      <c r="CP224" s="216">
        <v>50</v>
      </c>
      <c r="CQ224" s="217"/>
      <c r="CR224" s="211"/>
      <c r="CS224" s="218"/>
      <c r="CT224" s="218"/>
      <c r="CU224" s="218"/>
      <c r="CV224" s="211"/>
      <c r="CW224" s="211"/>
      <c r="CX224" s="211"/>
      <c r="CY224" s="211"/>
      <c r="CZ224" s="211"/>
      <c r="DA224" s="211"/>
      <c r="DB224" s="211"/>
      <c r="DC224" s="219"/>
      <c r="DD224" s="219"/>
      <c r="DE224" s="219"/>
      <c r="DF224" s="211"/>
      <c r="DG224" s="211"/>
      <c r="DH224" s="211"/>
      <c r="DI224" s="211"/>
      <c r="DJ224" s="211"/>
      <c r="DK224" s="220" t="s">
        <v>32</v>
      </c>
      <c r="DT224" s="222"/>
    </row>
    <row r="225" spans="1:124" s="176" customFormat="1" ht="42" x14ac:dyDescent="0.2">
      <c r="A225" s="195" t="s">
        <v>108</v>
      </c>
      <c r="B225" s="197" t="s">
        <v>661</v>
      </c>
      <c r="C225" s="198">
        <v>1</v>
      </c>
      <c r="D225" s="199">
        <v>550000</v>
      </c>
      <c r="E225" s="198" t="s">
        <v>288</v>
      </c>
      <c r="F225" s="198" t="s">
        <v>285</v>
      </c>
      <c r="G225" s="198" t="s">
        <v>98</v>
      </c>
      <c r="H225" s="200">
        <v>1</v>
      </c>
      <c r="I225" s="199">
        <f t="shared" si="329"/>
        <v>0</v>
      </c>
      <c r="J225" s="199">
        <f t="shared" si="330"/>
        <v>550000</v>
      </c>
      <c r="K225" s="199">
        <f t="shared" si="331"/>
        <v>550000</v>
      </c>
      <c r="L225" s="199"/>
      <c r="M225" s="199">
        <v>550000</v>
      </c>
      <c r="N225" s="199">
        <f t="shared" si="332"/>
        <v>550000</v>
      </c>
      <c r="O225" s="199"/>
      <c r="P225" s="201">
        <v>0</v>
      </c>
      <c r="Q225" s="202">
        <v>14</v>
      </c>
      <c r="R225" s="203">
        <v>45566</v>
      </c>
      <c r="S225" s="199"/>
      <c r="T225" s="199">
        <v>550000</v>
      </c>
      <c r="U225" s="204">
        <f t="shared" si="333"/>
        <v>550000</v>
      </c>
      <c r="V225" s="205"/>
      <c r="W225" s="200"/>
      <c r="X225" s="201"/>
      <c r="Y225" s="201"/>
      <c r="Z225" s="201">
        <f t="shared" si="334"/>
        <v>0</v>
      </c>
      <c r="AA225" s="198"/>
      <c r="AB225" s="206"/>
      <c r="AC225" s="207"/>
      <c r="AD225" s="201"/>
      <c r="AE225" s="204">
        <f t="shared" si="335"/>
        <v>0</v>
      </c>
      <c r="AF225" s="203">
        <f t="shared" si="336"/>
        <v>45566</v>
      </c>
      <c r="AG225" s="201">
        <f t="shared" si="337"/>
        <v>0</v>
      </c>
      <c r="AH225" s="199">
        <f t="shared" si="338"/>
        <v>550000</v>
      </c>
      <c r="AI225" s="199">
        <f t="shared" si="339"/>
        <v>550000</v>
      </c>
      <c r="AJ225" s="201">
        <f t="shared" si="326"/>
        <v>0</v>
      </c>
      <c r="AK225" s="201">
        <f t="shared" si="326"/>
        <v>550000</v>
      </c>
      <c r="AL225" s="201">
        <f t="shared" si="340"/>
        <v>550000</v>
      </c>
      <c r="AM225" s="198"/>
      <c r="AN225" s="203"/>
      <c r="AO225" s="208"/>
      <c r="AP225" s="201">
        <f t="shared" si="341"/>
        <v>0</v>
      </c>
      <c r="AQ225" s="201">
        <f t="shared" si="342"/>
        <v>549584.35</v>
      </c>
      <c r="AR225" s="201">
        <f t="shared" si="343"/>
        <v>549584.35</v>
      </c>
      <c r="AS225" s="201">
        <f t="shared" si="344"/>
        <v>99.924427272727272</v>
      </c>
      <c r="AT225" s="201"/>
      <c r="AU225" s="209">
        <v>549584.35</v>
      </c>
      <c r="AV225" s="201">
        <f t="shared" si="345"/>
        <v>549584.35</v>
      </c>
      <c r="AW225" s="201">
        <f t="shared" si="300"/>
        <v>0</v>
      </c>
      <c r="AX225" s="201">
        <f t="shared" si="346"/>
        <v>99.924427272727272</v>
      </c>
      <c r="AY225" s="208"/>
      <c r="AZ225" s="201">
        <f t="shared" si="347"/>
        <v>0</v>
      </c>
      <c r="BA225" s="201">
        <f t="shared" si="348"/>
        <v>0</v>
      </c>
      <c r="BB225" s="201">
        <f t="shared" si="349"/>
        <v>0</v>
      </c>
      <c r="BC225" s="201"/>
      <c r="BD225" s="209">
        <v>0</v>
      </c>
      <c r="BE225" s="201">
        <f t="shared" si="350"/>
        <v>0</v>
      </c>
      <c r="BF225" s="208"/>
      <c r="BG225" s="201">
        <f t="shared" si="327"/>
        <v>0</v>
      </c>
      <c r="BH225" s="201">
        <f t="shared" si="327"/>
        <v>549584.35</v>
      </c>
      <c r="BI225" s="201">
        <f t="shared" si="351"/>
        <v>549584.35</v>
      </c>
      <c r="BJ225" s="201">
        <f t="shared" si="352"/>
        <v>99.924427272727272</v>
      </c>
      <c r="BK225" s="210">
        <v>89</v>
      </c>
      <c r="BL225" s="210">
        <v>80</v>
      </c>
      <c r="BM225" s="211"/>
      <c r="BN225" s="211"/>
      <c r="BO225" s="212">
        <f t="shared" si="353"/>
        <v>0</v>
      </c>
      <c r="BP225" s="201">
        <f t="shared" si="354"/>
        <v>415.65000000002328</v>
      </c>
      <c r="BQ225" s="201">
        <f t="shared" si="355"/>
        <v>415.65000000002328</v>
      </c>
      <c r="BR225" s="201">
        <f t="shared" si="328"/>
        <v>0</v>
      </c>
      <c r="BS225" s="201">
        <f t="shared" si="328"/>
        <v>415.65000000002328</v>
      </c>
      <c r="BT225" s="201">
        <f t="shared" si="356"/>
        <v>415.65000000002328</v>
      </c>
      <c r="BU225" s="213">
        <f t="shared" si="313"/>
        <v>0</v>
      </c>
      <c r="BV225" s="201"/>
      <c r="BW225" s="201"/>
      <c r="BX225" s="201">
        <f t="shared" si="357"/>
        <v>0</v>
      </c>
      <c r="BY225" s="199">
        <v>38500</v>
      </c>
      <c r="BZ225" s="199">
        <v>165000</v>
      </c>
      <c r="CA225" s="199">
        <v>286000</v>
      </c>
      <c r="CB225" s="199">
        <v>60500</v>
      </c>
      <c r="CC225" s="199"/>
      <c r="CD225" s="199"/>
      <c r="CE225" s="199"/>
      <c r="CF225" s="199"/>
      <c r="CG225" s="199"/>
      <c r="CH225" s="199"/>
      <c r="CI225" s="199"/>
      <c r="CJ225" s="199"/>
      <c r="CK225" s="214" t="s">
        <v>662</v>
      </c>
      <c r="CL225" s="214" t="s">
        <v>610</v>
      </c>
      <c r="CM225" s="211">
        <v>198</v>
      </c>
      <c r="CN225" s="215"/>
      <c r="CO225" s="215">
        <v>2400</v>
      </c>
      <c r="CP225" s="216">
        <v>109</v>
      </c>
      <c r="CQ225" s="217"/>
      <c r="CR225" s="211"/>
      <c r="CS225" s="218"/>
      <c r="CT225" s="218"/>
      <c r="CU225" s="218"/>
      <c r="CV225" s="211"/>
      <c r="CW225" s="211"/>
      <c r="CX225" s="211"/>
      <c r="CY225" s="211"/>
      <c r="CZ225" s="211"/>
      <c r="DA225" s="211"/>
      <c r="DB225" s="211"/>
      <c r="DC225" s="219"/>
      <c r="DD225" s="219"/>
      <c r="DE225" s="219"/>
      <c r="DF225" s="211"/>
      <c r="DG225" s="211"/>
      <c r="DH225" s="211"/>
      <c r="DI225" s="211"/>
      <c r="DJ225" s="211"/>
      <c r="DK225" s="220" t="s">
        <v>32</v>
      </c>
      <c r="DT225" s="222"/>
    </row>
    <row r="226" spans="1:124" s="176" customFormat="1" ht="42" x14ac:dyDescent="0.2">
      <c r="A226" s="195" t="s">
        <v>108</v>
      </c>
      <c r="B226" s="197" t="s">
        <v>663</v>
      </c>
      <c r="C226" s="198">
        <v>1</v>
      </c>
      <c r="D226" s="199">
        <v>800000</v>
      </c>
      <c r="E226" s="198" t="s">
        <v>664</v>
      </c>
      <c r="F226" s="198" t="s">
        <v>665</v>
      </c>
      <c r="G226" s="198" t="s">
        <v>98</v>
      </c>
      <c r="H226" s="200">
        <v>1</v>
      </c>
      <c r="I226" s="199">
        <f t="shared" si="329"/>
        <v>0</v>
      </c>
      <c r="J226" s="199">
        <f t="shared" si="330"/>
        <v>800000</v>
      </c>
      <c r="K226" s="199">
        <f t="shared" si="331"/>
        <v>800000</v>
      </c>
      <c r="L226" s="199"/>
      <c r="M226" s="199">
        <v>800000</v>
      </c>
      <c r="N226" s="199">
        <f t="shared" si="332"/>
        <v>800000</v>
      </c>
      <c r="O226" s="199"/>
      <c r="P226" s="201">
        <v>0</v>
      </c>
      <c r="Q226" s="202">
        <v>14</v>
      </c>
      <c r="R226" s="203">
        <v>45566</v>
      </c>
      <c r="S226" s="199"/>
      <c r="T226" s="199">
        <v>800000</v>
      </c>
      <c r="U226" s="204">
        <f t="shared" si="333"/>
        <v>800000</v>
      </c>
      <c r="V226" s="205"/>
      <c r="W226" s="200"/>
      <c r="X226" s="201"/>
      <c r="Y226" s="201"/>
      <c r="Z226" s="201">
        <f t="shared" si="334"/>
        <v>0</v>
      </c>
      <c r="AA226" s="198"/>
      <c r="AB226" s="206"/>
      <c r="AC226" s="207"/>
      <c r="AD226" s="201"/>
      <c r="AE226" s="204">
        <f t="shared" si="335"/>
        <v>0</v>
      </c>
      <c r="AF226" s="203">
        <f t="shared" si="336"/>
        <v>45566</v>
      </c>
      <c r="AG226" s="201">
        <f t="shared" si="337"/>
        <v>0</v>
      </c>
      <c r="AH226" s="199">
        <f t="shared" si="338"/>
        <v>800000</v>
      </c>
      <c r="AI226" s="199">
        <f t="shared" si="339"/>
        <v>800000</v>
      </c>
      <c r="AJ226" s="201">
        <f t="shared" si="326"/>
        <v>0</v>
      </c>
      <c r="AK226" s="201">
        <f t="shared" si="326"/>
        <v>800000</v>
      </c>
      <c r="AL226" s="201">
        <f t="shared" si="340"/>
        <v>800000</v>
      </c>
      <c r="AM226" s="198"/>
      <c r="AN226" s="203"/>
      <c r="AO226" s="208"/>
      <c r="AP226" s="201">
        <f t="shared" si="341"/>
        <v>0</v>
      </c>
      <c r="AQ226" s="201">
        <f t="shared" si="342"/>
        <v>799301.4</v>
      </c>
      <c r="AR226" s="201">
        <f t="shared" si="343"/>
        <v>799301.4</v>
      </c>
      <c r="AS226" s="201">
        <f t="shared" si="344"/>
        <v>99.912674999999993</v>
      </c>
      <c r="AT226" s="201"/>
      <c r="AU226" s="209">
        <v>799301.4</v>
      </c>
      <c r="AV226" s="201">
        <f t="shared" si="345"/>
        <v>799301.4</v>
      </c>
      <c r="AW226" s="201">
        <f t="shared" si="300"/>
        <v>0</v>
      </c>
      <c r="AX226" s="201">
        <f t="shared" si="346"/>
        <v>99.912674999999993</v>
      </c>
      <c r="AY226" s="208"/>
      <c r="AZ226" s="201">
        <f t="shared" si="347"/>
        <v>0</v>
      </c>
      <c r="BA226" s="201">
        <f t="shared" si="348"/>
        <v>0</v>
      </c>
      <c r="BB226" s="201">
        <f t="shared" si="349"/>
        <v>0</v>
      </c>
      <c r="BC226" s="201"/>
      <c r="BD226" s="209">
        <v>0</v>
      </c>
      <c r="BE226" s="201">
        <f t="shared" si="350"/>
        <v>0</v>
      </c>
      <c r="BF226" s="208"/>
      <c r="BG226" s="201">
        <f t="shared" si="327"/>
        <v>0</v>
      </c>
      <c r="BH226" s="201">
        <f t="shared" si="327"/>
        <v>799301.4</v>
      </c>
      <c r="BI226" s="201">
        <f t="shared" si="351"/>
        <v>799301.4</v>
      </c>
      <c r="BJ226" s="201">
        <f t="shared" si="352"/>
        <v>99.912674999999993</v>
      </c>
      <c r="BK226" s="210">
        <v>89</v>
      </c>
      <c r="BL226" s="210">
        <v>100</v>
      </c>
      <c r="BM226" s="211"/>
      <c r="BN226" s="211"/>
      <c r="BO226" s="212">
        <f t="shared" si="353"/>
        <v>0</v>
      </c>
      <c r="BP226" s="201">
        <f t="shared" si="354"/>
        <v>698.59999999997672</v>
      </c>
      <c r="BQ226" s="201">
        <f t="shared" si="355"/>
        <v>698.59999999997672</v>
      </c>
      <c r="BR226" s="201">
        <f t="shared" si="328"/>
        <v>0</v>
      </c>
      <c r="BS226" s="201">
        <f t="shared" si="328"/>
        <v>698.59999999997672</v>
      </c>
      <c r="BT226" s="201">
        <f t="shared" si="356"/>
        <v>698.59999999997672</v>
      </c>
      <c r="BU226" s="213">
        <f t="shared" si="313"/>
        <v>0</v>
      </c>
      <c r="BV226" s="201"/>
      <c r="BW226" s="201"/>
      <c r="BX226" s="201">
        <f t="shared" si="357"/>
        <v>0</v>
      </c>
      <c r="BY226" s="199">
        <v>56000</v>
      </c>
      <c r="BZ226" s="199">
        <v>240000</v>
      </c>
      <c r="CA226" s="199">
        <v>416000</v>
      </c>
      <c r="CB226" s="199">
        <v>88000</v>
      </c>
      <c r="CC226" s="199"/>
      <c r="CD226" s="199"/>
      <c r="CE226" s="199"/>
      <c r="CF226" s="199"/>
      <c r="CG226" s="199"/>
      <c r="CH226" s="199"/>
      <c r="CI226" s="199"/>
      <c r="CJ226" s="199"/>
      <c r="CK226" s="214" t="s">
        <v>666</v>
      </c>
      <c r="CL226" s="214" t="s">
        <v>610</v>
      </c>
      <c r="CM226" s="211">
        <v>198</v>
      </c>
      <c r="CN226" s="215"/>
      <c r="CO226" s="215">
        <v>200</v>
      </c>
      <c r="CP226" s="216">
        <v>100</v>
      </c>
      <c r="CQ226" s="217"/>
      <c r="CR226" s="211"/>
      <c r="CS226" s="218"/>
      <c r="CT226" s="218"/>
      <c r="CU226" s="218"/>
      <c r="CV226" s="211"/>
      <c r="CW226" s="211"/>
      <c r="CX226" s="211"/>
      <c r="CY226" s="211"/>
      <c r="CZ226" s="211"/>
      <c r="DA226" s="211"/>
      <c r="DB226" s="211"/>
      <c r="DC226" s="219"/>
      <c r="DD226" s="219"/>
      <c r="DE226" s="219"/>
      <c r="DF226" s="211"/>
      <c r="DG226" s="211"/>
      <c r="DH226" s="211"/>
      <c r="DI226" s="211"/>
      <c r="DJ226" s="211"/>
      <c r="DK226" s="220" t="s">
        <v>32</v>
      </c>
      <c r="DT226" s="222"/>
    </row>
    <row r="227" spans="1:124" s="176" customFormat="1" ht="42" x14ac:dyDescent="0.2">
      <c r="A227" s="195" t="s">
        <v>108</v>
      </c>
      <c r="B227" s="197" t="s">
        <v>667</v>
      </c>
      <c r="C227" s="198">
        <v>1</v>
      </c>
      <c r="D227" s="199">
        <v>680000</v>
      </c>
      <c r="E227" s="198" t="s">
        <v>297</v>
      </c>
      <c r="F227" s="198" t="s">
        <v>285</v>
      </c>
      <c r="G227" s="198" t="s">
        <v>98</v>
      </c>
      <c r="H227" s="200">
        <v>1</v>
      </c>
      <c r="I227" s="199">
        <f t="shared" si="329"/>
        <v>0</v>
      </c>
      <c r="J227" s="199">
        <f t="shared" si="330"/>
        <v>680000</v>
      </c>
      <c r="K227" s="199">
        <f t="shared" si="331"/>
        <v>680000</v>
      </c>
      <c r="L227" s="199"/>
      <c r="M227" s="199">
        <v>680000</v>
      </c>
      <c r="N227" s="199">
        <f t="shared" si="332"/>
        <v>680000</v>
      </c>
      <c r="O227" s="199"/>
      <c r="P227" s="201">
        <v>0</v>
      </c>
      <c r="Q227" s="202">
        <v>14</v>
      </c>
      <c r="R227" s="203">
        <v>45566</v>
      </c>
      <c r="S227" s="199"/>
      <c r="T227" s="199">
        <v>680000</v>
      </c>
      <c r="U227" s="204">
        <f t="shared" si="333"/>
        <v>680000</v>
      </c>
      <c r="V227" s="205"/>
      <c r="W227" s="200"/>
      <c r="X227" s="201"/>
      <c r="Y227" s="201"/>
      <c r="Z227" s="201">
        <f t="shared" si="334"/>
        <v>0</v>
      </c>
      <c r="AA227" s="198"/>
      <c r="AB227" s="206"/>
      <c r="AC227" s="207"/>
      <c r="AD227" s="201"/>
      <c r="AE227" s="204">
        <f t="shared" si="335"/>
        <v>0</v>
      </c>
      <c r="AF227" s="203">
        <f t="shared" si="336"/>
        <v>45566</v>
      </c>
      <c r="AG227" s="201">
        <f t="shared" si="337"/>
        <v>0</v>
      </c>
      <c r="AH227" s="199">
        <f t="shared" si="338"/>
        <v>680000</v>
      </c>
      <c r="AI227" s="199">
        <f t="shared" si="339"/>
        <v>680000</v>
      </c>
      <c r="AJ227" s="201">
        <f t="shared" si="326"/>
        <v>0</v>
      </c>
      <c r="AK227" s="201">
        <f t="shared" si="326"/>
        <v>680000</v>
      </c>
      <c r="AL227" s="201">
        <f t="shared" si="340"/>
        <v>680000</v>
      </c>
      <c r="AM227" s="198"/>
      <c r="AN227" s="203"/>
      <c r="AO227" s="208"/>
      <c r="AP227" s="201">
        <f t="shared" si="341"/>
        <v>0</v>
      </c>
      <c r="AQ227" s="201">
        <f t="shared" si="342"/>
        <v>679287.82</v>
      </c>
      <c r="AR227" s="201">
        <f t="shared" si="343"/>
        <v>679287.82</v>
      </c>
      <c r="AS227" s="201">
        <f t="shared" si="344"/>
        <v>99.89526764705883</v>
      </c>
      <c r="AT227" s="201"/>
      <c r="AU227" s="209">
        <v>679287.82</v>
      </c>
      <c r="AV227" s="201">
        <f t="shared" si="345"/>
        <v>679287.82</v>
      </c>
      <c r="AW227" s="201">
        <f t="shared" si="300"/>
        <v>0</v>
      </c>
      <c r="AX227" s="201">
        <f t="shared" si="346"/>
        <v>99.89526764705883</v>
      </c>
      <c r="AY227" s="208"/>
      <c r="AZ227" s="201">
        <f t="shared" si="347"/>
        <v>0</v>
      </c>
      <c r="BA227" s="201">
        <f t="shared" si="348"/>
        <v>0</v>
      </c>
      <c r="BB227" s="201">
        <f t="shared" si="349"/>
        <v>0</v>
      </c>
      <c r="BC227" s="201"/>
      <c r="BD227" s="209">
        <v>0</v>
      </c>
      <c r="BE227" s="201">
        <f t="shared" si="350"/>
        <v>0</v>
      </c>
      <c r="BF227" s="208"/>
      <c r="BG227" s="201">
        <f t="shared" si="327"/>
        <v>0</v>
      </c>
      <c r="BH227" s="201">
        <f t="shared" si="327"/>
        <v>679287.82</v>
      </c>
      <c r="BI227" s="201">
        <f t="shared" si="351"/>
        <v>679287.82</v>
      </c>
      <c r="BJ227" s="201">
        <f t="shared" si="352"/>
        <v>99.89526764705883</v>
      </c>
      <c r="BK227" s="210">
        <v>89</v>
      </c>
      <c r="BL227" s="210">
        <v>95</v>
      </c>
      <c r="BM227" s="211"/>
      <c r="BN227" s="211"/>
      <c r="BO227" s="212">
        <f t="shared" si="353"/>
        <v>0</v>
      </c>
      <c r="BP227" s="201">
        <f t="shared" si="354"/>
        <v>712.18000000005122</v>
      </c>
      <c r="BQ227" s="201">
        <f t="shared" si="355"/>
        <v>712.18000000005122</v>
      </c>
      <c r="BR227" s="201">
        <f t="shared" si="328"/>
        <v>0</v>
      </c>
      <c r="BS227" s="201">
        <f t="shared" si="328"/>
        <v>712.18000000005122</v>
      </c>
      <c r="BT227" s="201">
        <f t="shared" si="356"/>
        <v>712.18000000005122</v>
      </c>
      <c r="BU227" s="213">
        <f t="shared" si="313"/>
        <v>0</v>
      </c>
      <c r="BV227" s="201"/>
      <c r="BW227" s="201"/>
      <c r="BX227" s="201">
        <f t="shared" si="357"/>
        <v>0</v>
      </c>
      <c r="BY227" s="199">
        <v>47600</v>
      </c>
      <c r="BZ227" s="199">
        <v>204000</v>
      </c>
      <c r="CA227" s="199">
        <v>353600</v>
      </c>
      <c r="CB227" s="199">
        <v>74800</v>
      </c>
      <c r="CC227" s="199"/>
      <c r="CD227" s="199"/>
      <c r="CE227" s="199"/>
      <c r="CF227" s="199"/>
      <c r="CG227" s="199"/>
      <c r="CH227" s="199"/>
      <c r="CI227" s="199"/>
      <c r="CJ227" s="199"/>
      <c r="CK227" s="214" t="s">
        <v>668</v>
      </c>
      <c r="CL227" s="214" t="s">
        <v>610</v>
      </c>
      <c r="CM227" s="211">
        <v>198</v>
      </c>
      <c r="CN227" s="215"/>
      <c r="CO227" s="215"/>
      <c r="CP227" s="216"/>
      <c r="CQ227" s="217"/>
      <c r="CR227" s="211"/>
      <c r="CS227" s="218"/>
      <c r="CT227" s="218"/>
      <c r="CU227" s="218"/>
      <c r="CV227" s="211"/>
      <c r="CW227" s="211"/>
      <c r="CX227" s="211"/>
      <c r="CY227" s="211"/>
      <c r="CZ227" s="211"/>
      <c r="DA227" s="211"/>
      <c r="DB227" s="211"/>
      <c r="DC227" s="219"/>
      <c r="DD227" s="219"/>
      <c r="DE227" s="219"/>
      <c r="DF227" s="211"/>
      <c r="DG227" s="211"/>
      <c r="DH227" s="211"/>
      <c r="DI227" s="211"/>
      <c r="DJ227" s="211"/>
      <c r="DK227" s="220" t="s">
        <v>32</v>
      </c>
      <c r="DT227" s="222"/>
    </row>
    <row r="228" spans="1:124" s="176" customFormat="1" ht="42" x14ac:dyDescent="0.2">
      <c r="A228" s="195" t="s">
        <v>108</v>
      </c>
      <c r="B228" s="197" t="s">
        <v>669</v>
      </c>
      <c r="C228" s="198">
        <v>1</v>
      </c>
      <c r="D228" s="199">
        <v>970000</v>
      </c>
      <c r="E228" s="198" t="s">
        <v>130</v>
      </c>
      <c r="F228" s="198" t="s">
        <v>234</v>
      </c>
      <c r="G228" s="198" t="s">
        <v>98</v>
      </c>
      <c r="H228" s="200">
        <v>1</v>
      </c>
      <c r="I228" s="199">
        <f t="shared" si="329"/>
        <v>0</v>
      </c>
      <c r="J228" s="199">
        <f t="shared" si="330"/>
        <v>970000</v>
      </c>
      <c r="K228" s="199">
        <f t="shared" si="331"/>
        <v>970000</v>
      </c>
      <c r="L228" s="199"/>
      <c r="M228" s="199">
        <v>970000</v>
      </c>
      <c r="N228" s="199">
        <f t="shared" si="332"/>
        <v>970000</v>
      </c>
      <c r="O228" s="199"/>
      <c r="P228" s="201">
        <v>0</v>
      </c>
      <c r="Q228" s="202">
        <v>14</v>
      </c>
      <c r="R228" s="203">
        <v>45566</v>
      </c>
      <c r="S228" s="199"/>
      <c r="T228" s="199">
        <v>970000</v>
      </c>
      <c r="U228" s="204">
        <f t="shared" si="333"/>
        <v>970000</v>
      </c>
      <c r="V228" s="205"/>
      <c r="W228" s="200"/>
      <c r="X228" s="201"/>
      <c r="Y228" s="201"/>
      <c r="Z228" s="201">
        <f t="shared" si="334"/>
        <v>0</v>
      </c>
      <c r="AA228" s="198"/>
      <c r="AB228" s="206"/>
      <c r="AC228" s="207"/>
      <c r="AD228" s="201"/>
      <c r="AE228" s="204">
        <f t="shared" si="335"/>
        <v>0</v>
      </c>
      <c r="AF228" s="203">
        <f t="shared" si="336"/>
        <v>45566</v>
      </c>
      <c r="AG228" s="201">
        <f t="shared" si="337"/>
        <v>0</v>
      </c>
      <c r="AH228" s="199">
        <f t="shared" si="338"/>
        <v>970000</v>
      </c>
      <c r="AI228" s="199">
        <f t="shared" si="339"/>
        <v>970000</v>
      </c>
      <c r="AJ228" s="201">
        <f t="shared" si="326"/>
        <v>0</v>
      </c>
      <c r="AK228" s="201">
        <f t="shared" si="326"/>
        <v>970000</v>
      </c>
      <c r="AL228" s="201">
        <f t="shared" si="340"/>
        <v>970000</v>
      </c>
      <c r="AM228" s="198"/>
      <c r="AN228" s="203"/>
      <c r="AO228" s="208"/>
      <c r="AP228" s="201">
        <f t="shared" si="341"/>
        <v>0</v>
      </c>
      <c r="AQ228" s="201">
        <f t="shared" si="342"/>
        <v>739128.41</v>
      </c>
      <c r="AR228" s="201">
        <f t="shared" si="343"/>
        <v>739128.41</v>
      </c>
      <c r="AS228" s="201">
        <f t="shared" si="344"/>
        <v>76.198805154639174</v>
      </c>
      <c r="AT228" s="201"/>
      <c r="AU228" s="209">
        <v>739128.41</v>
      </c>
      <c r="AV228" s="201">
        <f t="shared" si="345"/>
        <v>739128.41</v>
      </c>
      <c r="AW228" s="201">
        <f t="shared" si="300"/>
        <v>0</v>
      </c>
      <c r="AX228" s="201">
        <f t="shared" si="346"/>
        <v>76.198805154639174</v>
      </c>
      <c r="AY228" s="208"/>
      <c r="AZ228" s="201">
        <f t="shared" si="347"/>
        <v>0</v>
      </c>
      <c r="BA228" s="201">
        <f t="shared" si="348"/>
        <v>0</v>
      </c>
      <c r="BB228" s="201">
        <f t="shared" si="349"/>
        <v>0</v>
      </c>
      <c r="BC228" s="201"/>
      <c r="BD228" s="209">
        <v>0</v>
      </c>
      <c r="BE228" s="201">
        <f t="shared" si="350"/>
        <v>0</v>
      </c>
      <c r="BF228" s="208"/>
      <c r="BG228" s="201">
        <f t="shared" si="327"/>
        <v>0</v>
      </c>
      <c r="BH228" s="201">
        <f t="shared" si="327"/>
        <v>739128.41</v>
      </c>
      <c r="BI228" s="201">
        <f t="shared" si="351"/>
        <v>739128.41</v>
      </c>
      <c r="BJ228" s="201">
        <f t="shared" si="352"/>
        <v>76.198805154639174</v>
      </c>
      <c r="BK228" s="210">
        <v>89</v>
      </c>
      <c r="BL228" s="210">
        <v>75</v>
      </c>
      <c r="BM228" s="211"/>
      <c r="BN228" s="211"/>
      <c r="BO228" s="212">
        <f t="shared" si="353"/>
        <v>0</v>
      </c>
      <c r="BP228" s="201">
        <f t="shared" si="354"/>
        <v>230871.58999999997</v>
      </c>
      <c r="BQ228" s="201">
        <f t="shared" si="355"/>
        <v>230871.58999999997</v>
      </c>
      <c r="BR228" s="201">
        <f t="shared" si="328"/>
        <v>0</v>
      </c>
      <c r="BS228" s="201">
        <f t="shared" si="328"/>
        <v>230871.58999999997</v>
      </c>
      <c r="BT228" s="201">
        <f t="shared" si="356"/>
        <v>230871.58999999997</v>
      </c>
      <c r="BU228" s="213">
        <f t="shared" si="313"/>
        <v>0</v>
      </c>
      <c r="BV228" s="201"/>
      <c r="BW228" s="201"/>
      <c r="BX228" s="201">
        <f t="shared" si="357"/>
        <v>0</v>
      </c>
      <c r="BY228" s="199">
        <v>67900</v>
      </c>
      <c r="BZ228" s="199">
        <v>291000</v>
      </c>
      <c r="CA228" s="199">
        <v>504400</v>
      </c>
      <c r="CB228" s="199">
        <v>106700</v>
      </c>
      <c r="CC228" s="199"/>
      <c r="CD228" s="199"/>
      <c r="CE228" s="199"/>
      <c r="CF228" s="199"/>
      <c r="CG228" s="199"/>
      <c r="CH228" s="199"/>
      <c r="CI228" s="199"/>
      <c r="CJ228" s="199"/>
      <c r="CK228" s="214" t="s">
        <v>670</v>
      </c>
      <c r="CL228" s="214" t="s">
        <v>610</v>
      </c>
      <c r="CM228" s="211">
        <v>198</v>
      </c>
      <c r="CN228" s="215"/>
      <c r="CO228" s="215"/>
      <c r="CP228" s="216"/>
      <c r="CQ228" s="217"/>
      <c r="CR228" s="211"/>
      <c r="CS228" s="218"/>
      <c r="CT228" s="218"/>
      <c r="CU228" s="218"/>
      <c r="CV228" s="211"/>
      <c r="CW228" s="211"/>
      <c r="CX228" s="211"/>
      <c r="CY228" s="211"/>
      <c r="CZ228" s="211"/>
      <c r="DA228" s="211"/>
      <c r="DB228" s="211"/>
      <c r="DC228" s="219"/>
      <c r="DD228" s="219"/>
      <c r="DE228" s="219"/>
      <c r="DF228" s="211"/>
      <c r="DG228" s="211"/>
      <c r="DH228" s="211"/>
      <c r="DI228" s="211"/>
      <c r="DJ228" s="211"/>
      <c r="DK228" s="220" t="s">
        <v>32</v>
      </c>
      <c r="DT228" s="222"/>
    </row>
    <row r="229" spans="1:124" s="176" customFormat="1" ht="42" x14ac:dyDescent="0.2">
      <c r="A229" s="225" t="s">
        <v>94</v>
      </c>
      <c r="B229" s="197" t="s">
        <v>671</v>
      </c>
      <c r="C229" s="198">
        <v>1</v>
      </c>
      <c r="D229" s="199">
        <v>1382000</v>
      </c>
      <c r="E229" s="198" t="s">
        <v>181</v>
      </c>
      <c r="F229" s="198" t="s">
        <v>97</v>
      </c>
      <c r="G229" s="198" t="s">
        <v>98</v>
      </c>
      <c r="H229" s="200">
        <v>1</v>
      </c>
      <c r="I229" s="199">
        <f t="shared" si="329"/>
        <v>0</v>
      </c>
      <c r="J229" s="199">
        <f t="shared" si="330"/>
        <v>1382000</v>
      </c>
      <c r="K229" s="199">
        <f t="shared" si="331"/>
        <v>1382000</v>
      </c>
      <c r="L229" s="199"/>
      <c r="M229" s="199">
        <v>1382000</v>
      </c>
      <c r="N229" s="199">
        <f t="shared" si="332"/>
        <v>1382000</v>
      </c>
      <c r="O229" s="199"/>
      <c r="P229" s="201">
        <v>0</v>
      </c>
      <c r="Q229" s="202">
        <v>14</v>
      </c>
      <c r="R229" s="203">
        <v>45566</v>
      </c>
      <c r="S229" s="199"/>
      <c r="T229" s="199">
        <v>1382000</v>
      </c>
      <c r="U229" s="204">
        <f t="shared" si="333"/>
        <v>1382000</v>
      </c>
      <c r="V229" s="205"/>
      <c r="W229" s="200"/>
      <c r="X229" s="201"/>
      <c r="Y229" s="201"/>
      <c r="Z229" s="201">
        <f t="shared" si="334"/>
        <v>0</v>
      </c>
      <c r="AA229" s="198"/>
      <c r="AB229" s="206"/>
      <c r="AC229" s="207"/>
      <c r="AD229" s="201"/>
      <c r="AE229" s="204">
        <f t="shared" si="335"/>
        <v>0</v>
      </c>
      <c r="AF229" s="203">
        <f t="shared" si="336"/>
        <v>45566</v>
      </c>
      <c r="AG229" s="201">
        <f t="shared" si="337"/>
        <v>0</v>
      </c>
      <c r="AH229" s="199">
        <f t="shared" si="338"/>
        <v>1382000</v>
      </c>
      <c r="AI229" s="199">
        <f t="shared" si="339"/>
        <v>1382000</v>
      </c>
      <c r="AJ229" s="201">
        <f t="shared" si="326"/>
        <v>0</v>
      </c>
      <c r="AK229" s="201">
        <f t="shared" si="326"/>
        <v>1382000</v>
      </c>
      <c r="AL229" s="201">
        <f t="shared" si="340"/>
        <v>1382000</v>
      </c>
      <c r="AM229" s="198"/>
      <c r="AN229" s="203"/>
      <c r="AO229" s="208"/>
      <c r="AP229" s="201">
        <f t="shared" si="341"/>
        <v>0</v>
      </c>
      <c r="AQ229" s="201">
        <f t="shared" si="342"/>
        <v>1380198.35</v>
      </c>
      <c r="AR229" s="201">
        <f t="shared" si="343"/>
        <v>1380198.35</v>
      </c>
      <c r="AS229" s="201">
        <f t="shared" si="344"/>
        <v>99.869634587554273</v>
      </c>
      <c r="AT229" s="201"/>
      <c r="AU229" s="209">
        <v>1380198.35</v>
      </c>
      <c r="AV229" s="201">
        <f t="shared" si="345"/>
        <v>1380198.35</v>
      </c>
      <c r="AW229" s="201">
        <f t="shared" si="300"/>
        <v>0</v>
      </c>
      <c r="AX229" s="201">
        <f t="shared" si="346"/>
        <v>99.869634587554273</v>
      </c>
      <c r="AY229" s="208"/>
      <c r="AZ229" s="201">
        <f t="shared" si="347"/>
        <v>0</v>
      </c>
      <c r="BA229" s="201">
        <f t="shared" si="348"/>
        <v>0</v>
      </c>
      <c r="BB229" s="201">
        <f t="shared" si="349"/>
        <v>0</v>
      </c>
      <c r="BC229" s="201"/>
      <c r="BD229" s="209"/>
      <c r="BE229" s="201">
        <f t="shared" si="350"/>
        <v>0</v>
      </c>
      <c r="BF229" s="208"/>
      <c r="BG229" s="201">
        <f t="shared" si="327"/>
        <v>0</v>
      </c>
      <c r="BH229" s="201">
        <f t="shared" si="327"/>
        <v>1380198.35</v>
      </c>
      <c r="BI229" s="201">
        <f t="shared" si="351"/>
        <v>1380198.35</v>
      </c>
      <c r="BJ229" s="201">
        <f t="shared" si="352"/>
        <v>99.869634587554273</v>
      </c>
      <c r="BK229" s="210">
        <v>20</v>
      </c>
      <c r="BL229" s="210">
        <v>90</v>
      </c>
      <c r="BM229" s="211"/>
      <c r="BN229" s="211"/>
      <c r="BO229" s="212">
        <f t="shared" si="353"/>
        <v>0</v>
      </c>
      <c r="BP229" s="201">
        <f t="shared" si="354"/>
        <v>1801.6499999999069</v>
      </c>
      <c r="BQ229" s="201">
        <f t="shared" si="355"/>
        <v>1801.6499999999069</v>
      </c>
      <c r="BR229" s="201">
        <f t="shared" si="328"/>
        <v>0</v>
      </c>
      <c r="BS229" s="201">
        <f t="shared" si="328"/>
        <v>1801.6499999999069</v>
      </c>
      <c r="BT229" s="201">
        <f t="shared" si="356"/>
        <v>1801.6499999999069</v>
      </c>
      <c r="BU229" s="213">
        <f t="shared" si="313"/>
        <v>0</v>
      </c>
      <c r="BV229" s="201"/>
      <c r="BW229" s="201"/>
      <c r="BX229" s="201">
        <f t="shared" si="357"/>
        <v>0</v>
      </c>
      <c r="BY229" s="199">
        <v>460600</v>
      </c>
      <c r="BZ229" s="199">
        <v>460600</v>
      </c>
      <c r="CA229" s="199">
        <v>460800</v>
      </c>
      <c r="CB229" s="199"/>
      <c r="CC229" s="199"/>
      <c r="CD229" s="199"/>
      <c r="CE229" s="199"/>
      <c r="CF229" s="199"/>
      <c r="CG229" s="199"/>
      <c r="CH229" s="199"/>
      <c r="CI229" s="199"/>
      <c r="CJ229" s="199"/>
      <c r="CK229" s="214" t="s">
        <v>672</v>
      </c>
      <c r="CL229" s="214" t="s">
        <v>610</v>
      </c>
      <c r="CM229" s="211">
        <v>198</v>
      </c>
      <c r="CN229" s="215"/>
      <c r="CO229" s="215"/>
      <c r="CP229" s="216"/>
      <c r="CQ229" s="217"/>
      <c r="CR229" s="211"/>
      <c r="CS229" s="218"/>
      <c r="CT229" s="218"/>
      <c r="CU229" s="218"/>
      <c r="CV229" s="211"/>
      <c r="CW229" s="211"/>
      <c r="CX229" s="211"/>
      <c r="CY229" s="211"/>
      <c r="CZ229" s="211"/>
      <c r="DA229" s="211"/>
      <c r="DB229" s="211"/>
      <c r="DC229" s="219"/>
      <c r="DD229" s="219"/>
      <c r="DE229" s="219"/>
      <c r="DF229" s="211"/>
      <c r="DG229" s="211"/>
      <c r="DH229" s="211"/>
      <c r="DI229" s="211"/>
      <c r="DJ229" s="211"/>
      <c r="DK229" s="220" t="s">
        <v>32</v>
      </c>
      <c r="DT229" s="222"/>
    </row>
    <row r="230" spans="1:124" s="176" customFormat="1" ht="42" x14ac:dyDescent="0.2">
      <c r="A230" s="225" t="s">
        <v>94</v>
      </c>
      <c r="B230" s="197" t="s">
        <v>673</v>
      </c>
      <c r="C230" s="198">
        <v>1</v>
      </c>
      <c r="D230" s="199">
        <v>960000</v>
      </c>
      <c r="E230" s="198" t="s">
        <v>134</v>
      </c>
      <c r="F230" s="198" t="s">
        <v>97</v>
      </c>
      <c r="G230" s="198" t="s">
        <v>98</v>
      </c>
      <c r="H230" s="200">
        <v>1</v>
      </c>
      <c r="I230" s="199">
        <f t="shared" si="329"/>
        <v>0</v>
      </c>
      <c r="J230" s="199">
        <f t="shared" si="330"/>
        <v>960000</v>
      </c>
      <c r="K230" s="199">
        <f t="shared" si="331"/>
        <v>960000</v>
      </c>
      <c r="L230" s="199"/>
      <c r="M230" s="199">
        <v>960000</v>
      </c>
      <c r="N230" s="199">
        <f t="shared" si="332"/>
        <v>960000</v>
      </c>
      <c r="O230" s="199"/>
      <c r="P230" s="201">
        <v>0</v>
      </c>
      <c r="Q230" s="202">
        <v>14</v>
      </c>
      <c r="R230" s="203">
        <v>45566</v>
      </c>
      <c r="S230" s="199"/>
      <c r="T230" s="199">
        <v>960000</v>
      </c>
      <c r="U230" s="204">
        <f t="shared" si="333"/>
        <v>960000</v>
      </c>
      <c r="V230" s="205"/>
      <c r="W230" s="200"/>
      <c r="X230" s="201"/>
      <c r="Y230" s="201">
        <v>-2576.3900000000099</v>
      </c>
      <c r="Z230" s="201">
        <f t="shared" si="334"/>
        <v>-2576.3900000000099</v>
      </c>
      <c r="AA230" s="198"/>
      <c r="AB230" s="206"/>
      <c r="AC230" s="207"/>
      <c r="AD230" s="201"/>
      <c r="AE230" s="204">
        <f t="shared" si="335"/>
        <v>0</v>
      </c>
      <c r="AF230" s="203">
        <f t="shared" si="336"/>
        <v>45566</v>
      </c>
      <c r="AG230" s="201">
        <f t="shared" si="337"/>
        <v>0</v>
      </c>
      <c r="AH230" s="199">
        <f t="shared" si="338"/>
        <v>957423.61</v>
      </c>
      <c r="AI230" s="199">
        <f t="shared" si="339"/>
        <v>957423.61</v>
      </c>
      <c r="AJ230" s="201">
        <f t="shared" si="326"/>
        <v>0</v>
      </c>
      <c r="AK230" s="201">
        <f t="shared" si="326"/>
        <v>957423.61</v>
      </c>
      <c r="AL230" s="201">
        <f t="shared" si="340"/>
        <v>957423.61</v>
      </c>
      <c r="AM230" s="198"/>
      <c r="AN230" s="203"/>
      <c r="AO230" s="208"/>
      <c r="AP230" s="201">
        <f t="shared" si="341"/>
        <v>0</v>
      </c>
      <c r="AQ230" s="201">
        <f t="shared" si="342"/>
        <v>957423.61</v>
      </c>
      <c r="AR230" s="201">
        <f t="shared" si="343"/>
        <v>957423.61</v>
      </c>
      <c r="AS230" s="201">
        <f t="shared" si="344"/>
        <v>100</v>
      </c>
      <c r="AT230" s="201"/>
      <c r="AU230" s="209">
        <v>957423.61</v>
      </c>
      <c r="AV230" s="201">
        <f t="shared" si="345"/>
        <v>957423.61</v>
      </c>
      <c r="AW230" s="201">
        <f t="shared" si="300"/>
        <v>0</v>
      </c>
      <c r="AX230" s="201">
        <f t="shared" si="346"/>
        <v>100</v>
      </c>
      <c r="AY230" s="208"/>
      <c r="AZ230" s="201">
        <f t="shared" si="347"/>
        <v>0</v>
      </c>
      <c r="BA230" s="201">
        <f t="shared" si="348"/>
        <v>0</v>
      </c>
      <c r="BB230" s="201">
        <f t="shared" si="349"/>
        <v>0</v>
      </c>
      <c r="BC230" s="201"/>
      <c r="BD230" s="209">
        <v>0</v>
      </c>
      <c r="BE230" s="201">
        <f t="shared" si="350"/>
        <v>0</v>
      </c>
      <c r="BF230" s="208"/>
      <c r="BG230" s="201">
        <f t="shared" si="327"/>
        <v>0</v>
      </c>
      <c r="BH230" s="201">
        <f t="shared" si="327"/>
        <v>957423.61</v>
      </c>
      <c r="BI230" s="201">
        <f t="shared" si="351"/>
        <v>957423.61</v>
      </c>
      <c r="BJ230" s="201">
        <f t="shared" si="352"/>
        <v>100</v>
      </c>
      <c r="BK230" s="210">
        <v>25</v>
      </c>
      <c r="BL230" s="210">
        <v>100</v>
      </c>
      <c r="BM230" s="211"/>
      <c r="BN230" s="211"/>
      <c r="BO230" s="212">
        <f t="shared" si="353"/>
        <v>0</v>
      </c>
      <c r="BP230" s="201">
        <f t="shared" si="354"/>
        <v>0</v>
      </c>
      <c r="BQ230" s="201">
        <f t="shared" si="355"/>
        <v>0</v>
      </c>
      <c r="BR230" s="201">
        <f t="shared" si="328"/>
        <v>0</v>
      </c>
      <c r="BS230" s="201">
        <f t="shared" si="328"/>
        <v>0</v>
      </c>
      <c r="BT230" s="201">
        <f t="shared" si="356"/>
        <v>0</v>
      </c>
      <c r="BU230" s="213">
        <f t="shared" si="313"/>
        <v>0</v>
      </c>
      <c r="BV230" s="201">
        <v>2576.390000000014</v>
      </c>
      <c r="BW230" s="201"/>
      <c r="BX230" s="201">
        <f t="shared" si="357"/>
        <v>2576.390000000014</v>
      </c>
      <c r="BY230" s="199">
        <v>320000</v>
      </c>
      <c r="BZ230" s="199">
        <v>320000</v>
      </c>
      <c r="CA230" s="199">
        <v>320000</v>
      </c>
      <c r="CB230" s="199"/>
      <c r="CC230" s="199"/>
      <c r="CD230" s="199"/>
      <c r="CE230" s="199"/>
      <c r="CF230" s="199"/>
      <c r="CG230" s="199"/>
      <c r="CH230" s="199"/>
      <c r="CI230" s="199"/>
      <c r="CJ230" s="199"/>
      <c r="CK230" s="214" t="s">
        <v>674</v>
      </c>
      <c r="CL230" s="214" t="s">
        <v>610</v>
      </c>
      <c r="CM230" s="211">
        <v>198</v>
      </c>
      <c r="CN230" s="215"/>
      <c r="CO230" s="215"/>
      <c r="CP230" s="216"/>
      <c r="CQ230" s="217"/>
      <c r="CR230" s="211"/>
      <c r="CS230" s="218"/>
      <c r="CT230" s="218"/>
      <c r="CU230" s="218"/>
      <c r="CV230" s="211"/>
      <c r="CW230" s="211"/>
      <c r="CX230" s="211"/>
      <c r="CY230" s="211"/>
      <c r="CZ230" s="211"/>
      <c r="DA230" s="211"/>
      <c r="DB230" s="211"/>
      <c r="DC230" s="219"/>
      <c r="DD230" s="219"/>
      <c r="DE230" s="219"/>
      <c r="DF230" s="211"/>
      <c r="DG230" s="211"/>
      <c r="DH230" s="211"/>
      <c r="DI230" s="211"/>
      <c r="DJ230" s="211"/>
      <c r="DK230" s="220" t="s">
        <v>32</v>
      </c>
      <c r="DT230" s="222"/>
    </row>
    <row r="231" spans="1:124" s="176" customFormat="1" ht="42" x14ac:dyDescent="0.2">
      <c r="A231" s="225" t="s">
        <v>94</v>
      </c>
      <c r="B231" s="197" t="s">
        <v>675</v>
      </c>
      <c r="C231" s="198">
        <v>1</v>
      </c>
      <c r="D231" s="199">
        <v>915000</v>
      </c>
      <c r="E231" s="198" t="s">
        <v>134</v>
      </c>
      <c r="F231" s="198" t="s">
        <v>97</v>
      </c>
      <c r="G231" s="198" t="s">
        <v>98</v>
      </c>
      <c r="H231" s="200">
        <v>1</v>
      </c>
      <c r="I231" s="199">
        <f t="shared" si="329"/>
        <v>0</v>
      </c>
      <c r="J231" s="199">
        <f t="shared" si="330"/>
        <v>915000</v>
      </c>
      <c r="K231" s="199">
        <f t="shared" si="331"/>
        <v>915000</v>
      </c>
      <c r="L231" s="199"/>
      <c r="M231" s="199">
        <v>915000</v>
      </c>
      <c r="N231" s="199">
        <f t="shared" si="332"/>
        <v>915000</v>
      </c>
      <c r="O231" s="199"/>
      <c r="P231" s="201">
        <v>0</v>
      </c>
      <c r="Q231" s="202">
        <v>14</v>
      </c>
      <c r="R231" s="203">
        <v>45566</v>
      </c>
      <c r="S231" s="199"/>
      <c r="T231" s="199">
        <v>915000</v>
      </c>
      <c r="U231" s="204">
        <f t="shared" si="333"/>
        <v>915000</v>
      </c>
      <c r="V231" s="205"/>
      <c r="W231" s="200"/>
      <c r="X231" s="201"/>
      <c r="Y231" s="201">
        <v>-1081.8399999999699</v>
      </c>
      <c r="Z231" s="201">
        <f t="shared" si="334"/>
        <v>-1081.8399999999699</v>
      </c>
      <c r="AA231" s="198"/>
      <c r="AB231" s="206"/>
      <c r="AC231" s="207"/>
      <c r="AD231" s="201"/>
      <c r="AE231" s="204">
        <f t="shared" si="335"/>
        <v>0</v>
      </c>
      <c r="AF231" s="203">
        <f t="shared" si="336"/>
        <v>45566</v>
      </c>
      <c r="AG231" s="201">
        <f t="shared" si="337"/>
        <v>0</v>
      </c>
      <c r="AH231" s="199">
        <f t="shared" si="338"/>
        <v>913918.16</v>
      </c>
      <c r="AI231" s="199">
        <f t="shared" si="339"/>
        <v>913918.16</v>
      </c>
      <c r="AJ231" s="201">
        <f t="shared" si="326"/>
        <v>0</v>
      </c>
      <c r="AK231" s="201">
        <f t="shared" si="326"/>
        <v>913918.16</v>
      </c>
      <c r="AL231" s="201">
        <f t="shared" si="340"/>
        <v>913918.16</v>
      </c>
      <c r="AM231" s="198"/>
      <c r="AN231" s="203"/>
      <c r="AO231" s="208"/>
      <c r="AP231" s="201">
        <f t="shared" si="341"/>
        <v>0</v>
      </c>
      <c r="AQ231" s="201">
        <f t="shared" si="342"/>
        <v>913918.16</v>
      </c>
      <c r="AR231" s="201">
        <f t="shared" si="343"/>
        <v>913918.16</v>
      </c>
      <c r="AS231" s="201">
        <f t="shared" si="344"/>
        <v>100</v>
      </c>
      <c r="AT231" s="201"/>
      <c r="AU231" s="209">
        <v>913918.16</v>
      </c>
      <c r="AV231" s="201">
        <f t="shared" si="345"/>
        <v>913918.16</v>
      </c>
      <c r="AW231" s="201">
        <f t="shared" si="300"/>
        <v>0</v>
      </c>
      <c r="AX231" s="201">
        <f t="shared" si="346"/>
        <v>100</v>
      </c>
      <c r="AY231" s="208"/>
      <c r="AZ231" s="201">
        <f t="shared" si="347"/>
        <v>0</v>
      </c>
      <c r="BA231" s="201">
        <f t="shared" si="348"/>
        <v>0</v>
      </c>
      <c r="BB231" s="201">
        <f t="shared" si="349"/>
        <v>0</v>
      </c>
      <c r="BC231" s="201"/>
      <c r="BD231" s="209">
        <v>0</v>
      </c>
      <c r="BE231" s="201">
        <f t="shared" si="350"/>
        <v>0</v>
      </c>
      <c r="BF231" s="208"/>
      <c r="BG231" s="201">
        <f t="shared" si="327"/>
        <v>0</v>
      </c>
      <c r="BH231" s="201">
        <f t="shared" si="327"/>
        <v>913918.16</v>
      </c>
      <c r="BI231" s="201">
        <f t="shared" si="351"/>
        <v>913918.16</v>
      </c>
      <c r="BJ231" s="201">
        <f t="shared" si="352"/>
        <v>100</v>
      </c>
      <c r="BK231" s="210">
        <v>25</v>
      </c>
      <c r="BL231" s="210">
        <v>100</v>
      </c>
      <c r="BM231" s="211"/>
      <c r="BN231" s="211"/>
      <c r="BO231" s="212">
        <f t="shared" si="353"/>
        <v>0</v>
      </c>
      <c r="BP231" s="201">
        <f t="shared" si="354"/>
        <v>0</v>
      </c>
      <c r="BQ231" s="201">
        <f t="shared" si="355"/>
        <v>0</v>
      </c>
      <c r="BR231" s="201">
        <f t="shared" si="328"/>
        <v>0</v>
      </c>
      <c r="BS231" s="201">
        <f t="shared" si="328"/>
        <v>0</v>
      </c>
      <c r="BT231" s="201">
        <f t="shared" si="356"/>
        <v>0</v>
      </c>
      <c r="BU231" s="213">
        <f t="shared" si="313"/>
        <v>0</v>
      </c>
      <c r="BV231" s="201">
        <v>1081.8399999999674</v>
      </c>
      <c r="BW231" s="201"/>
      <c r="BX231" s="201">
        <f t="shared" si="357"/>
        <v>1081.8399999999674</v>
      </c>
      <c r="BY231" s="199">
        <v>305000</v>
      </c>
      <c r="BZ231" s="199">
        <v>305000</v>
      </c>
      <c r="CA231" s="199">
        <v>305000</v>
      </c>
      <c r="CB231" s="199"/>
      <c r="CC231" s="199"/>
      <c r="CD231" s="199"/>
      <c r="CE231" s="199"/>
      <c r="CF231" s="199"/>
      <c r="CG231" s="199"/>
      <c r="CH231" s="199"/>
      <c r="CI231" s="199"/>
      <c r="CJ231" s="199"/>
      <c r="CK231" s="214" t="s">
        <v>676</v>
      </c>
      <c r="CL231" s="214" t="s">
        <v>610</v>
      </c>
      <c r="CM231" s="211">
        <v>198</v>
      </c>
      <c r="CN231" s="215"/>
      <c r="CO231" s="215"/>
      <c r="CP231" s="216"/>
      <c r="CQ231" s="217"/>
      <c r="CR231" s="211"/>
      <c r="CS231" s="218"/>
      <c r="CT231" s="218"/>
      <c r="CU231" s="218"/>
      <c r="CV231" s="211"/>
      <c r="CW231" s="211"/>
      <c r="CX231" s="211"/>
      <c r="CY231" s="211"/>
      <c r="CZ231" s="211"/>
      <c r="DA231" s="211"/>
      <c r="DB231" s="211"/>
      <c r="DC231" s="219"/>
      <c r="DD231" s="219"/>
      <c r="DE231" s="219"/>
      <c r="DF231" s="211"/>
      <c r="DG231" s="211"/>
      <c r="DH231" s="211"/>
      <c r="DI231" s="211"/>
      <c r="DJ231" s="211"/>
      <c r="DK231" s="220" t="s">
        <v>32</v>
      </c>
      <c r="DT231" s="222"/>
    </row>
    <row r="232" spans="1:124" s="176" customFormat="1" ht="42" x14ac:dyDescent="0.2">
      <c r="A232" s="225" t="s">
        <v>94</v>
      </c>
      <c r="B232" s="197" t="s">
        <v>677</v>
      </c>
      <c r="C232" s="198">
        <v>1</v>
      </c>
      <c r="D232" s="199">
        <v>728000</v>
      </c>
      <c r="E232" s="198" t="s">
        <v>96</v>
      </c>
      <c r="F232" s="198" t="s">
        <v>97</v>
      </c>
      <c r="G232" s="198" t="s">
        <v>98</v>
      </c>
      <c r="H232" s="200">
        <v>1</v>
      </c>
      <c r="I232" s="199">
        <f t="shared" si="329"/>
        <v>0</v>
      </c>
      <c r="J232" s="199">
        <f t="shared" si="330"/>
        <v>728000</v>
      </c>
      <c r="K232" s="199">
        <f t="shared" si="331"/>
        <v>728000</v>
      </c>
      <c r="L232" s="199"/>
      <c r="M232" s="199">
        <v>728000</v>
      </c>
      <c r="N232" s="199">
        <f t="shared" si="332"/>
        <v>728000</v>
      </c>
      <c r="O232" s="199"/>
      <c r="P232" s="201">
        <v>0</v>
      </c>
      <c r="Q232" s="202">
        <v>14</v>
      </c>
      <c r="R232" s="203">
        <v>45566</v>
      </c>
      <c r="S232" s="199"/>
      <c r="T232" s="199">
        <v>728000</v>
      </c>
      <c r="U232" s="204">
        <f t="shared" si="333"/>
        <v>728000</v>
      </c>
      <c r="V232" s="205"/>
      <c r="W232" s="200"/>
      <c r="X232" s="201"/>
      <c r="Y232" s="201">
        <v>-594.44999999995298</v>
      </c>
      <c r="Z232" s="201">
        <f t="shared" si="334"/>
        <v>-594.44999999995298</v>
      </c>
      <c r="AA232" s="198"/>
      <c r="AB232" s="206"/>
      <c r="AC232" s="207"/>
      <c r="AD232" s="201"/>
      <c r="AE232" s="204">
        <f t="shared" si="335"/>
        <v>0</v>
      </c>
      <c r="AF232" s="203">
        <f t="shared" si="336"/>
        <v>45566</v>
      </c>
      <c r="AG232" s="201">
        <f t="shared" si="337"/>
        <v>0</v>
      </c>
      <c r="AH232" s="199">
        <f t="shared" si="338"/>
        <v>727405.55</v>
      </c>
      <c r="AI232" s="199">
        <f t="shared" si="339"/>
        <v>727405.55</v>
      </c>
      <c r="AJ232" s="201">
        <f t="shared" si="326"/>
        <v>0</v>
      </c>
      <c r="AK232" s="201">
        <f t="shared" si="326"/>
        <v>727405.55</v>
      </c>
      <c r="AL232" s="201">
        <f t="shared" si="340"/>
        <v>727405.55</v>
      </c>
      <c r="AM232" s="198"/>
      <c r="AN232" s="203"/>
      <c r="AO232" s="208"/>
      <c r="AP232" s="201">
        <f t="shared" si="341"/>
        <v>0</v>
      </c>
      <c r="AQ232" s="201">
        <f t="shared" si="342"/>
        <v>727405.55</v>
      </c>
      <c r="AR232" s="201">
        <f t="shared" si="343"/>
        <v>727405.55</v>
      </c>
      <c r="AS232" s="201">
        <f t="shared" si="344"/>
        <v>100</v>
      </c>
      <c r="AT232" s="201"/>
      <c r="AU232" s="209">
        <v>727405.55</v>
      </c>
      <c r="AV232" s="201">
        <f t="shared" si="345"/>
        <v>727405.55</v>
      </c>
      <c r="AW232" s="201">
        <f t="shared" si="300"/>
        <v>0</v>
      </c>
      <c r="AX232" s="201">
        <f t="shared" si="346"/>
        <v>100</v>
      </c>
      <c r="AY232" s="208"/>
      <c r="AZ232" s="201">
        <f t="shared" si="347"/>
        <v>0</v>
      </c>
      <c r="BA232" s="201">
        <f t="shared" si="348"/>
        <v>0</v>
      </c>
      <c r="BB232" s="201">
        <f t="shared" si="349"/>
        <v>0</v>
      </c>
      <c r="BC232" s="201"/>
      <c r="BD232" s="209">
        <v>0</v>
      </c>
      <c r="BE232" s="201">
        <f t="shared" si="350"/>
        <v>0</v>
      </c>
      <c r="BF232" s="208"/>
      <c r="BG232" s="201">
        <f t="shared" si="327"/>
        <v>0</v>
      </c>
      <c r="BH232" s="201">
        <f t="shared" si="327"/>
        <v>727405.55</v>
      </c>
      <c r="BI232" s="201">
        <f t="shared" si="351"/>
        <v>727405.55</v>
      </c>
      <c r="BJ232" s="201">
        <f t="shared" si="352"/>
        <v>100</v>
      </c>
      <c r="BK232" s="210">
        <v>30</v>
      </c>
      <c r="BL232" s="210">
        <v>100</v>
      </c>
      <c r="BM232" s="211"/>
      <c r="BN232" s="211"/>
      <c r="BO232" s="212">
        <f t="shared" si="353"/>
        <v>0</v>
      </c>
      <c r="BP232" s="201">
        <f t="shared" si="354"/>
        <v>0</v>
      </c>
      <c r="BQ232" s="201">
        <f t="shared" si="355"/>
        <v>0</v>
      </c>
      <c r="BR232" s="201">
        <f t="shared" si="328"/>
        <v>0</v>
      </c>
      <c r="BS232" s="201">
        <f t="shared" si="328"/>
        <v>0</v>
      </c>
      <c r="BT232" s="201">
        <f t="shared" si="356"/>
        <v>0</v>
      </c>
      <c r="BU232" s="213">
        <f t="shared" si="313"/>
        <v>0</v>
      </c>
      <c r="BV232" s="201">
        <v>594.44999999995343</v>
      </c>
      <c r="BW232" s="201"/>
      <c r="BX232" s="201">
        <f t="shared" si="357"/>
        <v>594.44999999995343</v>
      </c>
      <c r="BY232" s="199">
        <v>242600</v>
      </c>
      <c r="BZ232" s="199">
        <v>242600</v>
      </c>
      <c r="CA232" s="199">
        <v>242800</v>
      </c>
      <c r="CB232" s="199"/>
      <c r="CC232" s="199"/>
      <c r="CD232" s="199"/>
      <c r="CE232" s="199"/>
      <c r="CF232" s="199"/>
      <c r="CG232" s="199"/>
      <c r="CH232" s="199"/>
      <c r="CI232" s="199"/>
      <c r="CJ232" s="199"/>
      <c r="CK232" s="214" t="s">
        <v>678</v>
      </c>
      <c r="CL232" s="214" t="s">
        <v>610</v>
      </c>
      <c r="CM232" s="211">
        <v>198</v>
      </c>
      <c r="CN232" s="215"/>
      <c r="CO232" s="215"/>
      <c r="CP232" s="216"/>
      <c r="CQ232" s="217"/>
      <c r="CR232" s="211"/>
      <c r="CS232" s="218"/>
      <c r="CT232" s="218"/>
      <c r="CU232" s="218"/>
      <c r="CV232" s="211"/>
      <c r="CW232" s="211"/>
      <c r="CX232" s="211"/>
      <c r="CY232" s="211"/>
      <c r="CZ232" s="211"/>
      <c r="DA232" s="211"/>
      <c r="DB232" s="211"/>
      <c r="DC232" s="219"/>
      <c r="DD232" s="219"/>
      <c r="DE232" s="219"/>
      <c r="DF232" s="211"/>
      <c r="DG232" s="211"/>
      <c r="DH232" s="211"/>
      <c r="DI232" s="211"/>
      <c r="DJ232" s="211"/>
      <c r="DK232" s="220" t="s">
        <v>32</v>
      </c>
      <c r="DT232" s="222"/>
    </row>
    <row r="233" spans="1:124" s="176" customFormat="1" ht="42" x14ac:dyDescent="0.2">
      <c r="A233" s="225" t="s">
        <v>94</v>
      </c>
      <c r="B233" s="197" t="s">
        <v>679</v>
      </c>
      <c r="C233" s="198">
        <v>1</v>
      </c>
      <c r="D233" s="199">
        <v>388000</v>
      </c>
      <c r="E233" s="198" t="s">
        <v>96</v>
      </c>
      <c r="F233" s="198" t="s">
        <v>97</v>
      </c>
      <c r="G233" s="198" t="s">
        <v>98</v>
      </c>
      <c r="H233" s="200">
        <v>1</v>
      </c>
      <c r="I233" s="199">
        <f t="shared" si="329"/>
        <v>0</v>
      </c>
      <c r="J233" s="199">
        <f t="shared" si="330"/>
        <v>388000</v>
      </c>
      <c r="K233" s="199">
        <f t="shared" si="331"/>
        <v>388000</v>
      </c>
      <c r="L233" s="199"/>
      <c r="M233" s="199">
        <v>388000</v>
      </c>
      <c r="N233" s="199">
        <f t="shared" si="332"/>
        <v>388000</v>
      </c>
      <c r="O233" s="199"/>
      <c r="P233" s="201">
        <v>0</v>
      </c>
      <c r="Q233" s="202">
        <v>14</v>
      </c>
      <c r="R233" s="203">
        <v>45566</v>
      </c>
      <c r="S233" s="199"/>
      <c r="T233" s="199">
        <v>388000</v>
      </c>
      <c r="U233" s="204">
        <f t="shared" si="333"/>
        <v>388000</v>
      </c>
      <c r="V233" s="205"/>
      <c r="W233" s="200"/>
      <c r="X233" s="201"/>
      <c r="Y233" s="201">
        <v>-274.869999999995</v>
      </c>
      <c r="Z233" s="201">
        <f t="shared" si="334"/>
        <v>-274.869999999995</v>
      </c>
      <c r="AA233" s="198"/>
      <c r="AB233" s="206"/>
      <c r="AC233" s="207"/>
      <c r="AD233" s="201"/>
      <c r="AE233" s="204">
        <f t="shared" si="335"/>
        <v>0</v>
      </c>
      <c r="AF233" s="203">
        <f t="shared" si="336"/>
        <v>45566</v>
      </c>
      <c r="AG233" s="201">
        <f t="shared" si="337"/>
        <v>0</v>
      </c>
      <c r="AH233" s="199">
        <f t="shared" si="338"/>
        <v>387725.13</v>
      </c>
      <c r="AI233" s="199">
        <f t="shared" si="339"/>
        <v>387725.13</v>
      </c>
      <c r="AJ233" s="201">
        <f t="shared" si="326"/>
        <v>0</v>
      </c>
      <c r="AK233" s="201">
        <f t="shared" si="326"/>
        <v>387725.13</v>
      </c>
      <c r="AL233" s="201">
        <f t="shared" si="340"/>
        <v>387725.13</v>
      </c>
      <c r="AM233" s="198"/>
      <c r="AN233" s="203"/>
      <c r="AO233" s="208"/>
      <c r="AP233" s="201">
        <f t="shared" si="341"/>
        <v>0</v>
      </c>
      <c r="AQ233" s="201">
        <f t="shared" si="342"/>
        <v>387725.13</v>
      </c>
      <c r="AR233" s="201">
        <f t="shared" si="343"/>
        <v>387725.13</v>
      </c>
      <c r="AS233" s="201">
        <f t="shared" si="344"/>
        <v>100</v>
      </c>
      <c r="AT233" s="201"/>
      <c r="AU233" s="209">
        <v>387725.13</v>
      </c>
      <c r="AV233" s="201">
        <f t="shared" si="345"/>
        <v>387725.13</v>
      </c>
      <c r="AW233" s="201">
        <f t="shared" si="300"/>
        <v>0</v>
      </c>
      <c r="AX233" s="201">
        <f t="shared" si="346"/>
        <v>100</v>
      </c>
      <c r="AY233" s="208"/>
      <c r="AZ233" s="201">
        <f t="shared" si="347"/>
        <v>0</v>
      </c>
      <c r="BA233" s="201">
        <f t="shared" si="348"/>
        <v>0</v>
      </c>
      <c r="BB233" s="201">
        <f t="shared" si="349"/>
        <v>0</v>
      </c>
      <c r="BC233" s="201"/>
      <c r="BD233" s="209">
        <v>0</v>
      </c>
      <c r="BE233" s="201">
        <f t="shared" si="350"/>
        <v>0</v>
      </c>
      <c r="BF233" s="208"/>
      <c r="BG233" s="201">
        <f t="shared" si="327"/>
        <v>0</v>
      </c>
      <c r="BH233" s="201">
        <f t="shared" si="327"/>
        <v>387725.13</v>
      </c>
      <c r="BI233" s="201">
        <f t="shared" si="351"/>
        <v>387725.13</v>
      </c>
      <c r="BJ233" s="201">
        <f t="shared" si="352"/>
        <v>100</v>
      </c>
      <c r="BK233" s="210">
        <v>30</v>
      </c>
      <c r="BL233" s="210">
        <v>100</v>
      </c>
      <c r="BM233" s="211"/>
      <c r="BN233" s="211"/>
      <c r="BO233" s="212">
        <f t="shared" si="353"/>
        <v>0</v>
      </c>
      <c r="BP233" s="201">
        <f t="shared" si="354"/>
        <v>0</v>
      </c>
      <c r="BQ233" s="201">
        <f t="shared" si="355"/>
        <v>0</v>
      </c>
      <c r="BR233" s="201">
        <f t="shared" si="328"/>
        <v>0</v>
      </c>
      <c r="BS233" s="201">
        <f t="shared" si="328"/>
        <v>0</v>
      </c>
      <c r="BT233" s="201">
        <f t="shared" si="356"/>
        <v>0</v>
      </c>
      <c r="BU233" s="213">
        <f t="shared" si="313"/>
        <v>0</v>
      </c>
      <c r="BV233" s="201">
        <v>274.86999999999534</v>
      </c>
      <c r="BW233" s="201"/>
      <c r="BX233" s="201">
        <f t="shared" si="357"/>
        <v>274.86999999999534</v>
      </c>
      <c r="BY233" s="199">
        <v>129300</v>
      </c>
      <c r="BZ233" s="199">
        <v>129300</v>
      </c>
      <c r="CA233" s="199">
        <v>129400</v>
      </c>
      <c r="CB233" s="199">
        <v>0</v>
      </c>
      <c r="CC233" s="199">
        <v>0</v>
      </c>
      <c r="CD233" s="199">
        <v>0</v>
      </c>
      <c r="CE233" s="199">
        <v>0</v>
      </c>
      <c r="CF233" s="199">
        <v>0</v>
      </c>
      <c r="CG233" s="199">
        <v>0</v>
      </c>
      <c r="CH233" s="199">
        <v>0</v>
      </c>
      <c r="CI233" s="199"/>
      <c r="CJ233" s="199"/>
      <c r="CK233" s="214" t="s">
        <v>680</v>
      </c>
      <c r="CL233" s="214" t="s">
        <v>610</v>
      </c>
      <c r="CM233" s="211">
        <v>198</v>
      </c>
      <c r="CN233" s="215"/>
      <c r="CO233" s="215"/>
      <c r="CP233" s="216"/>
      <c r="CQ233" s="217"/>
      <c r="CR233" s="211"/>
      <c r="CS233" s="218"/>
      <c r="CT233" s="218"/>
      <c r="CU233" s="218"/>
      <c r="CV233" s="211"/>
      <c r="CW233" s="211"/>
      <c r="CX233" s="211"/>
      <c r="CY233" s="211"/>
      <c r="CZ233" s="211"/>
      <c r="DA233" s="211"/>
      <c r="DB233" s="211"/>
      <c r="DC233" s="219"/>
      <c r="DD233" s="219"/>
      <c r="DE233" s="219"/>
      <c r="DF233" s="211"/>
      <c r="DG233" s="211"/>
      <c r="DH233" s="211"/>
      <c r="DI233" s="211"/>
      <c r="DJ233" s="211"/>
      <c r="DK233" s="220" t="s">
        <v>32</v>
      </c>
      <c r="DT233" s="222"/>
    </row>
    <row r="234" spans="1:124" s="176" customFormat="1" ht="42" x14ac:dyDescent="0.2">
      <c r="A234" s="225" t="s">
        <v>94</v>
      </c>
      <c r="B234" s="197" t="s">
        <v>681</v>
      </c>
      <c r="C234" s="198">
        <v>1</v>
      </c>
      <c r="D234" s="199">
        <v>3420000</v>
      </c>
      <c r="E234" s="198" t="s">
        <v>176</v>
      </c>
      <c r="F234" s="198" t="s">
        <v>97</v>
      </c>
      <c r="G234" s="198" t="s">
        <v>98</v>
      </c>
      <c r="H234" s="200">
        <v>1</v>
      </c>
      <c r="I234" s="199">
        <f t="shared" si="329"/>
        <v>0</v>
      </c>
      <c r="J234" s="199">
        <f t="shared" si="330"/>
        <v>3420000</v>
      </c>
      <c r="K234" s="199">
        <f t="shared" si="331"/>
        <v>3420000</v>
      </c>
      <c r="L234" s="199"/>
      <c r="M234" s="199">
        <v>3420000</v>
      </c>
      <c r="N234" s="199">
        <f t="shared" si="332"/>
        <v>3420000</v>
      </c>
      <c r="O234" s="199"/>
      <c r="P234" s="201">
        <v>0</v>
      </c>
      <c r="Q234" s="202">
        <v>14</v>
      </c>
      <c r="R234" s="203">
        <v>45566</v>
      </c>
      <c r="S234" s="199"/>
      <c r="T234" s="199">
        <v>3420000</v>
      </c>
      <c r="U234" s="204">
        <f t="shared" si="333"/>
        <v>3420000</v>
      </c>
      <c r="V234" s="205">
        <v>2340</v>
      </c>
      <c r="W234" s="200">
        <v>45803</v>
      </c>
      <c r="X234" s="201"/>
      <c r="Y234" s="201">
        <v>-35416</v>
      </c>
      <c r="Z234" s="201">
        <f t="shared" si="334"/>
        <v>-35416</v>
      </c>
      <c r="AA234" s="198"/>
      <c r="AB234" s="206"/>
      <c r="AC234" s="207"/>
      <c r="AD234" s="201"/>
      <c r="AE234" s="204">
        <f t="shared" si="335"/>
        <v>0</v>
      </c>
      <c r="AF234" s="203">
        <f t="shared" si="336"/>
        <v>45566</v>
      </c>
      <c r="AG234" s="201">
        <f t="shared" si="337"/>
        <v>0</v>
      </c>
      <c r="AH234" s="199">
        <f t="shared" si="338"/>
        <v>3384584</v>
      </c>
      <c r="AI234" s="199">
        <f t="shared" si="339"/>
        <v>3384584</v>
      </c>
      <c r="AJ234" s="201">
        <f t="shared" ref="AJ234:AK257" si="358">+S234+X234+AC234</f>
        <v>0</v>
      </c>
      <c r="AK234" s="201">
        <f t="shared" si="358"/>
        <v>3384584</v>
      </c>
      <c r="AL234" s="201">
        <f t="shared" si="340"/>
        <v>3384584</v>
      </c>
      <c r="AM234" s="198"/>
      <c r="AN234" s="203"/>
      <c r="AO234" s="208"/>
      <c r="AP234" s="201">
        <f t="shared" si="341"/>
        <v>0</v>
      </c>
      <c r="AQ234" s="201">
        <f t="shared" si="342"/>
        <v>3261399.8</v>
      </c>
      <c r="AR234" s="201">
        <f t="shared" si="343"/>
        <v>3261399.8</v>
      </c>
      <c r="AS234" s="201">
        <f t="shared" si="344"/>
        <v>96.360433069470275</v>
      </c>
      <c r="AT234" s="201"/>
      <c r="AU234" s="209">
        <v>3261399.8</v>
      </c>
      <c r="AV234" s="201">
        <f t="shared" si="345"/>
        <v>3261399.8</v>
      </c>
      <c r="AW234" s="201">
        <f t="shared" si="300"/>
        <v>0</v>
      </c>
      <c r="AX234" s="201">
        <f t="shared" si="346"/>
        <v>96.360433069470275</v>
      </c>
      <c r="AY234" s="208"/>
      <c r="AZ234" s="201">
        <f t="shared" si="347"/>
        <v>0</v>
      </c>
      <c r="BA234" s="201">
        <f t="shared" si="348"/>
        <v>0</v>
      </c>
      <c r="BB234" s="201">
        <f t="shared" si="349"/>
        <v>0</v>
      </c>
      <c r="BC234" s="201"/>
      <c r="BD234" s="209">
        <v>0</v>
      </c>
      <c r="BE234" s="201">
        <f t="shared" si="350"/>
        <v>0</v>
      </c>
      <c r="BF234" s="208"/>
      <c r="BG234" s="201">
        <f t="shared" ref="BG234:BH257" si="359">+AP234+AZ234</f>
        <v>0</v>
      </c>
      <c r="BH234" s="201">
        <f t="shared" si="359"/>
        <v>3261399.8</v>
      </c>
      <c r="BI234" s="201">
        <f t="shared" si="351"/>
        <v>3261399.8</v>
      </c>
      <c r="BJ234" s="201">
        <f t="shared" si="352"/>
        <v>96.360433069470275</v>
      </c>
      <c r="BK234" s="210">
        <v>20</v>
      </c>
      <c r="BL234" s="210">
        <v>95</v>
      </c>
      <c r="BM234" s="211"/>
      <c r="BN234" s="211"/>
      <c r="BO234" s="212">
        <f t="shared" si="353"/>
        <v>0</v>
      </c>
      <c r="BP234" s="201">
        <f t="shared" si="354"/>
        <v>123184.20000000019</v>
      </c>
      <c r="BQ234" s="201">
        <f t="shared" si="355"/>
        <v>123184.20000000019</v>
      </c>
      <c r="BR234" s="201">
        <f t="shared" ref="BR234:BS257" si="360">+AJ234-AT234</f>
        <v>0</v>
      </c>
      <c r="BS234" s="201">
        <f t="shared" si="360"/>
        <v>123184.20000000019</v>
      </c>
      <c r="BT234" s="201">
        <f t="shared" si="356"/>
        <v>123184.20000000019</v>
      </c>
      <c r="BU234" s="213">
        <f t="shared" si="313"/>
        <v>0</v>
      </c>
      <c r="BV234" s="201">
        <v>35416</v>
      </c>
      <c r="BW234" s="201"/>
      <c r="BX234" s="201">
        <f t="shared" si="357"/>
        <v>35416</v>
      </c>
      <c r="BY234" s="199">
        <v>600000</v>
      </c>
      <c r="BZ234" s="199">
        <v>650000</v>
      </c>
      <c r="CA234" s="199">
        <v>650000</v>
      </c>
      <c r="CB234" s="199">
        <v>550000</v>
      </c>
      <c r="CC234" s="199">
        <v>550000</v>
      </c>
      <c r="CD234" s="199">
        <v>420000</v>
      </c>
      <c r="CE234" s="199">
        <v>0</v>
      </c>
      <c r="CF234" s="199">
        <v>0</v>
      </c>
      <c r="CG234" s="199">
        <v>0</v>
      </c>
      <c r="CH234" s="199">
        <v>0</v>
      </c>
      <c r="CI234" s="199"/>
      <c r="CJ234" s="199"/>
      <c r="CK234" s="214" t="s">
        <v>682</v>
      </c>
      <c r="CL234" s="214" t="s">
        <v>610</v>
      </c>
      <c r="CM234" s="211">
        <v>198</v>
      </c>
      <c r="CN234" s="215"/>
      <c r="CO234" s="215"/>
      <c r="CP234" s="216"/>
      <c r="CQ234" s="217"/>
      <c r="CR234" s="211"/>
      <c r="CS234" s="218"/>
      <c r="CT234" s="218"/>
      <c r="CU234" s="218"/>
      <c r="CV234" s="211"/>
      <c r="CW234" s="211"/>
      <c r="CX234" s="211"/>
      <c r="CY234" s="211"/>
      <c r="CZ234" s="211"/>
      <c r="DA234" s="211"/>
      <c r="DB234" s="211"/>
      <c r="DC234" s="219"/>
      <c r="DD234" s="219"/>
      <c r="DE234" s="219"/>
      <c r="DF234" s="211"/>
      <c r="DG234" s="211"/>
      <c r="DH234" s="211"/>
      <c r="DI234" s="211"/>
      <c r="DJ234" s="211"/>
      <c r="DK234" s="220" t="s">
        <v>32</v>
      </c>
      <c r="DT234" s="222"/>
    </row>
    <row r="235" spans="1:124" s="176" customFormat="1" ht="42" x14ac:dyDescent="0.2">
      <c r="A235" s="225" t="s">
        <v>94</v>
      </c>
      <c r="B235" s="197" t="s">
        <v>683</v>
      </c>
      <c r="C235" s="198">
        <v>1</v>
      </c>
      <c r="D235" s="199">
        <v>700000</v>
      </c>
      <c r="E235" s="198" t="s">
        <v>173</v>
      </c>
      <c r="F235" s="198" t="s">
        <v>97</v>
      </c>
      <c r="G235" s="198" t="s">
        <v>98</v>
      </c>
      <c r="H235" s="200">
        <v>1</v>
      </c>
      <c r="I235" s="199">
        <f t="shared" si="329"/>
        <v>0</v>
      </c>
      <c r="J235" s="199">
        <f t="shared" si="330"/>
        <v>700000</v>
      </c>
      <c r="K235" s="199">
        <f t="shared" si="331"/>
        <v>700000</v>
      </c>
      <c r="L235" s="199"/>
      <c r="M235" s="199">
        <v>700000</v>
      </c>
      <c r="N235" s="199">
        <f t="shared" si="332"/>
        <v>700000</v>
      </c>
      <c r="O235" s="199"/>
      <c r="P235" s="201">
        <v>0</v>
      </c>
      <c r="Q235" s="202">
        <v>14</v>
      </c>
      <c r="R235" s="203">
        <v>45566</v>
      </c>
      <c r="S235" s="199"/>
      <c r="T235" s="199">
        <v>700000</v>
      </c>
      <c r="U235" s="204">
        <f t="shared" si="333"/>
        <v>700000</v>
      </c>
      <c r="V235" s="205"/>
      <c r="W235" s="200"/>
      <c r="X235" s="201"/>
      <c r="Y235" s="201">
        <v>-846.5</v>
      </c>
      <c r="Z235" s="201">
        <f t="shared" si="334"/>
        <v>-846.5</v>
      </c>
      <c r="AA235" s="198"/>
      <c r="AB235" s="206"/>
      <c r="AC235" s="207"/>
      <c r="AD235" s="201"/>
      <c r="AE235" s="204">
        <f t="shared" si="335"/>
        <v>0</v>
      </c>
      <c r="AF235" s="203">
        <f t="shared" si="336"/>
        <v>45566</v>
      </c>
      <c r="AG235" s="201">
        <f t="shared" si="337"/>
        <v>0</v>
      </c>
      <c r="AH235" s="199">
        <f t="shared" si="338"/>
        <v>699153.5</v>
      </c>
      <c r="AI235" s="199">
        <f t="shared" si="339"/>
        <v>699153.5</v>
      </c>
      <c r="AJ235" s="201">
        <f t="shared" si="358"/>
        <v>0</v>
      </c>
      <c r="AK235" s="201">
        <f t="shared" si="358"/>
        <v>699153.5</v>
      </c>
      <c r="AL235" s="201">
        <f t="shared" si="340"/>
        <v>699153.5</v>
      </c>
      <c r="AM235" s="198"/>
      <c r="AN235" s="203"/>
      <c r="AO235" s="208"/>
      <c r="AP235" s="201">
        <f t="shared" si="341"/>
        <v>0</v>
      </c>
      <c r="AQ235" s="201">
        <f t="shared" si="342"/>
        <v>699153.5</v>
      </c>
      <c r="AR235" s="201">
        <f t="shared" si="343"/>
        <v>699153.5</v>
      </c>
      <c r="AS235" s="201">
        <f t="shared" si="344"/>
        <v>100</v>
      </c>
      <c r="AT235" s="201"/>
      <c r="AU235" s="209">
        <v>699153.5</v>
      </c>
      <c r="AV235" s="201">
        <f t="shared" si="345"/>
        <v>699153.5</v>
      </c>
      <c r="AW235" s="201">
        <f t="shared" si="300"/>
        <v>0</v>
      </c>
      <c r="AX235" s="201">
        <f t="shared" si="346"/>
        <v>100</v>
      </c>
      <c r="AY235" s="208"/>
      <c r="AZ235" s="201">
        <f t="shared" si="347"/>
        <v>0</v>
      </c>
      <c r="BA235" s="201">
        <f t="shared" si="348"/>
        <v>0</v>
      </c>
      <c r="BB235" s="201">
        <f t="shared" si="349"/>
        <v>0</v>
      </c>
      <c r="BC235" s="201"/>
      <c r="BD235" s="209">
        <v>0</v>
      </c>
      <c r="BE235" s="201">
        <f t="shared" si="350"/>
        <v>0</v>
      </c>
      <c r="BF235" s="208"/>
      <c r="BG235" s="201">
        <f t="shared" si="359"/>
        <v>0</v>
      </c>
      <c r="BH235" s="201">
        <f t="shared" si="359"/>
        <v>699153.5</v>
      </c>
      <c r="BI235" s="201">
        <f t="shared" si="351"/>
        <v>699153.5</v>
      </c>
      <c r="BJ235" s="201">
        <f t="shared" si="352"/>
        <v>100</v>
      </c>
      <c r="BK235" s="210">
        <v>40</v>
      </c>
      <c r="BL235" s="210">
        <v>100</v>
      </c>
      <c r="BM235" s="211"/>
      <c r="BN235" s="211"/>
      <c r="BO235" s="212">
        <f t="shared" si="353"/>
        <v>0</v>
      </c>
      <c r="BP235" s="201">
        <f t="shared" si="354"/>
        <v>0</v>
      </c>
      <c r="BQ235" s="201">
        <f t="shared" si="355"/>
        <v>0</v>
      </c>
      <c r="BR235" s="201">
        <f t="shared" si="360"/>
        <v>0</v>
      </c>
      <c r="BS235" s="201">
        <f t="shared" si="360"/>
        <v>0</v>
      </c>
      <c r="BT235" s="201">
        <f t="shared" si="356"/>
        <v>0</v>
      </c>
      <c r="BU235" s="213">
        <f t="shared" si="313"/>
        <v>0</v>
      </c>
      <c r="BV235" s="201">
        <v>846.5</v>
      </c>
      <c r="BW235" s="201"/>
      <c r="BX235" s="201">
        <f t="shared" si="357"/>
        <v>846.5</v>
      </c>
      <c r="BY235" s="199">
        <v>233300</v>
      </c>
      <c r="BZ235" s="199">
        <v>233300</v>
      </c>
      <c r="CA235" s="199">
        <v>233400</v>
      </c>
      <c r="CB235" s="199">
        <v>0</v>
      </c>
      <c r="CC235" s="199">
        <v>0</v>
      </c>
      <c r="CD235" s="199">
        <v>0</v>
      </c>
      <c r="CE235" s="199">
        <v>0</v>
      </c>
      <c r="CF235" s="199">
        <v>0</v>
      </c>
      <c r="CG235" s="199">
        <v>0</v>
      </c>
      <c r="CH235" s="199">
        <v>0</v>
      </c>
      <c r="CI235" s="199"/>
      <c r="CJ235" s="199"/>
      <c r="CK235" s="214" t="s">
        <v>684</v>
      </c>
      <c r="CL235" s="214" t="s">
        <v>610</v>
      </c>
      <c r="CM235" s="211">
        <v>198</v>
      </c>
      <c r="CN235" s="215"/>
      <c r="CO235" s="215"/>
      <c r="CP235" s="216"/>
      <c r="CQ235" s="217"/>
      <c r="CR235" s="211"/>
      <c r="CS235" s="218"/>
      <c r="CT235" s="218"/>
      <c r="CU235" s="218"/>
      <c r="CV235" s="211"/>
      <c r="CW235" s="211"/>
      <c r="CX235" s="211"/>
      <c r="CY235" s="211"/>
      <c r="CZ235" s="211"/>
      <c r="DA235" s="211"/>
      <c r="DB235" s="211"/>
      <c r="DC235" s="219"/>
      <c r="DD235" s="219"/>
      <c r="DE235" s="219"/>
      <c r="DF235" s="211"/>
      <c r="DG235" s="211"/>
      <c r="DH235" s="211"/>
      <c r="DI235" s="211"/>
      <c r="DJ235" s="211"/>
      <c r="DK235" s="220" t="s">
        <v>32</v>
      </c>
      <c r="DT235" s="222"/>
    </row>
    <row r="236" spans="1:124" s="176" customFormat="1" ht="42" x14ac:dyDescent="0.2">
      <c r="A236" s="225" t="s">
        <v>94</v>
      </c>
      <c r="B236" s="197" t="s">
        <v>685</v>
      </c>
      <c r="C236" s="198">
        <v>1</v>
      </c>
      <c r="D236" s="199">
        <v>950000</v>
      </c>
      <c r="E236" s="198" t="s">
        <v>159</v>
      </c>
      <c r="F236" s="198" t="s">
        <v>111</v>
      </c>
      <c r="G236" s="198" t="s">
        <v>98</v>
      </c>
      <c r="H236" s="200">
        <v>1</v>
      </c>
      <c r="I236" s="199">
        <f t="shared" si="329"/>
        <v>0</v>
      </c>
      <c r="J236" s="199">
        <f t="shared" si="330"/>
        <v>950000</v>
      </c>
      <c r="K236" s="199">
        <f t="shared" si="331"/>
        <v>950000</v>
      </c>
      <c r="L236" s="199"/>
      <c r="M236" s="199">
        <v>950000</v>
      </c>
      <c r="N236" s="199">
        <f t="shared" si="332"/>
        <v>950000</v>
      </c>
      <c r="O236" s="199"/>
      <c r="P236" s="201">
        <v>0</v>
      </c>
      <c r="Q236" s="202">
        <v>14</v>
      </c>
      <c r="R236" s="203">
        <v>45566</v>
      </c>
      <c r="S236" s="199"/>
      <c r="T236" s="199">
        <v>950000</v>
      </c>
      <c r="U236" s="204">
        <f t="shared" si="333"/>
        <v>950000</v>
      </c>
      <c r="V236" s="205"/>
      <c r="W236" s="200"/>
      <c r="X236" s="201"/>
      <c r="Y236" s="201"/>
      <c r="Z236" s="201">
        <f t="shared" si="334"/>
        <v>0</v>
      </c>
      <c r="AA236" s="198"/>
      <c r="AB236" s="206"/>
      <c r="AC236" s="207"/>
      <c r="AD236" s="201"/>
      <c r="AE236" s="204">
        <f t="shared" si="335"/>
        <v>0</v>
      </c>
      <c r="AF236" s="203">
        <f t="shared" si="336"/>
        <v>45566</v>
      </c>
      <c r="AG236" s="201">
        <f t="shared" si="337"/>
        <v>0</v>
      </c>
      <c r="AH236" s="199">
        <f t="shared" si="338"/>
        <v>950000</v>
      </c>
      <c r="AI236" s="199">
        <f t="shared" si="339"/>
        <v>950000</v>
      </c>
      <c r="AJ236" s="201">
        <f t="shared" si="358"/>
        <v>0</v>
      </c>
      <c r="AK236" s="201">
        <f t="shared" si="358"/>
        <v>950000</v>
      </c>
      <c r="AL236" s="201">
        <f t="shared" si="340"/>
        <v>950000</v>
      </c>
      <c r="AM236" s="198"/>
      <c r="AN236" s="203"/>
      <c r="AO236" s="208"/>
      <c r="AP236" s="201">
        <f t="shared" si="341"/>
        <v>0</v>
      </c>
      <c r="AQ236" s="201">
        <f t="shared" si="342"/>
        <v>940497.15</v>
      </c>
      <c r="AR236" s="201">
        <f t="shared" si="343"/>
        <v>940497.15</v>
      </c>
      <c r="AS236" s="201">
        <f t="shared" si="344"/>
        <v>98.999700000000004</v>
      </c>
      <c r="AT236" s="201"/>
      <c r="AU236" s="209">
        <v>940497.15</v>
      </c>
      <c r="AV236" s="201">
        <f t="shared" si="345"/>
        <v>940497.15</v>
      </c>
      <c r="AW236" s="201">
        <f t="shared" si="300"/>
        <v>0</v>
      </c>
      <c r="AX236" s="201">
        <f t="shared" si="346"/>
        <v>98.999700000000004</v>
      </c>
      <c r="AY236" s="208"/>
      <c r="AZ236" s="201">
        <f t="shared" si="347"/>
        <v>0</v>
      </c>
      <c r="BA236" s="201">
        <f t="shared" si="348"/>
        <v>0</v>
      </c>
      <c r="BB236" s="201">
        <f t="shared" si="349"/>
        <v>0</v>
      </c>
      <c r="BC236" s="201"/>
      <c r="BD236" s="209">
        <v>0</v>
      </c>
      <c r="BE236" s="201">
        <f t="shared" si="350"/>
        <v>0</v>
      </c>
      <c r="BF236" s="208"/>
      <c r="BG236" s="201">
        <f t="shared" si="359"/>
        <v>0</v>
      </c>
      <c r="BH236" s="201">
        <f t="shared" si="359"/>
        <v>940497.15</v>
      </c>
      <c r="BI236" s="201">
        <f t="shared" si="351"/>
        <v>940497.15</v>
      </c>
      <c r="BJ236" s="201">
        <f t="shared" si="352"/>
        <v>98.999700000000004</v>
      </c>
      <c r="BK236" s="210">
        <v>20</v>
      </c>
      <c r="BL236" s="210">
        <v>99</v>
      </c>
      <c r="BM236" s="211"/>
      <c r="BN236" s="211"/>
      <c r="BO236" s="212">
        <f t="shared" si="353"/>
        <v>0</v>
      </c>
      <c r="BP236" s="201">
        <f t="shared" si="354"/>
        <v>9502.8499999999767</v>
      </c>
      <c r="BQ236" s="201">
        <f t="shared" si="355"/>
        <v>9502.8499999999767</v>
      </c>
      <c r="BR236" s="201">
        <f t="shared" si="360"/>
        <v>0</v>
      </c>
      <c r="BS236" s="201">
        <f t="shared" si="360"/>
        <v>9502.8499999999767</v>
      </c>
      <c r="BT236" s="201">
        <f t="shared" si="356"/>
        <v>9502.8499999999767</v>
      </c>
      <c r="BU236" s="213">
        <f t="shared" si="313"/>
        <v>0</v>
      </c>
      <c r="BV236" s="201"/>
      <c r="BW236" s="201"/>
      <c r="BX236" s="201">
        <f t="shared" si="357"/>
        <v>0</v>
      </c>
      <c r="BY236" s="199">
        <v>316600</v>
      </c>
      <c r="BZ236" s="199">
        <v>316600</v>
      </c>
      <c r="CA236" s="199">
        <v>316800</v>
      </c>
      <c r="CB236" s="199">
        <v>0</v>
      </c>
      <c r="CC236" s="199">
        <v>0</v>
      </c>
      <c r="CD236" s="199">
        <v>0</v>
      </c>
      <c r="CE236" s="199">
        <v>0</v>
      </c>
      <c r="CF236" s="199">
        <v>0</v>
      </c>
      <c r="CG236" s="199">
        <v>0</v>
      </c>
      <c r="CH236" s="199">
        <v>0</v>
      </c>
      <c r="CI236" s="199"/>
      <c r="CJ236" s="199"/>
      <c r="CK236" s="214" t="s">
        <v>686</v>
      </c>
      <c r="CL236" s="214" t="s">
        <v>610</v>
      </c>
      <c r="CM236" s="211">
        <v>198</v>
      </c>
      <c r="CN236" s="215"/>
      <c r="CO236" s="215"/>
      <c r="CP236" s="216"/>
      <c r="CQ236" s="217"/>
      <c r="CR236" s="211"/>
      <c r="CS236" s="218"/>
      <c r="CT236" s="218"/>
      <c r="CU236" s="218"/>
      <c r="CV236" s="211"/>
      <c r="CW236" s="211"/>
      <c r="CX236" s="211"/>
      <c r="CY236" s="211"/>
      <c r="CZ236" s="211"/>
      <c r="DA236" s="211"/>
      <c r="DB236" s="211"/>
      <c r="DC236" s="219"/>
      <c r="DD236" s="219"/>
      <c r="DE236" s="219"/>
      <c r="DF236" s="211"/>
      <c r="DG236" s="211"/>
      <c r="DH236" s="211"/>
      <c r="DI236" s="211"/>
      <c r="DJ236" s="211"/>
      <c r="DK236" s="220" t="s">
        <v>32</v>
      </c>
      <c r="DT236" s="222"/>
    </row>
    <row r="237" spans="1:124" s="176" customFormat="1" ht="42" x14ac:dyDescent="0.2">
      <c r="A237" s="225" t="s">
        <v>94</v>
      </c>
      <c r="B237" s="197" t="s">
        <v>687</v>
      </c>
      <c r="C237" s="198">
        <v>1</v>
      </c>
      <c r="D237" s="199">
        <v>5800000</v>
      </c>
      <c r="E237" s="198" t="s">
        <v>688</v>
      </c>
      <c r="F237" s="198" t="s">
        <v>97</v>
      </c>
      <c r="G237" s="198" t="s">
        <v>98</v>
      </c>
      <c r="H237" s="200">
        <v>1</v>
      </c>
      <c r="I237" s="199">
        <f t="shared" si="329"/>
        <v>0</v>
      </c>
      <c r="J237" s="199">
        <f t="shared" si="330"/>
        <v>5800000</v>
      </c>
      <c r="K237" s="199">
        <f t="shared" si="331"/>
        <v>5800000</v>
      </c>
      <c r="L237" s="199"/>
      <c r="M237" s="199">
        <v>5800000</v>
      </c>
      <c r="N237" s="199">
        <f t="shared" si="332"/>
        <v>5800000</v>
      </c>
      <c r="O237" s="199"/>
      <c r="P237" s="201">
        <v>0</v>
      </c>
      <c r="Q237" s="202">
        <v>14</v>
      </c>
      <c r="R237" s="203">
        <v>45566</v>
      </c>
      <c r="S237" s="199"/>
      <c r="T237" s="199">
        <v>5800000</v>
      </c>
      <c r="U237" s="204">
        <f t="shared" si="333"/>
        <v>5800000</v>
      </c>
      <c r="V237" s="205">
        <v>2340</v>
      </c>
      <c r="W237" s="200">
        <v>45803</v>
      </c>
      <c r="X237" s="201"/>
      <c r="Y237" s="201">
        <v>-171430</v>
      </c>
      <c r="Z237" s="201">
        <f t="shared" si="334"/>
        <v>-171430</v>
      </c>
      <c r="AA237" s="198"/>
      <c r="AB237" s="206"/>
      <c r="AC237" s="207"/>
      <c r="AD237" s="201"/>
      <c r="AE237" s="204">
        <f t="shared" si="335"/>
        <v>0</v>
      </c>
      <c r="AF237" s="203">
        <f t="shared" si="336"/>
        <v>45566</v>
      </c>
      <c r="AG237" s="201">
        <f t="shared" si="337"/>
        <v>0</v>
      </c>
      <c r="AH237" s="199">
        <f t="shared" si="338"/>
        <v>5628570</v>
      </c>
      <c r="AI237" s="199">
        <f t="shared" si="339"/>
        <v>5628570</v>
      </c>
      <c r="AJ237" s="201">
        <f t="shared" si="358"/>
        <v>0</v>
      </c>
      <c r="AK237" s="201">
        <f t="shared" si="358"/>
        <v>5628570</v>
      </c>
      <c r="AL237" s="201">
        <f t="shared" si="340"/>
        <v>5628570</v>
      </c>
      <c r="AM237" s="198"/>
      <c r="AN237" s="203"/>
      <c r="AO237" s="208"/>
      <c r="AP237" s="201">
        <f t="shared" si="341"/>
        <v>0</v>
      </c>
      <c r="AQ237" s="201">
        <f t="shared" si="342"/>
        <v>5311232.71</v>
      </c>
      <c r="AR237" s="201">
        <f t="shared" si="343"/>
        <v>5311232.71</v>
      </c>
      <c r="AS237" s="201">
        <f t="shared" si="344"/>
        <v>94.362026411681825</v>
      </c>
      <c r="AT237" s="201"/>
      <c r="AU237" s="209">
        <v>5311232.71</v>
      </c>
      <c r="AV237" s="201">
        <f t="shared" si="345"/>
        <v>5311232.71</v>
      </c>
      <c r="AW237" s="201">
        <f t="shared" si="300"/>
        <v>7.1066007884773574</v>
      </c>
      <c r="AX237" s="201">
        <f t="shared" si="346"/>
        <v>94.362026411681825</v>
      </c>
      <c r="AY237" s="208"/>
      <c r="AZ237" s="201">
        <f t="shared" si="347"/>
        <v>0</v>
      </c>
      <c r="BA237" s="201">
        <f t="shared" si="348"/>
        <v>0</v>
      </c>
      <c r="BB237" s="201">
        <f t="shared" si="349"/>
        <v>0</v>
      </c>
      <c r="BC237" s="201"/>
      <c r="BD237" s="209">
        <v>0</v>
      </c>
      <c r="BE237" s="201">
        <f t="shared" si="350"/>
        <v>0</v>
      </c>
      <c r="BF237" s="208"/>
      <c r="BG237" s="201">
        <f t="shared" si="359"/>
        <v>0</v>
      </c>
      <c r="BH237" s="201">
        <f t="shared" si="359"/>
        <v>5311232.71</v>
      </c>
      <c r="BI237" s="201">
        <f t="shared" si="351"/>
        <v>5311232.71</v>
      </c>
      <c r="BJ237" s="201">
        <f t="shared" si="352"/>
        <v>94.362026411681825</v>
      </c>
      <c r="BK237" s="210">
        <v>20</v>
      </c>
      <c r="BL237" s="210">
        <v>90</v>
      </c>
      <c r="BM237" s="211"/>
      <c r="BN237" s="211"/>
      <c r="BO237" s="212">
        <f t="shared" si="353"/>
        <v>0</v>
      </c>
      <c r="BP237" s="201">
        <f t="shared" si="354"/>
        <v>317337.29000000004</v>
      </c>
      <c r="BQ237" s="201">
        <f t="shared" si="355"/>
        <v>317337.29000000004</v>
      </c>
      <c r="BR237" s="201">
        <f t="shared" si="360"/>
        <v>0</v>
      </c>
      <c r="BS237" s="201">
        <f t="shared" si="360"/>
        <v>317337.29000000004</v>
      </c>
      <c r="BT237" s="201">
        <f t="shared" si="356"/>
        <v>317337.29000000004</v>
      </c>
      <c r="BU237" s="213">
        <f t="shared" si="313"/>
        <v>0</v>
      </c>
      <c r="BV237" s="201">
        <v>171430</v>
      </c>
      <c r="BW237" s="201"/>
      <c r="BX237" s="201">
        <f t="shared" si="357"/>
        <v>171430</v>
      </c>
      <c r="BY237" s="199">
        <v>800000</v>
      </c>
      <c r="BZ237" s="199">
        <v>800000</v>
      </c>
      <c r="CA237" s="199">
        <v>1000000</v>
      </c>
      <c r="CB237" s="199">
        <v>700000</v>
      </c>
      <c r="CC237" s="199">
        <v>700000</v>
      </c>
      <c r="CD237" s="199">
        <v>700000</v>
      </c>
      <c r="CE237" s="199">
        <v>400000</v>
      </c>
      <c r="CF237" s="199">
        <v>400000</v>
      </c>
      <c r="CG237" s="199">
        <v>300000</v>
      </c>
      <c r="CH237" s="199">
        <v>0</v>
      </c>
      <c r="CI237" s="199"/>
      <c r="CJ237" s="199"/>
      <c r="CK237" s="214" t="s">
        <v>689</v>
      </c>
      <c r="CL237" s="214" t="s">
        <v>610</v>
      </c>
      <c r="CM237" s="211">
        <v>198</v>
      </c>
      <c r="CN237" s="215"/>
      <c r="CO237" s="215"/>
      <c r="CP237" s="216"/>
      <c r="CQ237" s="217"/>
      <c r="CR237" s="211"/>
      <c r="CS237" s="218"/>
      <c r="CT237" s="218"/>
      <c r="CU237" s="218"/>
      <c r="CV237" s="211"/>
      <c r="CW237" s="211"/>
      <c r="CX237" s="211"/>
      <c r="CY237" s="211"/>
      <c r="CZ237" s="211"/>
      <c r="DA237" s="211"/>
      <c r="DB237" s="211"/>
      <c r="DC237" s="219"/>
      <c r="DD237" s="219"/>
      <c r="DE237" s="219"/>
      <c r="DF237" s="211"/>
      <c r="DG237" s="211"/>
      <c r="DH237" s="211"/>
      <c r="DI237" s="211"/>
      <c r="DJ237" s="211"/>
      <c r="DK237" s="220" t="s">
        <v>32</v>
      </c>
      <c r="DT237" s="222"/>
    </row>
    <row r="238" spans="1:124" s="176" customFormat="1" ht="42" x14ac:dyDescent="0.2">
      <c r="A238" s="225" t="s">
        <v>94</v>
      </c>
      <c r="B238" s="197" t="s">
        <v>690</v>
      </c>
      <c r="C238" s="198">
        <v>1</v>
      </c>
      <c r="D238" s="199">
        <v>600000</v>
      </c>
      <c r="E238" s="198" t="s">
        <v>110</v>
      </c>
      <c r="F238" s="198" t="s">
        <v>111</v>
      </c>
      <c r="G238" s="198" t="s">
        <v>98</v>
      </c>
      <c r="H238" s="200">
        <v>1</v>
      </c>
      <c r="I238" s="199">
        <f t="shared" si="329"/>
        <v>0</v>
      </c>
      <c r="J238" s="199">
        <f t="shared" si="330"/>
        <v>600000</v>
      </c>
      <c r="K238" s="199">
        <f t="shared" si="331"/>
        <v>600000</v>
      </c>
      <c r="L238" s="199"/>
      <c r="M238" s="199">
        <v>600000</v>
      </c>
      <c r="N238" s="199">
        <f t="shared" si="332"/>
        <v>600000</v>
      </c>
      <c r="O238" s="199"/>
      <c r="P238" s="201">
        <v>0</v>
      </c>
      <c r="Q238" s="202">
        <v>14</v>
      </c>
      <c r="R238" s="203">
        <v>45566</v>
      </c>
      <c r="S238" s="199"/>
      <c r="T238" s="199">
        <v>600000</v>
      </c>
      <c r="U238" s="204">
        <f t="shared" si="333"/>
        <v>600000</v>
      </c>
      <c r="V238" s="205"/>
      <c r="W238" s="200"/>
      <c r="X238" s="201"/>
      <c r="Y238" s="201"/>
      <c r="Z238" s="201">
        <f t="shared" si="334"/>
        <v>0</v>
      </c>
      <c r="AA238" s="198"/>
      <c r="AB238" s="206"/>
      <c r="AC238" s="207"/>
      <c r="AD238" s="201"/>
      <c r="AE238" s="204">
        <f t="shared" si="335"/>
        <v>0</v>
      </c>
      <c r="AF238" s="203">
        <f t="shared" si="336"/>
        <v>45566</v>
      </c>
      <c r="AG238" s="201">
        <f t="shared" si="337"/>
        <v>0</v>
      </c>
      <c r="AH238" s="199">
        <f t="shared" si="338"/>
        <v>600000</v>
      </c>
      <c r="AI238" s="199">
        <f t="shared" si="339"/>
        <v>600000</v>
      </c>
      <c r="AJ238" s="201">
        <f t="shared" si="358"/>
        <v>0</v>
      </c>
      <c r="AK238" s="201">
        <f t="shared" si="358"/>
        <v>600000</v>
      </c>
      <c r="AL238" s="201">
        <f t="shared" si="340"/>
        <v>600000</v>
      </c>
      <c r="AM238" s="198"/>
      <c r="AN238" s="203"/>
      <c r="AO238" s="208"/>
      <c r="AP238" s="201">
        <f t="shared" si="341"/>
        <v>0</v>
      </c>
      <c r="AQ238" s="201">
        <f t="shared" si="342"/>
        <v>597429.30000000005</v>
      </c>
      <c r="AR238" s="201">
        <f t="shared" si="343"/>
        <v>597429.30000000005</v>
      </c>
      <c r="AS238" s="201">
        <f t="shared" si="344"/>
        <v>99.571550000000016</v>
      </c>
      <c r="AT238" s="201"/>
      <c r="AU238" s="209">
        <v>597429.30000000005</v>
      </c>
      <c r="AV238" s="201">
        <f t="shared" si="345"/>
        <v>597429.30000000005</v>
      </c>
      <c r="AW238" s="201">
        <f t="shared" si="300"/>
        <v>0</v>
      </c>
      <c r="AX238" s="201">
        <f t="shared" si="346"/>
        <v>99.571550000000016</v>
      </c>
      <c r="AY238" s="208"/>
      <c r="AZ238" s="201">
        <f t="shared" si="347"/>
        <v>0</v>
      </c>
      <c r="BA238" s="201">
        <f t="shared" si="348"/>
        <v>0</v>
      </c>
      <c r="BB238" s="201">
        <f t="shared" si="349"/>
        <v>0</v>
      </c>
      <c r="BC238" s="201"/>
      <c r="BD238" s="209">
        <v>0</v>
      </c>
      <c r="BE238" s="201">
        <f t="shared" si="350"/>
        <v>0</v>
      </c>
      <c r="BF238" s="208"/>
      <c r="BG238" s="201">
        <f t="shared" si="359"/>
        <v>0</v>
      </c>
      <c r="BH238" s="201">
        <f t="shared" si="359"/>
        <v>597429.30000000005</v>
      </c>
      <c r="BI238" s="201">
        <f t="shared" si="351"/>
        <v>597429.30000000005</v>
      </c>
      <c r="BJ238" s="201">
        <f t="shared" si="352"/>
        <v>99.571550000000016</v>
      </c>
      <c r="BK238" s="210">
        <v>25</v>
      </c>
      <c r="BL238" s="210">
        <v>95</v>
      </c>
      <c r="BM238" s="211"/>
      <c r="BN238" s="211"/>
      <c r="BO238" s="212">
        <f t="shared" si="353"/>
        <v>0</v>
      </c>
      <c r="BP238" s="201">
        <f t="shared" si="354"/>
        <v>2570.6999999999534</v>
      </c>
      <c r="BQ238" s="201">
        <f t="shared" si="355"/>
        <v>2570.6999999999534</v>
      </c>
      <c r="BR238" s="201">
        <f t="shared" si="360"/>
        <v>0</v>
      </c>
      <c r="BS238" s="201">
        <f t="shared" si="360"/>
        <v>2570.6999999999534</v>
      </c>
      <c r="BT238" s="201">
        <f t="shared" si="356"/>
        <v>2570.6999999999534</v>
      </c>
      <c r="BU238" s="213">
        <f t="shared" si="313"/>
        <v>0</v>
      </c>
      <c r="BV238" s="201"/>
      <c r="BW238" s="201"/>
      <c r="BX238" s="201">
        <f t="shared" si="357"/>
        <v>0</v>
      </c>
      <c r="BY238" s="199">
        <v>200000</v>
      </c>
      <c r="BZ238" s="199">
        <v>200000</v>
      </c>
      <c r="CA238" s="199">
        <v>200000</v>
      </c>
      <c r="CB238" s="199">
        <v>0</v>
      </c>
      <c r="CC238" s="199">
        <v>0</v>
      </c>
      <c r="CD238" s="199">
        <v>0</v>
      </c>
      <c r="CE238" s="199">
        <v>0</v>
      </c>
      <c r="CF238" s="199">
        <v>0</v>
      </c>
      <c r="CG238" s="199">
        <v>0</v>
      </c>
      <c r="CH238" s="199">
        <v>0</v>
      </c>
      <c r="CI238" s="199"/>
      <c r="CJ238" s="199"/>
      <c r="CK238" s="214" t="s">
        <v>691</v>
      </c>
      <c r="CL238" s="214" t="s">
        <v>610</v>
      </c>
      <c r="CM238" s="211">
        <v>198</v>
      </c>
      <c r="CN238" s="215"/>
      <c r="CO238" s="215"/>
      <c r="CP238" s="216"/>
      <c r="CQ238" s="217"/>
      <c r="CR238" s="211"/>
      <c r="CS238" s="218"/>
      <c r="CT238" s="218"/>
      <c r="CU238" s="218"/>
      <c r="CV238" s="211"/>
      <c r="CW238" s="211"/>
      <c r="CX238" s="211"/>
      <c r="CY238" s="211"/>
      <c r="CZ238" s="211"/>
      <c r="DA238" s="211"/>
      <c r="DB238" s="211"/>
      <c r="DC238" s="219"/>
      <c r="DD238" s="219"/>
      <c r="DE238" s="219"/>
      <c r="DF238" s="211"/>
      <c r="DG238" s="211"/>
      <c r="DH238" s="211"/>
      <c r="DI238" s="211"/>
      <c r="DJ238" s="211"/>
      <c r="DK238" s="220" t="s">
        <v>32</v>
      </c>
      <c r="DT238" s="222"/>
    </row>
    <row r="239" spans="1:124" s="176" customFormat="1" ht="42" x14ac:dyDescent="0.2">
      <c r="A239" s="225" t="s">
        <v>94</v>
      </c>
      <c r="B239" s="197" t="s">
        <v>692</v>
      </c>
      <c r="C239" s="198">
        <v>1</v>
      </c>
      <c r="D239" s="199">
        <v>1480000</v>
      </c>
      <c r="E239" s="198" t="s">
        <v>693</v>
      </c>
      <c r="F239" s="198" t="s">
        <v>97</v>
      </c>
      <c r="G239" s="198" t="s">
        <v>98</v>
      </c>
      <c r="H239" s="200">
        <v>1</v>
      </c>
      <c r="I239" s="199">
        <f t="shared" si="329"/>
        <v>0</v>
      </c>
      <c r="J239" s="199">
        <f t="shared" si="330"/>
        <v>1480000</v>
      </c>
      <c r="K239" s="199">
        <f t="shared" si="331"/>
        <v>1480000</v>
      </c>
      <c r="L239" s="199"/>
      <c r="M239" s="199">
        <v>1480000</v>
      </c>
      <c r="N239" s="199">
        <f t="shared" si="332"/>
        <v>1480000</v>
      </c>
      <c r="O239" s="199"/>
      <c r="P239" s="201">
        <v>0</v>
      </c>
      <c r="Q239" s="202">
        <v>14</v>
      </c>
      <c r="R239" s="203">
        <v>45566</v>
      </c>
      <c r="S239" s="199"/>
      <c r="T239" s="199">
        <v>1480000</v>
      </c>
      <c r="U239" s="204">
        <f t="shared" si="333"/>
        <v>1480000</v>
      </c>
      <c r="V239" s="205"/>
      <c r="W239" s="200"/>
      <c r="X239" s="201"/>
      <c r="Y239" s="201">
        <v>-3624.3000000000402</v>
      </c>
      <c r="Z239" s="201">
        <f t="shared" si="334"/>
        <v>-3624.3000000000402</v>
      </c>
      <c r="AA239" s="198"/>
      <c r="AB239" s="206"/>
      <c r="AC239" s="207"/>
      <c r="AD239" s="201"/>
      <c r="AE239" s="204">
        <f t="shared" si="335"/>
        <v>0</v>
      </c>
      <c r="AF239" s="203">
        <f t="shared" si="336"/>
        <v>45566</v>
      </c>
      <c r="AG239" s="201">
        <f t="shared" si="337"/>
        <v>0</v>
      </c>
      <c r="AH239" s="199">
        <f t="shared" si="338"/>
        <v>1476375.7</v>
      </c>
      <c r="AI239" s="199">
        <f t="shared" si="339"/>
        <v>1476375.7</v>
      </c>
      <c r="AJ239" s="201">
        <f t="shared" si="358"/>
        <v>0</v>
      </c>
      <c r="AK239" s="201">
        <f t="shared" si="358"/>
        <v>1476375.7</v>
      </c>
      <c r="AL239" s="201">
        <f t="shared" si="340"/>
        <v>1476375.7</v>
      </c>
      <c r="AM239" s="198"/>
      <c r="AN239" s="203"/>
      <c r="AO239" s="208"/>
      <c r="AP239" s="201">
        <f t="shared" si="341"/>
        <v>0</v>
      </c>
      <c r="AQ239" s="201">
        <f t="shared" si="342"/>
        <v>1476375.7</v>
      </c>
      <c r="AR239" s="201">
        <f t="shared" si="343"/>
        <v>1476375.7</v>
      </c>
      <c r="AS239" s="201">
        <f t="shared" si="344"/>
        <v>100</v>
      </c>
      <c r="AT239" s="201"/>
      <c r="AU239" s="209">
        <v>1476375.7</v>
      </c>
      <c r="AV239" s="201">
        <f t="shared" si="345"/>
        <v>1476375.7</v>
      </c>
      <c r="AW239" s="201">
        <f t="shared" si="300"/>
        <v>0</v>
      </c>
      <c r="AX239" s="201">
        <f t="shared" si="346"/>
        <v>100</v>
      </c>
      <c r="AY239" s="208"/>
      <c r="AZ239" s="201">
        <f t="shared" si="347"/>
        <v>0</v>
      </c>
      <c r="BA239" s="201">
        <f t="shared" si="348"/>
        <v>0</v>
      </c>
      <c r="BB239" s="201">
        <f t="shared" si="349"/>
        <v>0</v>
      </c>
      <c r="BC239" s="201"/>
      <c r="BD239" s="209">
        <v>0</v>
      </c>
      <c r="BE239" s="201">
        <f t="shared" si="350"/>
        <v>0</v>
      </c>
      <c r="BF239" s="208"/>
      <c r="BG239" s="201">
        <f t="shared" si="359"/>
        <v>0</v>
      </c>
      <c r="BH239" s="201">
        <f t="shared" si="359"/>
        <v>1476375.7</v>
      </c>
      <c r="BI239" s="201">
        <f t="shared" si="351"/>
        <v>1476375.7</v>
      </c>
      <c r="BJ239" s="201">
        <f t="shared" si="352"/>
        <v>100</v>
      </c>
      <c r="BK239" s="210">
        <v>35</v>
      </c>
      <c r="BL239" s="210">
        <v>100</v>
      </c>
      <c r="BM239" s="211"/>
      <c r="BN239" s="211"/>
      <c r="BO239" s="212">
        <f t="shared" si="353"/>
        <v>0</v>
      </c>
      <c r="BP239" s="201">
        <f t="shared" si="354"/>
        <v>0</v>
      </c>
      <c r="BQ239" s="201">
        <f t="shared" si="355"/>
        <v>0</v>
      </c>
      <c r="BR239" s="201">
        <f t="shared" si="360"/>
        <v>0</v>
      </c>
      <c r="BS239" s="201">
        <f t="shared" si="360"/>
        <v>0</v>
      </c>
      <c r="BT239" s="201">
        <f t="shared" si="356"/>
        <v>0</v>
      </c>
      <c r="BU239" s="213">
        <f t="shared" si="313"/>
        <v>0</v>
      </c>
      <c r="BV239" s="201">
        <v>3624.3000000000466</v>
      </c>
      <c r="BW239" s="201"/>
      <c r="BX239" s="201">
        <f t="shared" si="357"/>
        <v>3624.3000000000466</v>
      </c>
      <c r="BY239" s="199">
        <v>493300</v>
      </c>
      <c r="BZ239" s="199">
        <v>493300</v>
      </c>
      <c r="CA239" s="199">
        <v>493400</v>
      </c>
      <c r="CB239" s="199">
        <v>0</v>
      </c>
      <c r="CC239" s="199">
        <v>0</v>
      </c>
      <c r="CD239" s="199">
        <v>0</v>
      </c>
      <c r="CE239" s="199">
        <v>0</v>
      </c>
      <c r="CF239" s="199">
        <v>0</v>
      </c>
      <c r="CG239" s="199">
        <v>0</v>
      </c>
      <c r="CH239" s="199">
        <v>0</v>
      </c>
      <c r="CI239" s="199"/>
      <c r="CJ239" s="199"/>
      <c r="CK239" s="214" t="s">
        <v>694</v>
      </c>
      <c r="CL239" s="214" t="s">
        <v>610</v>
      </c>
      <c r="CM239" s="211">
        <v>198</v>
      </c>
      <c r="CN239" s="215"/>
      <c r="CO239" s="215"/>
      <c r="CP239" s="216"/>
      <c r="CQ239" s="217"/>
      <c r="CR239" s="211"/>
      <c r="CS239" s="218"/>
      <c r="CT239" s="218"/>
      <c r="CU239" s="218"/>
      <c r="CV239" s="211"/>
      <c r="CW239" s="211"/>
      <c r="CX239" s="211"/>
      <c r="CY239" s="211"/>
      <c r="CZ239" s="211"/>
      <c r="DA239" s="211"/>
      <c r="DB239" s="211"/>
      <c r="DC239" s="219"/>
      <c r="DD239" s="219"/>
      <c r="DE239" s="219"/>
      <c r="DF239" s="211"/>
      <c r="DG239" s="211"/>
      <c r="DH239" s="211"/>
      <c r="DI239" s="211"/>
      <c r="DJ239" s="211"/>
      <c r="DK239" s="220" t="s">
        <v>32</v>
      </c>
      <c r="DT239" s="222"/>
    </row>
    <row r="240" spans="1:124" s="176" customFormat="1" ht="42" x14ac:dyDescent="0.2">
      <c r="A240" s="225" t="s">
        <v>94</v>
      </c>
      <c r="B240" s="197" t="s">
        <v>695</v>
      </c>
      <c r="C240" s="198">
        <v>1</v>
      </c>
      <c r="D240" s="199">
        <v>560000</v>
      </c>
      <c r="E240" s="198" t="s">
        <v>173</v>
      </c>
      <c r="F240" s="198" t="s">
        <v>97</v>
      </c>
      <c r="G240" s="198" t="s">
        <v>98</v>
      </c>
      <c r="H240" s="200">
        <v>1</v>
      </c>
      <c r="I240" s="199">
        <f t="shared" si="329"/>
        <v>0</v>
      </c>
      <c r="J240" s="199">
        <f t="shared" si="330"/>
        <v>560000</v>
      </c>
      <c r="K240" s="199">
        <f t="shared" si="331"/>
        <v>560000</v>
      </c>
      <c r="L240" s="199"/>
      <c r="M240" s="199">
        <v>560000</v>
      </c>
      <c r="N240" s="199">
        <f t="shared" si="332"/>
        <v>560000</v>
      </c>
      <c r="O240" s="199"/>
      <c r="P240" s="201">
        <v>0</v>
      </c>
      <c r="Q240" s="202">
        <v>14</v>
      </c>
      <c r="R240" s="203">
        <v>45566</v>
      </c>
      <c r="S240" s="199"/>
      <c r="T240" s="199">
        <v>560000</v>
      </c>
      <c r="U240" s="204">
        <f t="shared" si="333"/>
        <v>560000</v>
      </c>
      <c r="V240" s="205"/>
      <c r="W240" s="200"/>
      <c r="X240" s="201"/>
      <c r="Y240" s="201">
        <v>-138.550000000046</v>
      </c>
      <c r="Z240" s="201">
        <f t="shared" si="334"/>
        <v>-138.550000000046</v>
      </c>
      <c r="AA240" s="198"/>
      <c r="AB240" s="206"/>
      <c r="AC240" s="207"/>
      <c r="AD240" s="201"/>
      <c r="AE240" s="204">
        <f t="shared" si="335"/>
        <v>0</v>
      </c>
      <c r="AF240" s="203">
        <f t="shared" si="336"/>
        <v>45566</v>
      </c>
      <c r="AG240" s="201">
        <f t="shared" si="337"/>
        <v>0</v>
      </c>
      <c r="AH240" s="199">
        <f t="shared" si="338"/>
        <v>559861.44999999995</v>
      </c>
      <c r="AI240" s="199">
        <f t="shared" si="339"/>
        <v>559861.44999999995</v>
      </c>
      <c r="AJ240" s="201">
        <f t="shared" si="358"/>
        <v>0</v>
      </c>
      <c r="AK240" s="201">
        <f t="shared" si="358"/>
        <v>559861.44999999995</v>
      </c>
      <c r="AL240" s="201">
        <f t="shared" si="340"/>
        <v>559861.44999999995</v>
      </c>
      <c r="AM240" s="198"/>
      <c r="AN240" s="203"/>
      <c r="AO240" s="208"/>
      <c r="AP240" s="201">
        <f t="shared" si="341"/>
        <v>0</v>
      </c>
      <c r="AQ240" s="201">
        <f t="shared" si="342"/>
        <v>559861.44999999995</v>
      </c>
      <c r="AR240" s="201">
        <f t="shared" si="343"/>
        <v>559861.44999999995</v>
      </c>
      <c r="AS240" s="201">
        <f t="shared" si="344"/>
        <v>100</v>
      </c>
      <c r="AT240" s="201"/>
      <c r="AU240" s="209">
        <v>559861.44999999995</v>
      </c>
      <c r="AV240" s="201">
        <f t="shared" si="345"/>
        <v>559861.44999999995</v>
      </c>
      <c r="AW240" s="201">
        <f t="shared" si="300"/>
        <v>0</v>
      </c>
      <c r="AX240" s="201">
        <f t="shared" si="346"/>
        <v>100</v>
      </c>
      <c r="AY240" s="208"/>
      <c r="AZ240" s="201">
        <f t="shared" si="347"/>
        <v>0</v>
      </c>
      <c r="BA240" s="201">
        <f t="shared" si="348"/>
        <v>0</v>
      </c>
      <c r="BB240" s="201">
        <f t="shared" si="349"/>
        <v>0</v>
      </c>
      <c r="BC240" s="201"/>
      <c r="BD240" s="209">
        <v>0</v>
      </c>
      <c r="BE240" s="201">
        <f t="shared" si="350"/>
        <v>0</v>
      </c>
      <c r="BF240" s="208"/>
      <c r="BG240" s="201">
        <f t="shared" si="359"/>
        <v>0</v>
      </c>
      <c r="BH240" s="201">
        <f t="shared" si="359"/>
        <v>559861.44999999995</v>
      </c>
      <c r="BI240" s="201">
        <f t="shared" si="351"/>
        <v>559861.44999999995</v>
      </c>
      <c r="BJ240" s="201">
        <f t="shared" si="352"/>
        <v>100</v>
      </c>
      <c r="BK240" s="210">
        <v>40</v>
      </c>
      <c r="BL240" s="210">
        <v>100</v>
      </c>
      <c r="BM240" s="211"/>
      <c r="BN240" s="211"/>
      <c r="BO240" s="212">
        <f t="shared" si="353"/>
        <v>0</v>
      </c>
      <c r="BP240" s="201">
        <f t="shared" si="354"/>
        <v>0</v>
      </c>
      <c r="BQ240" s="201">
        <f t="shared" si="355"/>
        <v>0</v>
      </c>
      <c r="BR240" s="201">
        <f t="shared" si="360"/>
        <v>0</v>
      </c>
      <c r="BS240" s="201">
        <f t="shared" si="360"/>
        <v>0</v>
      </c>
      <c r="BT240" s="201">
        <f t="shared" si="356"/>
        <v>0</v>
      </c>
      <c r="BU240" s="213">
        <f t="shared" si="313"/>
        <v>0</v>
      </c>
      <c r="BV240" s="201">
        <v>138.55000000004657</v>
      </c>
      <c r="BW240" s="201"/>
      <c r="BX240" s="201">
        <f t="shared" si="357"/>
        <v>138.55000000004657</v>
      </c>
      <c r="BY240" s="199">
        <v>186600</v>
      </c>
      <c r="BZ240" s="199">
        <v>186600</v>
      </c>
      <c r="CA240" s="199">
        <v>186800</v>
      </c>
      <c r="CB240" s="199">
        <v>0</v>
      </c>
      <c r="CC240" s="199">
        <v>0</v>
      </c>
      <c r="CD240" s="199">
        <v>0</v>
      </c>
      <c r="CE240" s="199">
        <v>0</v>
      </c>
      <c r="CF240" s="199">
        <v>0</v>
      </c>
      <c r="CG240" s="199">
        <v>0</v>
      </c>
      <c r="CH240" s="199">
        <v>0</v>
      </c>
      <c r="CI240" s="199"/>
      <c r="CJ240" s="199"/>
      <c r="CK240" s="214" t="s">
        <v>696</v>
      </c>
      <c r="CL240" s="214" t="s">
        <v>610</v>
      </c>
      <c r="CM240" s="211">
        <v>198</v>
      </c>
      <c r="CN240" s="215"/>
      <c r="CO240" s="215"/>
      <c r="CP240" s="216"/>
      <c r="CQ240" s="217"/>
      <c r="CR240" s="211"/>
      <c r="CS240" s="218"/>
      <c r="CT240" s="218"/>
      <c r="CU240" s="218"/>
      <c r="CV240" s="211"/>
      <c r="CW240" s="211"/>
      <c r="CX240" s="211"/>
      <c r="CY240" s="211"/>
      <c r="CZ240" s="211"/>
      <c r="DA240" s="211"/>
      <c r="DB240" s="211"/>
      <c r="DC240" s="219"/>
      <c r="DD240" s="219"/>
      <c r="DE240" s="219"/>
      <c r="DF240" s="211"/>
      <c r="DG240" s="211"/>
      <c r="DH240" s="211"/>
      <c r="DI240" s="211"/>
      <c r="DJ240" s="211"/>
      <c r="DK240" s="220" t="s">
        <v>32</v>
      </c>
      <c r="DT240" s="222"/>
    </row>
    <row r="241" spans="1:124" s="176" customFormat="1" ht="42" x14ac:dyDescent="0.2">
      <c r="A241" s="225" t="s">
        <v>94</v>
      </c>
      <c r="B241" s="197" t="s">
        <v>697</v>
      </c>
      <c r="C241" s="198">
        <v>1</v>
      </c>
      <c r="D241" s="199">
        <v>570000</v>
      </c>
      <c r="E241" s="198" t="s">
        <v>173</v>
      </c>
      <c r="F241" s="198" t="s">
        <v>97</v>
      </c>
      <c r="G241" s="198" t="s">
        <v>98</v>
      </c>
      <c r="H241" s="200">
        <v>1</v>
      </c>
      <c r="I241" s="199">
        <f t="shared" si="329"/>
        <v>0</v>
      </c>
      <c r="J241" s="199">
        <f t="shared" si="330"/>
        <v>570000</v>
      </c>
      <c r="K241" s="199">
        <f t="shared" si="331"/>
        <v>570000</v>
      </c>
      <c r="L241" s="199"/>
      <c r="M241" s="199">
        <v>570000</v>
      </c>
      <c r="N241" s="199">
        <f t="shared" si="332"/>
        <v>570000</v>
      </c>
      <c r="O241" s="199"/>
      <c r="P241" s="201">
        <v>0</v>
      </c>
      <c r="Q241" s="202">
        <v>14</v>
      </c>
      <c r="R241" s="203">
        <v>45566</v>
      </c>
      <c r="S241" s="199"/>
      <c r="T241" s="199">
        <v>570000</v>
      </c>
      <c r="U241" s="204">
        <f t="shared" si="333"/>
        <v>570000</v>
      </c>
      <c r="V241" s="205"/>
      <c r="W241" s="200"/>
      <c r="X241" s="201"/>
      <c r="Y241" s="201">
        <v>-506.66000000003299</v>
      </c>
      <c r="Z241" s="201">
        <f t="shared" si="334"/>
        <v>-506.66000000003299</v>
      </c>
      <c r="AA241" s="198"/>
      <c r="AB241" s="206"/>
      <c r="AC241" s="207"/>
      <c r="AD241" s="201"/>
      <c r="AE241" s="204">
        <f t="shared" si="335"/>
        <v>0</v>
      </c>
      <c r="AF241" s="203">
        <f t="shared" si="336"/>
        <v>45566</v>
      </c>
      <c r="AG241" s="201">
        <f t="shared" si="337"/>
        <v>0</v>
      </c>
      <c r="AH241" s="199">
        <f t="shared" si="338"/>
        <v>569493.34</v>
      </c>
      <c r="AI241" s="199">
        <f t="shared" si="339"/>
        <v>569493.34</v>
      </c>
      <c r="AJ241" s="201">
        <f t="shared" si="358"/>
        <v>0</v>
      </c>
      <c r="AK241" s="201">
        <f t="shared" si="358"/>
        <v>569493.34</v>
      </c>
      <c r="AL241" s="201">
        <f t="shared" si="340"/>
        <v>569493.34</v>
      </c>
      <c r="AM241" s="198"/>
      <c r="AN241" s="203"/>
      <c r="AO241" s="208"/>
      <c r="AP241" s="201">
        <f t="shared" si="341"/>
        <v>0</v>
      </c>
      <c r="AQ241" s="201">
        <f t="shared" si="342"/>
        <v>569493.34</v>
      </c>
      <c r="AR241" s="201">
        <f t="shared" si="343"/>
        <v>569493.34</v>
      </c>
      <c r="AS241" s="201">
        <f t="shared" si="344"/>
        <v>100</v>
      </c>
      <c r="AT241" s="201"/>
      <c r="AU241" s="209">
        <v>569493.34</v>
      </c>
      <c r="AV241" s="201">
        <f t="shared" si="345"/>
        <v>569493.34</v>
      </c>
      <c r="AW241" s="201">
        <f t="shared" si="300"/>
        <v>0</v>
      </c>
      <c r="AX241" s="201">
        <f t="shared" si="346"/>
        <v>100</v>
      </c>
      <c r="AY241" s="208"/>
      <c r="AZ241" s="201">
        <f t="shared" si="347"/>
        <v>0</v>
      </c>
      <c r="BA241" s="201">
        <f t="shared" si="348"/>
        <v>0</v>
      </c>
      <c r="BB241" s="201">
        <f t="shared" si="349"/>
        <v>0</v>
      </c>
      <c r="BC241" s="201"/>
      <c r="BD241" s="209">
        <v>0</v>
      </c>
      <c r="BE241" s="201">
        <f t="shared" si="350"/>
        <v>0</v>
      </c>
      <c r="BF241" s="208"/>
      <c r="BG241" s="201">
        <f t="shared" si="359"/>
        <v>0</v>
      </c>
      <c r="BH241" s="201">
        <f t="shared" si="359"/>
        <v>569493.34</v>
      </c>
      <c r="BI241" s="201">
        <f t="shared" si="351"/>
        <v>569493.34</v>
      </c>
      <c r="BJ241" s="201">
        <f t="shared" si="352"/>
        <v>100</v>
      </c>
      <c r="BK241" s="210">
        <v>30</v>
      </c>
      <c r="BL241" s="210">
        <v>100</v>
      </c>
      <c r="BM241" s="211"/>
      <c r="BN241" s="211"/>
      <c r="BO241" s="212">
        <f t="shared" si="353"/>
        <v>0</v>
      </c>
      <c r="BP241" s="201">
        <f t="shared" si="354"/>
        <v>0</v>
      </c>
      <c r="BQ241" s="201">
        <f t="shared" si="355"/>
        <v>0</v>
      </c>
      <c r="BR241" s="201">
        <f t="shared" si="360"/>
        <v>0</v>
      </c>
      <c r="BS241" s="201">
        <f t="shared" si="360"/>
        <v>0</v>
      </c>
      <c r="BT241" s="201">
        <f t="shared" si="356"/>
        <v>0</v>
      </c>
      <c r="BU241" s="213">
        <f t="shared" si="313"/>
        <v>0</v>
      </c>
      <c r="BV241" s="201">
        <v>506.6600000000326</v>
      </c>
      <c r="BW241" s="201"/>
      <c r="BX241" s="201">
        <f t="shared" si="357"/>
        <v>506.6600000000326</v>
      </c>
      <c r="BY241" s="199">
        <v>190000</v>
      </c>
      <c r="BZ241" s="199">
        <v>190000</v>
      </c>
      <c r="CA241" s="199">
        <v>190000</v>
      </c>
      <c r="CB241" s="199">
        <v>0</v>
      </c>
      <c r="CC241" s="199">
        <v>0</v>
      </c>
      <c r="CD241" s="199">
        <v>0</v>
      </c>
      <c r="CE241" s="199">
        <v>0</v>
      </c>
      <c r="CF241" s="199">
        <v>0</v>
      </c>
      <c r="CG241" s="199">
        <v>0</v>
      </c>
      <c r="CH241" s="199">
        <v>0</v>
      </c>
      <c r="CI241" s="199"/>
      <c r="CJ241" s="199"/>
      <c r="CK241" s="214" t="s">
        <v>698</v>
      </c>
      <c r="CL241" s="214" t="s">
        <v>610</v>
      </c>
      <c r="CM241" s="211">
        <v>198</v>
      </c>
      <c r="CN241" s="215"/>
      <c r="CO241" s="215"/>
      <c r="CP241" s="216"/>
      <c r="CQ241" s="217"/>
      <c r="CR241" s="211"/>
      <c r="CS241" s="218"/>
      <c r="CT241" s="218"/>
      <c r="CU241" s="218"/>
      <c r="CV241" s="211"/>
      <c r="CW241" s="211"/>
      <c r="CX241" s="211"/>
      <c r="CY241" s="211"/>
      <c r="CZ241" s="211"/>
      <c r="DA241" s="211"/>
      <c r="DB241" s="211"/>
      <c r="DC241" s="219"/>
      <c r="DD241" s="219"/>
      <c r="DE241" s="219"/>
      <c r="DF241" s="211"/>
      <c r="DG241" s="211"/>
      <c r="DH241" s="211"/>
      <c r="DI241" s="211"/>
      <c r="DJ241" s="211"/>
      <c r="DK241" s="220" t="s">
        <v>32</v>
      </c>
      <c r="DT241" s="222"/>
    </row>
    <row r="242" spans="1:124" s="176" customFormat="1" ht="42" x14ac:dyDescent="0.2">
      <c r="A242" s="195" t="s">
        <v>108</v>
      </c>
      <c r="B242" s="197" t="s">
        <v>699</v>
      </c>
      <c r="C242" s="198">
        <v>1</v>
      </c>
      <c r="D242" s="199">
        <v>500000</v>
      </c>
      <c r="E242" s="198" t="s">
        <v>700</v>
      </c>
      <c r="F242" s="198" t="s">
        <v>106</v>
      </c>
      <c r="G242" s="198" t="s">
        <v>98</v>
      </c>
      <c r="H242" s="200">
        <v>1</v>
      </c>
      <c r="I242" s="199">
        <f t="shared" si="329"/>
        <v>0</v>
      </c>
      <c r="J242" s="199">
        <f t="shared" si="330"/>
        <v>500000</v>
      </c>
      <c r="K242" s="199">
        <f t="shared" si="331"/>
        <v>500000</v>
      </c>
      <c r="L242" s="199"/>
      <c r="M242" s="199">
        <v>500000</v>
      </c>
      <c r="N242" s="199">
        <f t="shared" si="332"/>
        <v>500000</v>
      </c>
      <c r="O242" s="199"/>
      <c r="P242" s="201">
        <v>0</v>
      </c>
      <c r="Q242" s="202">
        <v>14</v>
      </c>
      <c r="R242" s="203">
        <v>45566</v>
      </c>
      <c r="S242" s="199"/>
      <c r="T242" s="199">
        <v>500000</v>
      </c>
      <c r="U242" s="204">
        <f t="shared" si="333"/>
        <v>500000</v>
      </c>
      <c r="V242" s="205"/>
      <c r="W242" s="200"/>
      <c r="X242" s="201"/>
      <c r="Y242" s="201"/>
      <c r="Z242" s="201">
        <f t="shared" si="334"/>
        <v>0</v>
      </c>
      <c r="AA242" s="198"/>
      <c r="AB242" s="206"/>
      <c r="AC242" s="207"/>
      <c r="AD242" s="201"/>
      <c r="AE242" s="204">
        <f t="shared" si="335"/>
        <v>0</v>
      </c>
      <c r="AF242" s="203">
        <f t="shared" si="336"/>
        <v>45566</v>
      </c>
      <c r="AG242" s="201">
        <f t="shared" si="337"/>
        <v>0</v>
      </c>
      <c r="AH242" s="199">
        <f t="shared" si="338"/>
        <v>500000</v>
      </c>
      <c r="AI242" s="199">
        <f t="shared" si="339"/>
        <v>500000</v>
      </c>
      <c r="AJ242" s="201">
        <f t="shared" si="358"/>
        <v>0</v>
      </c>
      <c r="AK242" s="201">
        <f t="shared" si="358"/>
        <v>500000</v>
      </c>
      <c r="AL242" s="201">
        <f t="shared" si="340"/>
        <v>500000</v>
      </c>
      <c r="AM242" s="198"/>
      <c r="AN242" s="203"/>
      <c r="AO242" s="208"/>
      <c r="AP242" s="201">
        <f t="shared" si="341"/>
        <v>0</v>
      </c>
      <c r="AQ242" s="201">
        <f t="shared" si="342"/>
        <v>498968.13</v>
      </c>
      <c r="AR242" s="201">
        <f t="shared" si="343"/>
        <v>498968.13</v>
      </c>
      <c r="AS242" s="201">
        <f t="shared" si="344"/>
        <v>99.793626000000003</v>
      </c>
      <c r="AT242" s="201"/>
      <c r="AU242" s="223">
        <v>498968.13</v>
      </c>
      <c r="AV242" s="201">
        <f t="shared" si="345"/>
        <v>498968.13</v>
      </c>
      <c r="AW242" s="201">
        <f t="shared" si="300"/>
        <v>0</v>
      </c>
      <c r="AX242" s="201">
        <f t="shared" si="346"/>
        <v>99.793626000000003</v>
      </c>
      <c r="AY242" s="208"/>
      <c r="AZ242" s="201">
        <f t="shared" si="347"/>
        <v>0</v>
      </c>
      <c r="BA242" s="201">
        <f t="shared" si="348"/>
        <v>0</v>
      </c>
      <c r="BB242" s="201">
        <f t="shared" si="349"/>
        <v>0</v>
      </c>
      <c r="BC242" s="201"/>
      <c r="BD242" s="223">
        <v>0</v>
      </c>
      <c r="BE242" s="201">
        <f t="shared" si="350"/>
        <v>0</v>
      </c>
      <c r="BF242" s="208"/>
      <c r="BG242" s="201">
        <f t="shared" si="359"/>
        <v>0</v>
      </c>
      <c r="BH242" s="201">
        <f t="shared" si="359"/>
        <v>498968.13</v>
      </c>
      <c r="BI242" s="201">
        <f t="shared" si="351"/>
        <v>498968.13</v>
      </c>
      <c r="BJ242" s="201">
        <f t="shared" si="352"/>
        <v>99.793626000000003</v>
      </c>
      <c r="BK242" s="210">
        <v>89</v>
      </c>
      <c r="BL242" s="210">
        <v>100</v>
      </c>
      <c r="BM242" s="211"/>
      <c r="BN242" s="211"/>
      <c r="BO242" s="212">
        <f t="shared" si="353"/>
        <v>0</v>
      </c>
      <c r="BP242" s="201">
        <f t="shared" si="354"/>
        <v>1031.8699999999953</v>
      </c>
      <c r="BQ242" s="201">
        <f t="shared" si="355"/>
        <v>1031.8699999999953</v>
      </c>
      <c r="BR242" s="201">
        <f t="shared" si="360"/>
        <v>0</v>
      </c>
      <c r="BS242" s="201">
        <f t="shared" si="360"/>
        <v>1031.8699999999953</v>
      </c>
      <c r="BT242" s="201">
        <f t="shared" si="356"/>
        <v>1031.8699999999953</v>
      </c>
      <c r="BU242" s="213">
        <f t="shared" si="313"/>
        <v>0</v>
      </c>
      <c r="BV242" s="201"/>
      <c r="BW242" s="201"/>
      <c r="BX242" s="201">
        <f t="shared" si="357"/>
        <v>0</v>
      </c>
      <c r="BY242" s="199">
        <v>35000</v>
      </c>
      <c r="BZ242" s="199">
        <v>150000</v>
      </c>
      <c r="CA242" s="199">
        <v>260000</v>
      </c>
      <c r="CB242" s="199">
        <v>55000</v>
      </c>
      <c r="CC242" s="199">
        <v>0</v>
      </c>
      <c r="CD242" s="199">
        <v>0</v>
      </c>
      <c r="CE242" s="199">
        <v>0</v>
      </c>
      <c r="CF242" s="199">
        <v>0</v>
      </c>
      <c r="CG242" s="199">
        <v>0</v>
      </c>
      <c r="CH242" s="199">
        <v>0</v>
      </c>
      <c r="CI242" s="199"/>
      <c r="CJ242" s="199"/>
      <c r="CK242" s="214" t="s">
        <v>701</v>
      </c>
      <c r="CL242" s="214" t="s">
        <v>610</v>
      </c>
      <c r="CM242" s="211">
        <v>198</v>
      </c>
      <c r="CN242" s="215"/>
      <c r="CO242" s="215"/>
      <c r="CP242" s="216"/>
      <c r="CQ242" s="217"/>
      <c r="CR242" s="211"/>
      <c r="CS242" s="218"/>
      <c r="CT242" s="218"/>
      <c r="CU242" s="218"/>
      <c r="CV242" s="211"/>
      <c r="CW242" s="211"/>
      <c r="CX242" s="211"/>
      <c r="CY242" s="211"/>
      <c r="CZ242" s="211"/>
      <c r="DA242" s="211"/>
      <c r="DB242" s="211"/>
      <c r="DC242" s="219"/>
      <c r="DD242" s="219"/>
      <c r="DE242" s="219"/>
      <c r="DF242" s="211"/>
      <c r="DG242" s="211"/>
      <c r="DH242" s="211"/>
      <c r="DI242" s="211"/>
      <c r="DJ242" s="211"/>
      <c r="DK242" s="220" t="s">
        <v>32</v>
      </c>
      <c r="DT242" s="222"/>
    </row>
    <row r="243" spans="1:124" s="176" customFormat="1" ht="42" x14ac:dyDescent="0.2">
      <c r="A243" s="195" t="s">
        <v>108</v>
      </c>
      <c r="B243" s="197" t="s">
        <v>702</v>
      </c>
      <c r="C243" s="198">
        <v>1</v>
      </c>
      <c r="D243" s="199">
        <v>500000</v>
      </c>
      <c r="E243" s="198" t="s">
        <v>225</v>
      </c>
      <c r="F243" s="198" t="s">
        <v>111</v>
      </c>
      <c r="G243" s="198" t="s">
        <v>98</v>
      </c>
      <c r="H243" s="200">
        <v>1</v>
      </c>
      <c r="I243" s="199">
        <f t="shared" si="329"/>
        <v>0</v>
      </c>
      <c r="J243" s="199">
        <f t="shared" si="330"/>
        <v>500000</v>
      </c>
      <c r="K243" s="199">
        <f t="shared" si="331"/>
        <v>500000</v>
      </c>
      <c r="L243" s="199"/>
      <c r="M243" s="199">
        <v>500000</v>
      </c>
      <c r="N243" s="199">
        <f t="shared" si="332"/>
        <v>500000</v>
      </c>
      <c r="O243" s="199"/>
      <c r="P243" s="201">
        <v>0</v>
      </c>
      <c r="Q243" s="202">
        <v>14</v>
      </c>
      <c r="R243" s="203">
        <v>45566</v>
      </c>
      <c r="S243" s="199"/>
      <c r="T243" s="199">
        <v>500000</v>
      </c>
      <c r="U243" s="204">
        <f t="shared" si="333"/>
        <v>500000</v>
      </c>
      <c r="V243" s="205"/>
      <c r="W243" s="200"/>
      <c r="X243" s="201"/>
      <c r="Y243" s="201"/>
      <c r="Z243" s="201">
        <f t="shared" si="334"/>
        <v>0</v>
      </c>
      <c r="AA243" s="198"/>
      <c r="AB243" s="206"/>
      <c r="AC243" s="207"/>
      <c r="AD243" s="201"/>
      <c r="AE243" s="204">
        <f t="shared" si="335"/>
        <v>0</v>
      </c>
      <c r="AF243" s="203">
        <f t="shared" si="336"/>
        <v>45566</v>
      </c>
      <c r="AG243" s="201">
        <f t="shared" si="337"/>
        <v>0</v>
      </c>
      <c r="AH243" s="199">
        <f t="shared" si="338"/>
        <v>500000</v>
      </c>
      <c r="AI243" s="199">
        <f t="shared" si="339"/>
        <v>500000</v>
      </c>
      <c r="AJ243" s="201">
        <f t="shared" si="358"/>
        <v>0</v>
      </c>
      <c r="AK243" s="201">
        <f t="shared" si="358"/>
        <v>500000</v>
      </c>
      <c r="AL243" s="201">
        <f t="shared" si="340"/>
        <v>500000</v>
      </c>
      <c r="AM243" s="198"/>
      <c r="AN243" s="203"/>
      <c r="AO243" s="208"/>
      <c r="AP243" s="201">
        <f t="shared" si="341"/>
        <v>0</v>
      </c>
      <c r="AQ243" s="201">
        <f t="shared" si="342"/>
        <v>499037.42</v>
      </c>
      <c r="AR243" s="201">
        <f t="shared" si="343"/>
        <v>499037.42</v>
      </c>
      <c r="AS243" s="201">
        <f t="shared" si="344"/>
        <v>99.807484000000002</v>
      </c>
      <c r="AT243" s="201"/>
      <c r="AU243" s="223">
        <v>499037.42</v>
      </c>
      <c r="AV243" s="201">
        <f t="shared" si="345"/>
        <v>499037.42</v>
      </c>
      <c r="AW243" s="201">
        <f t="shared" si="300"/>
        <v>0</v>
      </c>
      <c r="AX243" s="201">
        <f t="shared" si="346"/>
        <v>99.807484000000002</v>
      </c>
      <c r="AY243" s="208"/>
      <c r="AZ243" s="201">
        <f t="shared" si="347"/>
        <v>0</v>
      </c>
      <c r="BA243" s="201">
        <f t="shared" si="348"/>
        <v>0</v>
      </c>
      <c r="BB243" s="201">
        <f t="shared" si="349"/>
        <v>0</v>
      </c>
      <c r="BC243" s="201"/>
      <c r="BD243" s="223">
        <v>0</v>
      </c>
      <c r="BE243" s="201">
        <f t="shared" si="350"/>
        <v>0</v>
      </c>
      <c r="BF243" s="208"/>
      <c r="BG243" s="201">
        <f t="shared" si="359"/>
        <v>0</v>
      </c>
      <c r="BH243" s="201">
        <f t="shared" si="359"/>
        <v>499037.42</v>
      </c>
      <c r="BI243" s="201">
        <f t="shared" si="351"/>
        <v>499037.42</v>
      </c>
      <c r="BJ243" s="201">
        <f t="shared" si="352"/>
        <v>99.807484000000002</v>
      </c>
      <c r="BK243" s="210">
        <v>89</v>
      </c>
      <c r="BL243" s="210">
        <v>100</v>
      </c>
      <c r="BM243" s="211"/>
      <c r="BN243" s="211"/>
      <c r="BO243" s="212">
        <f t="shared" si="353"/>
        <v>0</v>
      </c>
      <c r="BP243" s="201">
        <f t="shared" si="354"/>
        <v>962.5800000000163</v>
      </c>
      <c r="BQ243" s="201">
        <f t="shared" si="355"/>
        <v>962.5800000000163</v>
      </c>
      <c r="BR243" s="201">
        <f t="shared" si="360"/>
        <v>0</v>
      </c>
      <c r="BS243" s="201">
        <f t="shared" si="360"/>
        <v>962.5800000000163</v>
      </c>
      <c r="BT243" s="201">
        <f t="shared" si="356"/>
        <v>962.5800000000163</v>
      </c>
      <c r="BU243" s="213">
        <f t="shared" si="313"/>
        <v>0</v>
      </c>
      <c r="BV243" s="201"/>
      <c r="BW243" s="201"/>
      <c r="BX243" s="201">
        <f t="shared" si="357"/>
        <v>0</v>
      </c>
      <c r="BY243" s="199">
        <v>35000</v>
      </c>
      <c r="BZ243" s="199">
        <v>150000</v>
      </c>
      <c r="CA243" s="199">
        <v>260000</v>
      </c>
      <c r="CB243" s="199">
        <v>55000</v>
      </c>
      <c r="CC243" s="199">
        <v>0</v>
      </c>
      <c r="CD243" s="199">
        <v>0</v>
      </c>
      <c r="CE243" s="199">
        <v>0</v>
      </c>
      <c r="CF243" s="199">
        <v>0</v>
      </c>
      <c r="CG243" s="199">
        <v>0</v>
      </c>
      <c r="CH243" s="199">
        <v>0</v>
      </c>
      <c r="CI243" s="199"/>
      <c r="CJ243" s="199"/>
      <c r="CK243" s="214" t="s">
        <v>703</v>
      </c>
      <c r="CL243" s="214" t="s">
        <v>610</v>
      </c>
      <c r="CM243" s="211">
        <v>198</v>
      </c>
      <c r="CN243" s="215"/>
      <c r="CO243" s="215"/>
      <c r="CP243" s="216"/>
      <c r="CQ243" s="217"/>
      <c r="CR243" s="211"/>
      <c r="CS243" s="218"/>
      <c r="CT243" s="218"/>
      <c r="CU243" s="218"/>
      <c r="CV243" s="211"/>
      <c r="CW243" s="211"/>
      <c r="CX243" s="211"/>
      <c r="CY243" s="211"/>
      <c r="CZ243" s="211"/>
      <c r="DA243" s="211"/>
      <c r="DB243" s="211"/>
      <c r="DC243" s="219"/>
      <c r="DD243" s="219"/>
      <c r="DE243" s="219"/>
      <c r="DF243" s="211"/>
      <c r="DG243" s="211"/>
      <c r="DH243" s="211"/>
      <c r="DI243" s="211"/>
      <c r="DJ243" s="211"/>
      <c r="DK243" s="220" t="s">
        <v>32</v>
      </c>
      <c r="DT243" s="222"/>
    </row>
    <row r="244" spans="1:124" s="176" customFormat="1" ht="42" x14ac:dyDescent="0.2">
      <c r="A244" s="195" t="s">
        <v>108</v>
      </c>
      <c r="B244" s="197" t="s">
        <v>704</v>
      </c>
      <c r="C244" s="198">
        <v>1</v>
      </c>
      <c r="D244" s="199">
        <v>900000</v>
      </c>
      <c r="E244" s="198" t="s">
        <v>705</v>
      </c>
      <c r="F244" s="198" t="s">
        <v>106</v>
      </c>
      <c r="G244" s="198" t="s">
        <v>98</v>
      </c>
      <c r="H244" s="200">
        <v>1</v>
      </c>
      <c r="I244" s="199">
        <f t="shared" si="329"/>
        <v>0</v>
      </c>
      <c r="J244" s="199">
        <f t="shared" si="330"/>
        <v>900000</v>
      </c>
      <c r="K244" s="199">
        <f t="shared" si="331"/>
        <v>900000</v>
      </c>
      <c r="L244" s="199"/>
      <c r="M244" s="199">
        <v>900000</v>
      </c>
      <c r="N244" s="199">
        <f t="shared" si="332"/>
        <v>900000</v>
      </c>
      <c r="O244" s="199"/>
      <c r="P244" s="201">
        <v>0</v>
      </c>
      <c r="Q244" s="202">
        <v>14</v>
      </c>
      <c r="R244" s="203">
        <v>45566</v>
      </c>
      <c r="S244" s="199"/>
      <c r="T244" s="199">
        <v>900000</v>
      </c>
      <c r="U244" s="204">
        <f t="shared" si="333"/>
        <v>900000</v>
      </c>
      <c r="V244" s="205"/>
      <c r="W244" s="200"/>
      <c r="X244" s="201"/>
      <c r="Y244" s="201"/>
      <c r="Z244" s="201">
        <f t="shared" si="334"/>
        <v>0</v>
      </c>
      <c r="AA244" s="198"/>
      <c r="AB244" s="206"/>
      <c r="AC244" s="207"/>
      <c r="AD244" s="201"/>
      <c r="AE244" s="204">
        <f t="shared" si="335"/>
        <v>0</v>
      </c>
      <c r="AF244" s="203">
        <f t="shared" si="336"/>
        <v>45566</v>
      </c>
      <c r="AG244" s="201">
        <f t="shared" si="337"/>
        <v>0</v>
      </c>
      <c r="AH244" s="199">
        <f t="shared" si="338"/>
        <v>900000</v>
      </c>
      <c r="AI244" s="199">
        <f t="shared" si="339"/>
        <v>900000</v>
      </c>
      <c r="AJ244" s="201">
        <f t="shared" si="358"/>
        <v>0</v>
      </c>
      <c r="AK244" s="201">
        <f t="shared" si="358"/>
        <v>900000</v>
      </c>
      <c r="AL244" s="201">
        <f t="shared" si="340"/>
        <v>900000</v>
      </c>
      <c r="AM244" s="198"/>
      <c r="AN244" s="203"/>
      <c r="AO244" s="208"/>
      <c r="AP244" s="201">
        <f t="shared" si="341"/>
        <v>0</v>
      </c>
      <c r="AQ244" s="201">
        <f t="shared" si="342"/>
        <v>899172.09</v>
      </c>
      <c r="AR244" s="201">
        <f t="shared" si="343"/>
        <v>899172.09</v>
      </c>
      <c r="AS244" s="201">
        <f t="shared" si="344"/>
        <v>99.908010000000004</v>
      </c>
      <c r="AT244" s="201"/>
      <c r="AU244" s="223">
        <v>899172.09</v>
      </c>
      <c r="AV244" s="201">
        <f t="shared" si="345"/>
        <v>899172.09</v>
      </c>
      <c r="AW244" s="201">
        <f t="shared" si="300"/>
        <v>0</v>
      </c>
      <c r="AX244" s="201">
        <f t="shared" si="346"/>
        <v>99.908010000000004</v>
      </c>
      <c r="AY244" s="208"/>
      <c r="AZ244" s="201">
        <f t="shared" si="347"/>
        <v>0</v>
      </c>
      <c r="BA244" s="201">
        <f t="shared" si="348"/>
        <v>0</v>
      </c>
      <c r="BB244" s="201">
        <f t="shared" si="349"/>
        <v>0</v>
      </c>
      <c r="BC244" s="201"/>
      <c r="BD244" s="223">
        <v>0</v>
      </c>
      <c r="BE244" s="201">
        <f t="shared" si="350"/>
        <v>0</v>
      </c>
      <c r="BF244" s="208"/>
      <c r="BG244" s="201">
        <f t="shared" si="359"/>
        <v>0</v>
      </c>
      <c r="BH244" s="201">
        <f t="shared" si="359"/>
        <v>899172.09</v>
      </c>
      <c r="BI244" s="201">
        <f t="shared" si="351"/>
        <v>899172.09</v>
      </c>
      <c r="BJ244" s="201">
        <f t="shared" si="352"/>
        <v>99.908010000000004</v>
      </c>
      <c r="BK244" s="210">
        <v>89</v>
      </c>
      <c r="BL244" s="210">
        <v>90</v>
      </c>
      <c r="BM244" s="211"/>
      <c r="BN244" s="211"/>
      <c r="BO244" s="212">
        <f t="shared" si="353"/>
        <v>0</v>
      </c>
      <c r="BP244" s="201">
        <f t="shared" si="354"/>
        <v>827.9100000000326</v>
      </c>
      <c r="BQ244" s="201">
        <f t="shared" si="355"/>
        <v>827.9100000000326</v>
      </c>
      <c r="BR244" s="201">
        <f t="shared" si="360"/>
        <v>0</v>
      </c>
      <c r="BS244" s="201">
        <f t="shared" si="360"/>
        <v>827.9100000000326</v>
      </c>
      <c r="BT244" s="201">
        <f t="shared" si="356"/>
        <v>827.9100000000326</v>
      </c>
      <c r="BU244" s="213">
        <f t="shared" si="313"/>
        <v>0</v>
      </c>
      <c r="BV244" s="201"/>
      <c r="BW244" s="201"/>
      <c r="BX244" s="201">
        <f t="shared" si="357"/>
        <v>0</v>
      </c>
      <c r="BY244" s="199">
        <v>63000</v>
      </c>
      <c r="BZ244" s="199">
        <v>270000</v>
      </c>
      <c r="CA244" s="199">
        <v>468000</v>
      </c>
      <c r="CB244" s="199">
        <v>99000</v>
      </c>
      <c r="CC244" s="199">
        <v>0</v>
      </c>
      <c r="CD244" s="199">
        <v>0</v>
      </c>
      <c r="CE244" s="199">
        <v>0</v>
      </c>
      <c r="CF244" s="199">
        <v>0</v>
      </c>
      <c r="CG244" s="199">
        <v>0</v>
      </c>
      <c r="CH244" s="199">
        <v>0</v>
      </c>
      <c r="CI244" s="199"/>
      <c r="CJ244" s="199"/>
      <c r="CK244" s="214" t="s">
        <v>706</v>
      </c>
      <c r="CL244" s="214" t="s">
        <v>610</v>
      </c>
      <c r="CM244" s="211">
        <v>198</v>
      </c>
      <c r="CN244" s="215"/>
      <c r="CO244" s="215"/>
      <c r="CP244" s="216"/>
      <c r="CQ244" s="217"/>
      <c r="CR244" s="211"/>
      <c r="CS244" s="218"/>
      <c r="CT244" s="218"/>
      <c r="CU244" s="218"/>
      <c r="CV244" s="211"/>
      <c r="CW244" s="211"/>
      <c r="CX244" s="211"/>
      <c r="CY244" s="211"/>
      <c r="CZ244" s="211"/>
      <c r="DA244" s="211"/>
      <c r="DB244" s="211"/>
      <c r="DC244" s="219"/>
      <c r="DD244" s="219"/>
      <c r="DE244" s="219"/>
      <c r="DF244" s="211"/>
      <c r="DG244" s="211"/>
      <c r="DH244" s="211"/>
      <c r="DI244" s="211"/>
      <c r="DJ244" s="211"/>
      <c r="DK244" s="220" t="s">
        <v>32</v>
      </c>
      <c r="DT244" s="222"/>
    </row>
    <row r="245" spans="1:124" s="176" customFormat="1" ht="42" x14ac:dyDescent="0.2">
      <c r="A245" s="195" t="s">
        <v>108</v>
      </c>
      <c r="B245" s="197" t="s">
        <v>707</v>
      </c>
      <c r="C245" s="198">
        <v>1</v>
      </c>
      <c r="D245" s="199">
        <v>400000</v>
      </c>
      <c r="E245" s="198" t="s">
        <v>708</v>
      </c>
      <c r="F245" s="198" t="s">
        <v>665</v>
      </c>
      <c r="G245" s="198" t="s">
        <v>98</v>
      </c>
      <c r="H245" s="200">
        <v>1</v>
      </c>
      <c r="I245" s="199">
        <f t="shared" si="329"/>
        <v>0</v>
      </c>
      <c r="J245" s="199">
        <f t="shared" si="330"/>
        <v>400000</v>
      </c>
      <c r="K245" s="199">
        <f t="shared" si="331"/>
        <v>400000</v>
      </c>
      <c r="L245" s="199"/>
      <c r="M245" s="199">
        <v>400000</v>
      </c>
      <c r="N245" s="199">
        <f t="shared" si="332"/>
        <v>400000</v>
      </c>
      <c r="O245" s="199"/>
      <c r="P245" s="201">
        <v>0</v>
      </c>
      <c r="Q245" s="202">
        <v>14</v>
      </c>
      <c r="R245" s="203">
        <v>45566</v>
      </c>
      <c r="S245" s="199"/>
      <c r="T245" s="199">
        <v>400000</v>
      </c>
      <c r="U245" s="204">
        <f t="shared" si="333"/>
        <v>400000</v>
      </c>
      <c r="V245" s="205"/>
      <c r="W245" s="200"/>
      <c r="X245" s="201"/>
      <c r="Y245" s="201"/>
      <c r="Z245" s="201">
        <f t="shared" si="334"/>
        <v>0</v>
      </c>
      <c r="AA245" s="198"/>
      <c r="AB245" s="206"/>
      <c r="AC245" s="207"/>
      <c r="AD245" s="201"/>
      <c r="AE245" s="204">
        <f t="shared" si="335"/>
        <v>0</v>
      </c>
      <c r="AF245" s="203">
        <f t="shared" si="336"/>
        <v>45566</v>
      </c>
      <c r="AG245" s="201">
        <f t="shared" si="337"/>
        <v>0</v>
      </c>
      <c r="AH245" s="199">
        <f t="shared" si="338"/>
        <v>400000</v>
      </c>
      <c r="AI245" s="199">
        <f t="shared" si="339"/>
        <v>400000</v>
      </c>
      <c r="AJ245" s="201">
        <f t="shared" si="358"/>
        <v>0</v>
      </c>
      <c r="AK245" s="201">
        <f t="shared" si="358"/>
        <v>400000</v>
      </c>
      <c r="AL245" s="201">
        <f t="shared" si="340"/>
        <v>400000</v>
      </c>
      <c r="AM245" s="198"/>
      <c r="AN245" s="203"/>
      <c r="AO245" s="208"/>
      <c r="AP245" s="201">
        <f t="shared" si="341"/>
        <v>0</v>
      </c>
      <c r="AQ245" s="201">
        <f t="shared" si="342"/>
        <v>397206.57</v>
      </c>
      <c r="AR245" s="201">
        <f t="shared" si="343"/>
        <v>397206.57</v>
      </c>
      <c r="AS245" s="201">
        <f t="shared" si="344"/>
        <v>99.3016425</v>
      </c>
      <c r="AT245" s="201"/>
      <c r="AU245" s="223">
        <v>397206.57</v>
      </c>
      <c r="AV245" s="201">
        <f t="shared" si="345"/>
        <v>397206.57</v>
      </c>
      <c r="AW245" s="201">
        <f t="shared" si="300"/>
        <v>0</v>
      </c>
      <c r="AX245" s="201">
        <f t="shared" si="346"/>
        <v>99.3016425</v>
      </c>
      <c r="AY245" s="208"/>
      <c r="AZ245" s="201">
        <f t="shared" si="347"/>
        <v>0</v>
      </c>
      <c r="BA245" s="201">
        <f t="shared" si="348"/>
        <v>0</v>
      </c>
      <c r="BB245" s="201">
        <f t="shared" si="349"/>
        <v>0</v>
      </c>
      <c r="BC245" s="201"/>
      <c r="BD245" s="223">
        <v>0</v>
      </c>
      <c r="BE245" s="201">
        <f t="shared" si="350"/>
        <v>0</v>
      </c>
      <c r="BF245" s="208"/>
      <c r="BG245" s="201">
        <f t="shared" si="359"/>
        <v>0</v>
      </c>
      <c r="BH245" s="201">
        <f t="shared" si="359"/>
        <v>397206.57</v>
      </c>
      <c r="BI245" s="201">
        <f t="shared" si="351"/>
        <v>397206.57</v>
      </c>
      <c r="BJ245" s="201">
        <f t="shared" si="352"/>
        <v>99.3016425</v>
      </c>
      <c r="BK245" s="210">
        <v>89</v>
      </c>
      <c r="BL245" s="210">
        <v>85</v>
      </c>
      <c r="BM245" s="211"/>
      <c r="BN245" s="211"/>
      <c r="BO245" s="212">
        <f t="shared" si="353"/>
        <v>0</v>
      </c>
      <c r="BP245" s="201">
        <f t="shared" si="354"/>
        <v>2793.429999999993</v>
      </c>
      <c r="BQ245" s="201">
        <f t="shared" si="355"/>
        <v>2793.429999999993</v>
      </c>
      <c r="BR245" s="201">
        <f t="shared" si="360"/>
        <v>0</v>
      </c>
      <c r="BS245" s="201">
        <f t="shared" si="360"/>
        <v>2793.429999999993</v>
      </c>
      <c r="BT245" s="201">
        <f t="shared" si="356"/>
        <v>2793.429999999993</v>
      </c>
      <c r="BU245" s="213">
        <f t="shared" si="313"/>
        <v>0</v>
      </c>
      <c r="BV245" s="201"/>
      <c r="BW245" s="201"/>
      <c r="BX245" s="201">
        <f t="shared" si="357"/>
        <v>0</v>
      </c>
      <c r="BY245" s="199">
        <v>28000</v>
      </c>
      <c r="BZ245" s="199">
        <v>120000</v>
      </c>
      <c r="CA245" s="199">
        <v>208000</v>
      </c>
      <c r="CB245" s="199">
        <v>44000</v>
      </c>
      <c r="CC245" s="199">
        <v>0</v>
      </c>
      <c r="CD245" s="199">
        <v>0</v>
      </c>
      <c r="CE245" s="199">
        <v>0</v>
      </c>
      <c r="CF245" s="199">
        <v>0</v>
      </c>
      <c r="CG245" s="199">
        <v>0</v>
      </c>
      <c r="CH245" s="199"/>
      <c r="CI245" s="199"/>
      <c r="CJ245" s="199"/>
      <c r="CK245" s="214" t="s">
        <v>709</v>
      </c>
      <c r="CL245" s="214" t="s">
        <v>610</v>
      </c>
      <c r="CM245" s="211">
        <v>198</v>
      </c>
      <c r="CN245" s="215"/>
      <c r="CO245" s="215"/>
      <c r="CP245" s="216"/>
      <c r="CQ245" s="217"/>
      <c r="CR245" s="211"/>
      <c r="CS245" s="218"/>
      <c r="CT245" s="218"/>
      <c r="CU245" s="218"/>
      <c r="CV245" s="211"/>
      <c r="CW245" s="211"/>
      <c r="CX245" s="211"/>
      <c r="CY245" s="211"/>
      <c r="CZ245" s="211"/>
      <c r="DA245" s="211"/>
      <c r="DB245" s="211"/>
      <c r="DC245" s="219"/>
      <c r="DD245" s="219"/>
      <c r="DE245" s="219"/>
      <c r="DF245" s="211"/>
      <c r="DG245" s="211"/>
      <c r="DH245" s="211"/>
      <c r="DI245" s="211"/>
      <c r="DJ245" s="211"/>
      <c r="DK245" s="220" t="s">
        <v>32</v>
      </c>
      <c r="DT245" s="222"/>
    </row>
    <row r="246" spans="1:124" s="176" customFormat="1" ht="42" x14ac:dyDescent="0.2">
      <c r="A246" s="195" t="s">
        <v>108</v>
      </c>
      <c r="B246" s="197" t="s">
        <v>710</v>
      </c>
      <c r="C246" s="198">
        <v>1</v>
      </c>
      <c r="D246" s="199">
        <v>900000</v>
      </c>
      <c r="E246" s="198" t="s">
        <v>711</v>
      </c>
      <c r="F246" s="198" t="s">
        <v>665</v>
      </c>
      <c r="G246" s="198" t="s">
        <v>98</v>
      </c>
      <c r="H246" s="200">
        <v>1</v>
      </c>
      <c r="I246" s="199">
        <f t="shared" si="329"/>
        <v>0</v>
      </c>
      <c r="J246" s="199">
        <f t="shared" si="330"/>
        <v>900000</v>
      </c>
      <c r="K246" s="199">
        <f t="shared" si="331"/>
        <v>900000</v>
      </c>
      <c r="L246" s="199"/>
      <c r="M246" s="199">
        <v>900000</v>
      </c>
      <c r="N246" s="199">
        <f t="shared" si="332"/>
        <v>900000</v>
      </c>
      <c r="O246" s="199"/>
      <c r="P246" s="201">
        <v>0</v>
      </c>
      <c r="Q246" s="202">
        <v>14</v>
      </c>
      <c r="R246" s="203">
        <v>45566</v>
      </c>
      <c r="S246" s="199"/>
      <c r="T246" s="199">
        <v>900000</v>
      </c>
      <c r="U246" s="204">
        <f t="shared" si="333"/>
        <v>900000</v>
      </c>
      <c r="V246" s="205"/>
      <c r="W246" s="200"/>
      <c r="X246" s="201"/>
      <c r="Y246" s="201"/>
      <c r="Z246" s="201">
        <f t="shared" si="334"/>
        <v>0</v>
      </c>
      <c r="AA246" s="198"/>
      <c r="AB246" s="206"/>
      <c r="AC246" s="207"/>
      <c r="AD246" s="201"/>
      <c r="AE246" s="204">
        <f t="shared" si="335"/>
        <v>0</v>
      </c>
      <c r="AF246" s="203">
        <f t="shared" si="336"/>
        <v>45566</v>
      </c>
      <c r="AG246" s="201">
        <f t="shared" si="337"/>
        <v>0</v>
      </c>
      <c r="AH246" s="199">
        <f t="shared" si="338"/>
        <v>900000</v>
      </c>
      <c r="AI246" s="199">
        <f t="shared" si="339"/>
        <v>900000</v>
      </c>
      <c r="AJ246" s="201">
        <f t="shared" si="358"/>
        <v>0</v>
      </c>
      <c r="AK246" s="201">
        <f t="shared" si="358"/>
        <v>900000</v>
      </c>
      <c r="AL246" s="201">
        <f t="shared" si="340"/>
        <v>900000</v>
      </c>
      <c r="AM246" s="198"/>
      <c r="AN246" s="203"/>
      <c r="AO246" s="208"/>
      <c r="AP246" s="201">
        <f t="shared" si="341"/>
        <v>0</v>
      </c>
      <c r="AQ246" s="201">
        <f t="shared" si="342"/>
        <v>841502.71</v>
      </c>
      <c r="AR246" s="201">
        <f t="shared" si="343"/>
        <v>841502.71</v>
      </c>
      <c r="AS246" s="201">
        <f t="shared" si="344"/>
        <v>93.500301111111114</v>
      </c>
      <c r="AT246" s="201"/>
      <c r="AU246" s="223">
        <v>841502.71</v>
      </c>
      <c r="AV246" s="201">
        <f t="shared" si="345"/>
        <v>841502.71</v>
      </c>
      <c r="AW246" s="201">
        <f t="shared" si="300"/>
        <v>0</v>
      </c>
      <c r="AX246" s="201">
        <f t="shared" si="346"/>
        <v>93.500301111111114</v>
      </c>
      <c r="AY246" s="208"/>
      <c r="AZ246" s="201">
        <f t="shared" si="347"/>
        <v>0</v>
      </c>
      <c r="BA246" s="201">
        <f t="shared" si="348"/>
        <v>0</v>
      </c>
      <c r="BB246" s="201">
        <f t="shared" si="349"/>
        <v>0</v>
      </c>
      <c r="BC246" s="201"/>
      <c r="BD246" s="223">
        <v>0</v>
      </c>
      <c r="BE246" s="201">
        <f t="shared" si="350"/>
        <v>0</v>
      </c>
      <c r="BF246" s="208"/>
      <c r="BG246" s="201">
        <f t="shared" si="359"/>
        <v>0</v>
      </c>
      <c r="BH246" s="201">
        <f t="shared" si="359"/>
        <v>841502.71</v>
      </c>
      <c r="BI246" s="201">
        <f t="shared" si="351"/>
        <v>841502.71</v>
      </c>
      <c r="BJ246" s="201">
        <f t="shared" si="352"/>
        <v>93.500301111111114</v>
      </c>
      <c r="BK246" s="210">
        <v>89</v>
      </c>
      <c r="BL246" s="210">
        <v>85</v>
      </c>
      <c r="BM246" s="211"/>
      <c r="BN246" s="211"/>
      <c r="BO246" s="212">
        <f t="shared" si="353"/>
        <v>0</v>
      </c>
      <c r="BP246" s="201">
        <f t="shared" si="354"/>
        <v>58497.290000000037</v>
      </c>
      <c r="BQ246" s="201">
        <f t="shared" si="355"/>
        <v>58497.290000000037</v>
      </c>
      <c r="BR246" s="201">
        <f t="shared" si="360"/>
        <v>0</v>
      </c>
      <c r="BS246" s="201">
        <f t="shared" si="360"/>
        <v>58497.290000000037</v>
      </c>
      <c r="BT246" s="201">
        <f t="shared" si="356"/>
        <v>58497.290000000037</v>
      </c>
      <c r="BU246" s="213">
        <f t="shared" si="313"/>
        <v>0</v>
      </c>
      <c r="BV246" s="201"/>
      <c r="BW246" s="201"/>
      <c r="BX246" s="201">
        <f t="shared" si="357"/>
        <v>0</v>
      </c>
      <c r="BY246" s="199">
        <v>63000</v>
      </c>
      <c r="BZ246" s="199">
        <v>270000</v>
      </c>
      <c r="CA246" s="199">
        <v>468000</v>
      </c>
      <c r="CB246" s="199">
        <v>99000</v>
      </c>
      <c r="CC246" s="199">
        <v>0</v>
      </c>
      <c r="CD246" s="199">
        <v>0</v>
      </c>
      <c r="CE246" s="199">
        <v>0</v>
      </c>
      <c r="CF246" s="199">
        <v>0</v>
      </c>
      <c r="CG246" s="199">
        <v>0</v>
      </c>
      <c r="CH246" s="199"/>
      <c r="CI246" s="199"/>
      <c r="CJ246" s="199"/>
      <c r="CK246" s="214" t="s">
        <v>712</v>
      </c>
      <c r="CL246" s="214" t="s">
        <v>610</v>
      </c>
      <c r="CM246" s="211">
        <v>198</v>
      </c>
      <c r="CN246" s="215"/>
      <c r="CO246" s="215"/>
      <c r="CP246" s="216"/>
      <c r="CQ246" s="217"/>
      <c r="CR246" s="211"/>
      <c r="CS246" s="218"/>
      <c r="CT246" s="218"/>
      <c r="CU246" s="218"/>
      <c r="CV246" s="211"/>
      <c r="CW246" s="211"/>
      <c r="CX246" s="211"/>
      <c r="CY246" s="211"/>
      <c r="CZ246" s="211"/>
      <c r="DA246" s="211"/>
      <c r="DB246" s="211"/>
      <c r="DC246" s="219"/>
      <c r="DD246" s="219"/>
      <c r="DE246" s="219"/>
      <c r="DF246" s="211"/>
      <c r="DG246" s="211"/>
      <c r="DH246" s="211"/>
      <c r="DI246" s="211"/>
      <c r="DJ246" s="211"/>
      <c r="DK246" s="220" t="s">
        <v>32</v>
      </c>
      <c r="DT246" s="222"/>
    </row>
    <row r="247" spans="1:124" s="176" customFormat="1" ht="42" x14ac:dyDescent="0.2">
      <c r="A247" s="195" t="s">
        <v>108</v>
      </c>
      <c r="B247" s="197" t="s">
        <v>713</v>
      </c>
      <c r="C247" s="198">
        <v>1</v>
      </c>
      <c r="D247" s="199">
        <v>800000</v>
      </c>
      <c r="E247" s="198" t="s">
        <v>714</v>
      </c>
      <c r="F247" s="198" t="s">
        <v>106</v>
      </c>
      <c r="G247" s="198" t="s">
        <v>98</v>
      </c>
      <c r="H247" s="200">
        <v>1</v>
      </c>
      <c r="I247" s="199">
        <f t="shared" si="329"/>
        <v>0</v>
      </c>
      <c r="J247" s="199">
        <f t="shared" si="330"/>
        <v>800000</v>
      </c>
      <c r="K247" s="199">
        <f t="shared" si="331"/>
        <v>800000</v>
      </c>
      <c r="L247" s="199"/>
      <c r="M247" s="199">
        <v>800000</v>
      </c>
      <c r="N247" s="199">
        <f t="shared" si="332"/>
        <v>800000</v>
      </c>
      <c r="O247" s="199"/>
      <c r="P247" s="201">
        <v>0</v>
      </c>
      <c r="Q247" s="202">
        <v>14</v>
      </c>
      <c r="R247" s="203">
        <v>45566</v>
      </c>
      <c r="S247" s="199"/>
      <c r="T247" s="199">
        <v>800000</v>
      </c>
      <c r="U247" s="204">
        <f t="shared" si="333"/>
        <v>800000</v>
      </c>
      <c r="V247" s="205"/>
      <c r="W247" s="200"/>
      <c r="X247" s="201"/>
      <c r="Y247" s="201"/>
      <c r="Z247" s="201">
        <f t="shared" si="334"/>
        <v>0</v>
      </c>
      <c r="AA247" s="198"/>
      <c r="AB247" s="206"/>
      <c r="AC247" s="207"/>
      <c r="AD247" s="201"/>
      <c r="AE247" s="204">
        <f t="shared" si="335"/>
        <v>0</v>
      </c>
      <c r="AF247" s="203">
        <f t="shared" si="336"/>
        <v>45566</v>
      </c>
      <c r="AG247" s="201">
        <f t="shared" si="337"/>
        <v>0</v>
      </c>
      <c r="AH247" s="199">
        <f t="shared" si="338"/>
        <v>800000</v>
      </c>
      <c r="AI247" s="199">
        <f t="shared" si="339"/>
        <v>800000</v>
      </c>
      <c r="AJ247" s="201">
        <f t="shared" si="358"/>
        <v>0</v>
      </c>
      <c r="AK247" s="201">
        <f t="shared" si="358"/>
        <v>800000</v>
      </c>
      <c r="AL247" s="201">
        <f t="shared" si="340"/>
        <v>800000</v>
      </c>
      <c r="AM247" s="198"/>
      <c r="AN247" s="203"/>
      <c r="AO247" s="208"/>
      <c r="AP247" s="201">
        <f t="shared" si="341"/>
        <v>0</v>
      </c>
      <c r="AQ247" s="201">
        <f t="shared" si="342"/>
        <v>544068.09</v>
      </c>
      <c r="AR247" s="201">
        <f t="shared" si="343"/>
        <v>544068.09</v>
      </c>
      <c r="AS247" s="201">
        <f t="shared" si="344"/>
        <v>68.008511249999998</v>
      </c>
      <c r="AT247" s="201"/>
      <c r="AU247" s="223">
        <v>544068.09</v>
      </c>
      <c r="AV247" s="201">
        <f t="shared" si="345"/>
        <v>544068.09</v>
      </c>
      <c r="AW247" s="201">
        <f t="shared" si="300"/>
        <v>0</v>
      </c>
      <c r="AX247" s="201">
        <f t="shared" si="346"/>
        <v>68.008511249999998</v>
      </c>
      <c r="AY247" s="208"/>
      <c r="AZ247" s="201">
        <f t="shared" si="347"/>
        <v>0</v>
      </c>
      <c r="BA247" s="201">
        <f t="shared" si="348"/>
        <v>0</v>
      </c>
      <c r="BB247" s="201">
        <f t="shared" si="349"/>
        <v>0</v>
      </c>
      <c r="BC247" s="201"/>
      <c r="BD247" s="223">
        <v>0</v>
      </c>
      <c r="BE247" s="201">
        <f t="shared" si="350"/>
        <v>0</v>
      </c>
      <c r="BF247" s="208"/>
      <c r="BG247" s="201">
        <f t="shared" si="359"/>
        <v>0</v>
      </c>
      <c r="BH247" s="201">
        <f t="shared" si="359"/>
        <v>544068.09</v>
      </c>
      <c r="BI247" s="201">
        <f t="shared" si="351"/>
        <v>544068.09</v>
      </c>
      <c r="BJ247" s="201">
        <f t="shared" si="352"/>
        <v>68.008511249999998</v>
      </c>
      <c r="BK247" s="210">
        <v>89</v>
      </c>
      <c r="BL247" s="210">
        <v>60</v>
      </c>
      <c r="BM247" s="211"/>
      <c r="BN247" s="211"/>
      <c r="BO247" s="212">
        <f t="shared" si="353"/>
        <v>0</v>
      </c>
      <c r="BP247" s="201">
        <f t="shared" si="354"/>
        <v>255931.91000000003</v>
      </c>
      <c r="BQ247" s="201">
        <f t="shared" si="355"/>
        <v>255931.91000000003</v>
      </c>
      <c r="BR247" s="201">
        <f t="shared" si="360"/>
        <v>0</v>
      </c>
      <c r="BS247" s="201">
        <f t="shared" si="360"/>
        <v>255931.91000000003</v>
      </c>
      <c r="BT247" s="201">
        <f t="shared" si="356"/>
        <v>255931.91000000003</v>
      </c>
      <c r="BU247" s="213">
        <f t="shared" si="313"/>
        <v>0</v>
      </c>
      <c r="BV247" s="201"/>
      <c r="BW247" s="201"/>
      <c r="BX247" s="201">
        <f t="shared" si="357"/>
        <v>0</v>
      </c>
      <c r="BY247" s="199">
        <v>56000</v>
      </c>
      <c r="BZ247" s="199">
        <v>240000</v>
      </c>
      <c r="CA247" s="199">
        <v>416000</v>
      </c>
      <c r="CB247" s="199">
        <v>88000</v>
      </c>
      <c r="CC247" s="199">
        <v>0</v>
      </c>
      <c r="CD247" s="199">
        <v>0</v>
      </c>
      <c r="CE247" s="199">
        <v>0</v>
      </c>
      <c r="CF247" s="199">
        <v>0</v>
      </c>
      <c r="CG247" s="199">
        <v>0</v>
      </c>
      <c r="CH247" s="199"/>
      <c r="CI247" s="199"/>
      <c r="CJ247" s="199"/>
      <c r="CK247" s="214" t="s">
        <v>715</v>
      </c>
      <c r="CL247" s="214" t="s">
        <v>610</v>
      </c>
      <c r="CM247" s="211">
        <v>198</v>
      </c>
      <c r="CN247" s="215"/>
      <c r="CO247" s="215"/>
      <c r="CP247" s="216"/>
      <c r="CQ247" s="217"/>
      <c r="CR247" s="211"/>
      <c r="CS247" s="218"/>
      <c r="CT247" s="218"/>
      <c r="CU247" s="218"/>
      <c r="CV247" s="211"/>
      <c r="CW247" s="211"/>
      <c r="CX247" s="211"/>
      <c r="CY247" s="211"/>
      <c r="CZ247" s="211"/>
      <c r="DA247" s="211"/>
      <c r="DB247" s="211"/>
      <c r="DC247" s="219"/>
      <c r="DD247" s="219"/>
      <c r="DE247" s="219"/>
      <c r="DF247" s="211"/>
      <c r="DG247" s="211"/>
      <c r="DH247" s="211"/>
      <c r="DI247" s="211"/>
      <c r="DJ247" s="211"/>
      <c r="DK247" s="220" t="s">
        <v>32</v>
      </c>
      <c r="DT247" s="222"/>
    </row>
    <row r="248" spans="1:124" s="176" customFormat="1" ht="42" x14ac:dyDescent="0.2">
      <c r="A248" s="195" t="s">
        <v>108</v>
      </c>
      <c r="B248" s="197" t="s">
        <v>716</v>
      </c>
      <c r="C248" s="198">
        <v>1</v>
      </c>
      <c r="D248" s="199">
        <v>800000</v>
      </c>
      <c r="E248" s="198" t="s">
        <v>717</v>
      </c>
      <c r="F248" s="198" t="s">
        <v>106</v>
      </c>
      <c r="G248" s="198" t="s">
        <v>98</v>
      </c>
      <c r="H248" s="200">
        <v>1</v>
      </c>
      <c r="I248" s="199">
        <f t="shared" si="329"/>
        <v>0</v>
      </c>
      <c r="J248" s="199">
        <f t="shared" si="330"/>
        <v>800000</v>
      </c>
      <c r="K248" s="199">
        <f t="shared" si="331"/>
        <v>800000</v>
      </c>
      <c r="L248" s="199"/>
      <c r="M248" s="199">
        <v>800000</v>
      </c>
      <c r="N248" s="199">
        <f t="shared" si="332"/>
        <v>800000</v>
      </c>
      <c r="O248" s="199"/>
      <c r="P248" s="201">
        <v>0</v>
      </c>
      <c r="Q248" s="202">
        <v>14</v>
      </c>
      <c r="R248" s="203">
        <v>45566</v>
      </c>
      <c r="S248" s="199"/>
      <c r="T248" s="199">
        <v>800000</v>
      </c>
      <c r="U248" s="204">
        <f t="shared" si="333"/>
        <v>800000</v>
      </c>
      <c r="V248" s="205"/>
      <c r="W248" s="200"/>
      <c r="X248" s="201"/>
      <c r="Y248" s="201"/>
      <c r="Z248" s="201">
        <f t="shared" si="334"/>
        <v>0</v>
      </c>
      <c r="AA248" s="198"/>
      <c r="AB248" s="206"/>
      <c r="AC248" s="207"/>
      <c r="AD248" s="201"/>
      <c r="AE248" s="204">
        <f t="shared" si="335"/>
        <v>0</v>
      </c>
      <c r="AF248" s="203">
        <f t="shared" si="336"/>
        <v>45566</v>
      </c>
      <c r="AG248" s="201">
        <f t="shared" si="337"/>
        <v>0</v>
      </c>
      <c r="AH248" s="199">
        <f t="shared" si="338"/>
        <v>800000</v>
      </c>
      <c r="AI248" s="199">
        <f t="shared" si="339"/>
        <v>800000</v>
      </c>
      <c r="AJ248" s="201">
        <f t="shared" si="358"/>
        <v>0</v>
      </c>
      <c r="AK248" s="201">
        <f t="shared" si="358"/>
        <v>800000</v>
      </c>
      <c r="AL248" s="201">
        <f t="shared" si="340"/>
        <v>800000</v>
      </c>
      <c r="AM248" s="198"/>
      <c r="AN248" s="203"/>
      <c r="AO248" s="208"/>
      <c r="AP248" s="201">
        <f t="shared" si="341"/>
        <v>0</v>
      </c>
      <c r="AQ248" s="201">
        <f t="shared" si="342"/>
        <v>797722.02</v>
      </c>
      <c r="AR248" s="201">
        <f t="shared" si="343"/>
        <v>797722.02</v>
      </c>
      <c r="AS248" s="201">
        <f t="shared" si="344"/>
        <v>99.715252500000005</v>
      </c>
      <c r="AT248" s="201"/>
      <c r="AU248" s="223">
        <v>797722.02</v>
      </c>
      <c r="AV248" s="201">
        <f t="shared" si="345"/>
        <v>797722.02</v>
      </c>
      <c r="AW248" s="201">
        <f t="shared" si="300"/>
        <v>0</v>
      </c>
      <c r="AX248" s="201">
        <f t="shared" si="346"/>
        <v>99.715252500000005</v>
      </c>
      <c r="AY248" s="208"/>
      <c r="AZ248" s="201">
        <f t="shared" si="347"/>
        <v>0</v>
      </c>
      <c r="BA248" s="201">
        <f t="shared" si="348"/>
        <v>0</v>
      </c>
      <c r="BB248" s="201">
        <f t="shared" si="349"/>
        <v>0</v>
      </c>
      <c r="BC248" s="201"/>
      <c r="BD248" s="223">
        <v>0</v>
      </c>
      <c r="BE248" s="201">
        <f t="shared" si="350"/>
        <v>0</v>
      </c>
      <c r="BF248" s="208"/>
      <c r="BG248" s="201">
        <f t="shared" si="359"/>
        <v>0</v>
      </c>
      <c r="BH248" s="201">
        <f t="shared" si="359"/>
        <v>797722.02</v>
      </c>
      <c r="BI248" s="201">
        <f t="shared" si="351"/>
        <v>797722.02</v>
      </c>
      <c r="BJ248" s="201">
        <f t="shared" si="352"/>
        <v>99.715252500000005</v>
      </c>
      <c r="BK248" s="210">
        <v>89</v>
      </c>
      <c r="BL248" s="210">
        <v>99</v>
      </c>
      <c r="BM248" s="211"/>
      <c r="BN248" s="211"/>
      <c r="BO248" s="212">
        <f t="shared" si="353"/>
        <v>0</v>
      </c>
      <c r="BP248" s="201">
        <f t="shared" si="354"/>
        <v>2277.9799999999814</v>
      </c>
      <c r="BQ248" s="201">
        <f t="shared" si="355"/>
        <v>2277.9799999999814</v>
      </c>
      <c r="BR248" s="201">
        <f t="shared" si="360"/>
        <v>0</v>
      </c>
      <c r="BS248" s="201">
        <f t="shared" si="360"/>
        <v>2277.9799999999814</v>
      </c>
      <c r="BT248" s="201">
        <f t="shared" si="356"/>
        <v>2277.9799999999814</v>
      </c>
      <c r="BU248" s="213">
        <f t="shared" si="313"/>
        <v>0</v>
      </c>
      <c r="BV248" s="201"/>
      <c r="BW248" s="201"/>
      <c r="BX248" s="201">
        <f t="shared" si="357"/>
        <v>0</v>
      </c>
      <c r="BY248" s="199">
        <v>56000</v>
      </c>
      <c r="BZ248" s="199">
        <v>240000</v>
      </c>
      <c r="CA248" s="199">
        <v>416000</v>
      </c>
      <c r="CB248" s="199">
        <v>88000</v>
      </c>
      <c r="CC248" s="199">
        <v>0</v>
      </c>
      <c r="CD248" s="199">
        <v>0</v>
      </c>
      <c r="CE248" s="199">
        <v>0</v>
      </c>
      <c r="CF248" s="199">
        <v>0</v>
      </c>
      <c r="CG248" s="199">
        <v>0</v>
      </c>
      <c r="CH248" s="199"/>
      <c r="CI248" s="199"/>
      <c r="CJ248" s="199"/>
      <c r="CK248" s="214" t="s">
        <v>718</v>
      </c>
      <c r="CL248" s="214" t="s">
        <v>610</v>
      </c>
      <c r="CM248" s="211">
        <v>198</v>
      </c>
      <c r="CN248" s="215"/>
      <c r="CO248" s="215"/>
      <c r="CP248" s="216"/>
      <c r="CQ248" s="217"/>
      <c r="CR248" s="211"/>
      <c r="CS248" s="218"/>
      <c r="CT248" s="218"/>
      <c r="CU248" s="218"/>
      <c r="CV248" s="211"/>
      <c r="CW248" s="211"/>
      <c r="CX248" s="211"/>
      <c r="CY248" s="211"/>
      <c r="CZ248" s="211"/>
      <c r="DA248" s="211"/>
      <c r="DB248" s="211"/>
      <c r="DC248" s="219"/>
      <c r="DD248" s="219"/>
      <c r="DE248" s="219"/>
      <c r="DF248" s="211"/>
      <c r="DG248" s="211"/>
      <c r="DH248" s="211"/>
      <c r="DI248" s="211"/>
      <c r="DJ248" s="211"/>
      <c r="DK248" s="220" t="s">
        <v>32</v>
      </c>
      <c r="DT248" s="222"/>
    </row>
    <row r="249" spans="1:124" s="176" customFormat="1" ht="42" x14ac:dyDescent="0.2">
      <c r="A249" s="195" t="s">
        <v>108</v>
      </c>
      <c r="B249" s="197" t="s">
        <v>719</v>
      </c>
      <c r="C249" s="198">
        <v>1</v>
      </c>
      <c r="D249" s="199">
        <v>650000</v>
      </c>
      <c r="E249" s="198" t="s">
        <v>340</v>
      </c>
      <c r="F249" s="198" t="s">
        <v>238</v>
      </c>
      <c r="G249" s="198" t="s">
        <v>98</v>
      </c>
      <c r="H249" s="200">
        <v>1</v>
      </c>
      <c r="I249" s="199">
        <f t="shared" si="329"/>
        <v>0</v>
      </c>
      <c r="J249" s="199">
        <f t="shared" si="330"/>
        <v>650000</v>
      </c>
      <c r="K249" s="199">
        <f t="shared" si="331"/>
        <v>650000</v>
      </c>
      <c r="L249" s="199"/>
      <c r="M249" s="199">
        <v>650000</v>
      </c>
      <c r="N249" s="199">
        <f t="shared" si="332"/>
        <v>650000</v>
      </c>
      <c r="O249" s="199"/>
      <c r="P249" s="201">
        <v>0</v>
      </c>
      <c r="Q249" s="202">
        <v>14</v>
      </c>
      <c r="R249" s="203">
        <v>45566</v>
      </c>
      <c r="S249" s="199"/>
      <c r="T249" s="199">
        <v>650000</v>
      </c>
      <c r="U249" s="204">
        <f t="shared" si="333"/>
        <v>650000</v>
      </c>
      <c r="V249" s="205"/>
      <c r="W249" s="200"/>
      <c r="X249" s="201"/>
      <c r="Y249" s="201"/>
      <c r="Z249" s="201">
        <f t="shared" si="334"/>
        <v>0</v>
      </c>
      <c r="AA249" s="198"/>
      <c r="AB249" s="206"/>
      <c r="AC249" s="207"/>
      <c r="AD249" s="201"/>
      <c r="AE249" s="204">
        <f t="shared" si="335"/>
        <v>0</v>
      </c>
      <c r="AF249" s="203">
        <f t="shared" si="336"/>
        <v>45566</v>
      </c>
      <c r="AG249" s="201">
        <f t="shared" si="337"/>
        <v>0</v>
      </c>
      <c r="AH249" s="199">
        <f t="shared" si="338"/>
        <v>650000</v>
      </c>
      <c r="AI249" s="199">
        <f t="shared" si="339"/>
        <v>650000</v>
      </c>
      <c r="AJ249" s="201">
        <f t="shared" si="358"/>
        <v>0</v>
      </c>
      <c r="AK249" s="201">
        <f t="shared" si="358"/>
        <v>650000</v>
      </c>
      <c r="AL249" s="201">
        <f t="shared" si="340"/>
        <v>650000</v>
      </c>
      <c r="AM249" s="198"/>
      <c r="AN249" s="203"/>
      <c r="AO249" s="208"/>
      <c r="AP249" s="201">
        <f t="shared" si="341"/>
        <v>0</v>
      </c>
      <c r="AQ249" s="201">
        <f t="shared" si="342"/>
        <v>649475.16</v>
      </c>
      <c r="AR249" s="201">
        <f t="shared" si="343"/>
        <v>649475.16</v>
      </c>
      <c r="AS249" s="201">
        <f t="shared" si="344"/>
        <v>99.919255384615383</v>
      </c>
      <c r="AT249" s="201"/>
      <c r="AU249" s="223">
        <v>649475.16</v>
      </c>
      <c r="AV249" s="201">
        <f t="shared" si="345"/>
        <v>649475.16</v>
      </c>
      <c r="AW249" s="201">
        <f t="shared" si="300"/>
        <v>0</v>
      </c>
      <c r="AX249" s="201">
        <f t="shared" si="346"/>
        <v>99.919255384615383</v>
      </c>
      <c r="AY249" s="208"/>
      <c r="AZ249" s="201">
        <f t="shared" si="347"/>
        <v>0</v>
      </c>
      <c r="BA249" s="201">
        <f t="shared" si="348"/>
        <v>0</v>
      </c>
      <c r="BB249" s="201">
        <f t="shared" si="349"/>
        <v>0</v>
      </c>
      <c r="BC249" s="201"/>
      <c r="BD249" s="223">
        <v>0</v>
      </c>
      <c r="BE249" s="201">
        <f t="shared" si="350"/>
        <v>0</v>
      </c>
      <c r="BF249" s="208"/>
      <c r="BG249" s="201">
        <f t="shared" si="359"/>
        <v>0</v>
      </c>
      <c r="BH249" s="201">
        <f t="shared" si="359"/>
        <v>649475.16</v>
      </c>
      <c r="BI249" s="201">
        <f t="shared" si="351"/>
        <v>649475.16</v>
      </c>
      <c r="BJ249" s="201">
        <f t="shared" si="352"/>
        <v>99.919255384615383</v>
      </c>
      <c r="BK249" s="210">
        <v>89</v>
      </c>
      <c r="BL249" s="210">
        <v>100</v>
      </c>
      <c r="BM249" s="211"/>
      <c r="BN249" s="211"/>
      <c r="BO249" s="212">
        <f t="shared" si="353"/>
        <v>0</v>
      </c>
      <c r="BP249" s="201">
        <f t="shared" si="354"/>
        <v>524.8399999999674</v>
      </c>
      <c r="BQ249" s="201">
        <f t="shared" si="355"/>
        <v>524.8399999999674</v>
      </c>
      <c r="BR249" s="201">
        <f t="shared" si="360"/>
        <v>0</v>
      </c>
      <c r="BS249" s="201">
        <f t="shared" si="360"/>
        <v>524.8399999999674</v>
      </c>
      <c r="BT249" s="201">
        <f t="shared" si="356"/>
        <v>524.8399999999674</v>
      </c>
      <c r="BU249" s="213">
        <f t="shared" si="313"/>
        <v>0</v>
      </c>
      <c r="BV249" s="201"/>
      <c r="BW249" s="201"/>
      <c r="BX249" s="201">
        <f t="shared" si="357"/>
        <v>0</v>
      </c>
      <c r="BY249" s="199">
        <v>45500</v>
      </c>
      <c r="BZ249" s="199">
        <v>195000</v>
      </c>
      <c r="CA249" s="199">
        <v>338000</v>
      </c>
      <c r="CB249" s="199">
        <v>71500</v>
      </c>
      <c r="CC249" s="199">
        <v>0</v>
      </c>
      <c r="CD249" s="199">
        <v>0</v>
      </c>
      <c r="CE249" s="199">
        <v>0</v>
      </c>
      <c r="CF249" s="199">
        <v>0</v>
      </c>
      <c r="CG249" s="199">
        <v>0</v>
      </c>
      <c r="CH249" s="199"/>
      <c r="CI249" s="199"/>
      <c r="CJ249" s="199"/>
      <c r="CK249" s="214" t="s">
        <v>720</v>
      </c>
      <c r="CL249" s="214" t="s">
        <v>610</v>
      </c>
      <c r="CM249" s="211">
        <v>198</v>
      </c>
      <c r="CN249" s="215"/>
      <c r="CO249" s="215"/>
      <c r="CP249" s="216"/>
      <c r="CQ249" s="217"/>
      <c r="CR249" s="211"/>
      <c r="CS249" s="218"/>
      <c r="CT249" s="218"/>
      <c r="CU249" s="218"/>
      <c r="CV249" s="211"/>
      <c r="CW249" s="211"/>
      <c r="CX249" s="211"/>
      <c r="CY249" s="211"/>
      <c r="CZ249" s="211"/>
      <c r="DA249" s="211"/>
      <c r="DB249" s="211"/>
      <c r="DC249" s="219"/>
      <c r="DD249" s="219"/>
      <c r="DE249" s="219"/>
      <c r="DF249" s="211"/>
      <c r="DG249" s="211"/>
      <c r="DH249" s="211"/>
      <c r="DI249" s="211"/>
      <c r="DJ249" s="211"/>
      <c r="DK249" s="220" t="s">
        <v>32</v>
      </c>
      <c r="DT249" s="222"/>
    </row>
    <row r="250" spans="1:124" s="176" customFormat="1" ht="42" x14ac:dyDescent="0.2">
      <c r="A250" s="195" t="s">
        <v>108</v>
      </c>
      <c r="B250" s="197" t="s">
        <v>721</v>
      </c>
      <c r="C250" s="198">
        <v>1</v>
      </c>
      <c r="D250" s="199">
        <v>200000</v>
      </c>
      <c r="E250" s="198" t="s">
        <v>653</v>
      </c>
      <c r="F250" s="198" t="s">
        <v>106</v>
      </c>
      <c r="G250" s="198" t="s">
        <v>98</v>
      </c>
      <c r="H250" s="200">
        <v>1</v>
      </c>
      <c r="I250" s="199">
        <f t="shared" si="329"/>
        <v>0</v>
      </c>
      <c r="J250" s="199">
        <f t="shared" si="330"/>
        <v>200000</v>
      </c>
      <c r="K250" s="199">
        <f t="shared" si="331"/>
        <v>200000</v>
      </c>
      <c r="L250" s="199"/>
      <c r="M250" s="199">
        <v>200000</v>
      </c>
      <c r="N250" s="199">
        <f t="shared" si="332"/>
        <v>200000</v>
      </c>
      <c r="O250" s="199"/>
      <c r="P250" s="201">
        <v>0</v>
      </c>
      <c r="Q250" s="202">
        <v>14</v>
      </c>
      <c r="R250" s="203">
        <v>45566</v>
      </c>
      <c r="S250" s="199"/>
      <c r="T250" s="199">
        <v>200000</v>
      </c>
      <c r="U250" s="204">
        <f t="shared" si="333"/>
        <v>200000</v>
      </c>
      <c r="V250" s="205"/>
      <c r="W250" s="200"/>
      <c r="X250" s="201"/>
      <c r="Y250" s="201"/>
      <c r="Z250" s="201">
        <f t="shared" si="334"/>
        <v>0</v>
      </c>
      <c r="AA250" s="198"/>
      <c r="AB250" s="206"/>
      <c r="AC250" s="207"/>
      <c r="AD250" s="201"/>
      <c r="AE250" s="204">
        <f t="shared" si="335"/>
        <v>0</v>
      </c>
      <c r="AF250" s="203">
        <f t="shared" si="336"/>
        <v>45566</v>
      </c>
      <c r="AG250" s="201">
        <f t="shared" si="337"/>
        <v>0</v>
      </c>
      <c r="AH250" s="199">
        <f t="shared" si="338"/>
        <v>200000</v>
      </c>
      <c r="AI250" s="199">
        <f t="shared" si="339"/>
        <v>200000</v>
      </c>
      <c r="AJ250" s="201">
        <f t="shared" si="358"/>
        <v>0</v>
      </c>
      <c r="AK250" s="201">
        <f t="shared" si="358"/>
        <v>200000</v>
      </c>
      <c r="AL250" s="201">
        <f t="shared" si="340"/>
        <v>200000</v>
      </c>
      <c r="AM250" s="198"/>
      <c r="AN250" s="203"/>
      <c r="AO250" s="208"/>
      <c r="AP250" s="201">
        <f t="shared" si="341"/>
        <v>0</v>
      </c>
      <c r="AQ250" s="201">
        <f t="shared" si="342"/>
        <v>198734.02</v>
      </c>
      <c r="AR250" s="201">
        <f t="shared" si="343"/>
        <v>198734.02</v>
      </c>
      <c r="AS250" s="201">
        <f t="shared" si="344"/>
        <v>99.367009999999993</v>
      </c>
      <c r="AT250" s="201"/>
      <c r="AU250" s="223">
        <v>198734.02</v>
      </c>
      <c r="AV250" s="201">
        <f t="shared" si="345"/>
        <v>198734.02</v>
      </c>
      <c r="AW250" s="201">
        <f t="shared" si="300"/>
        <v>0</v>
      </c>
      <c r="AX250" s="201">
        <f t="shared" si="346"/>
        <v>99.367009999999993</v>
      </c>
      <c r="AY250" s="208"/>
      <c r="AZ250" s="201">
        <f t="shared" si="347"/>
        <v>0</v>
      </c>
      <c r="BA250" s="201">
        <f t="shared" si="348"/>
        <v>0</v>
      </c>
      <c r="BB250" s="201">
        <f t="shared" si="349"/>
        <v>0</v>
      </c>
      <c r="BC250" s="201"/>
      <c r="BD250" s="223">
        <v>0</v>
      </c>
      <c r="BE250" s="201">
        <f t="shared" si="350"/>
        <v>0</v>
      </c>
      <c r="BF250" s="208"/>
      <c r="BG250" s="201">
        <f t="shared" si="359"/>
        <v>0</v>
      </c>
      <c r="BH250" s="201">
        <f t="shared" si="359"/>
        <v>198734.02</v>
      </c>
      <c r="BI250" s="201">
        <f t="shared" si="351"/>
        <v>198734.02</v>
      </c>
      <c r="BJ250" s="201">
        <f t="shared" si="352"/>
        <v>99.367009999999993</v>
      </c>
      <c r="BK250" s="210">
        <v>89</v>
      </c>
      <c r="BL250" s="210">
        <v>100</v>
      </c>
      <c r="BM250" s="211"/>
      <c r="BN250" s="211"/>
      <c r="BO250" s="212">
        <f t="shared" si="353"/>
        <v>0</v>
      </c>
      <c r="BP250" s="201">
        <f t="shared" si="354"/>
        <v>1265.9800000000105</v>
      </c>
      <c r="BQ250" s="201">
        <f t="shared" si="355"/>
        <v>1265.9800000000105</v>
      </c>
      <c r="BR250" s="201">
        <f t="shared" si="360"/>
        <v>0</v>
      </c>
      <c r="BS250" s="201">
        <f t="shared" si="360"/>
        <v>1265.9800000000105</v>
      </c>
      <c r="BT250" s="201">
        <f t="shared" si="356"/>
        <v>1265.9800000000105</v>
      </c>
      <c r="BU250" s="213">
        <f t="shared" si="313"/>
        <v>0</v>
      </c>
      <c r="BV250" s="201"/>
      <c r="BW250" s="201"/>
      <c r="BX250" s="201">
        <f t="shared" si="357"/>
        <v>0</v>
      </c>
      <c r="BY250" s="199">
        <v>14000</v>
      </c>
      <c r="BZ250" s="199">
        <v>60000</v>
      </c>
      <c r="CA250" s="199">
        <v>104000</v>
      </c>
      <c r="CB250" s="199">
        <v>22000</v>
      </c>
      <c r="CC250" s="199">
        <v>0</v>
      </c>
      <c r="CD250" s="199">
        <v>0</v>
      </c>
      <c r="CE250" s="199">
        <v>0</v>
      </c>
      <c r="CF250" s="199">
        <v>0</v>
      </c>
      <c r="CG250" s="199">
        <v>0</v>
      </c>
      <c r="CH250" s="199"/>
      <c r="CI250" s="199"/>
      <c r="CJ250" s="199"/>
      <c r="CK250" s="214" t="s">
        <v>722</v>
      </c>
      <c r="CL250" s="214" t="s">
        <v>610</v>
      </c>
      <c r="CM250" s="211">
        <v>198</v>
      </c>
      <c r="CN250" s="215"/>
      <c r="CO250" s="215"/>
      <c r="CP250" s="216"/>
      <c r="CQ250" s="217"/>
      <c r="CR250" s="211"/>
      <c r="CS250" s="218"/>
      <c r="CT250" s="218"/>
      <c r="CU250" s="218"/>
      <c r="CV250" s="211"/>
      <c r="CW250" s="211"/>
      <c r="CX250" s="211"/>
      <c r="CY250" s="211"/>
      <c r="CZ250" s="211"/>
      <c r="DA250" s="211"/>
      <c r="DB250" s="211"/>
      <c r="DC250" s="219"/>
      <c r="DD250" s="219"/>
      <c r="DE250" s="219"/>
      <c r="DF250" s="211"/>
      <c r="DG250" s="211"/>
      <c r="DH250" s="211"/>
      <c r="DI250" s="211"/>
      <c r="DJ250" s="211"/>
      <c r="DK250" s="220" t="s">
        <v>32</v>
      </c>
      <c r="DT250" s="222"/>
    </row>
    <row r="251" spans="1:124" s="176" customFormat="1" ht="42" x14ac:dyDescent="0.2">
      <c r="A251" s="195" t="s">
        <v>108</v>
      </c>
      <c r="B251" s="197" t="s">
        <v>723</v>
      </c>
      <c r="C251" s="198">
        <v>1</v>
      </c>
      <c r="D251" s="199">
        <v>985000</v>
      </c>
      <c r="E251" s="198" t="s">
        <v>724</v>
      </c>
      <c r="F251" s="198" t="s">
        <v>318</v>
      </c>
      <c r="G251" s="198" t="s">
        <v>98</v>
      </c>
      <c r="H251" s="200">
        <v>1</v>
      </c>
      <c r="I251" s="199">
        <f t="shared" si="329"/>
        <v>0</v>
      </c>
      <c r="J251" s="199">
        <f t="shared" si="330"/>
        <v>985000</v>
      </c>
      <c r="K251" s="199">
        <f t="shared" si="331"/>
        <v>985000</v>
      </c>
      <c r="L251" s="199"/>
      <c r="M251" s="199">
        <v>985000</v>
      </c>
      <c r="N251" s="199">
        <f t="shared" si="332"/>
        <v>985000</v>
      </c>
      <c r="O251" s="199"/>
      <c r="P251" s="201">
        <v>0</v>
      </c>
      <c r="Q251" s="202">
        <v>14</v>
      </c>
      <c r="R251" s="203">
        <v>45566</v>
      </c>
      <c r="S251" s="199"/>
      <c r="T251" s="199">
        <v>985000</v>
      </c>
      <c r="U251" s="204">
        <f t="shared" si="333"/>
        <v>985000</v>
      </c>
      <c r="V251" s="205"/>
      <c r="W251" s="200"/>
      <c r="X251" s="201"/>
      <c r="Y251" s="201"/>
      <c r="Z251" s="201">
        <f t="shared" si="334"/>
        <v>0</v>
      </c>
      <c r="AA251" s="198"/>
      <c r="AB251" s="206"/>
      <c r="AC251" s="207"/>
      <c r="AD251" s="201"/>
      <c r="AE251" s="204">
        <f t="shared" si="335"/>
        <v>0</v>
      </c>
      <c r="AF251" s="203">
        <f t="shared" si="336"/>
        <v>45566</v>
      </c>
      <c r="AG251" s="201">
        <f t="shared" si="337"/>
        <v>0</v>
      </c>
      <c r="AH251" s="199">
        <f t="shared" si="338"/>
        <v>985000</v>
      </c>
      <c r="AI251" s="199">
        <f t="shared" si="339"/>
        <v>985000</v>
      </c>
      <c r="AJ251" s="201">
        <f t="shared" si="358"/>
        <v>0</v>
      </c>
      <c r="AK251" s="201">
        <f t="shared" si="358"/>
        <v>985000</v>
      </c>
      <c r="AL251" s="201">
        <f t="shared" si="340"/>
        <v>985000</v>
      </c>
      <c r="AM251" s="198"/>
      <c r="AN251" s="203"/>
      <c r="AO251" s="208"/>
      <c r="AP251" s="201">
        <f t="shared" si="341"/>
        <v>0</v>
      </c>
      <c r="AQ251" s="201">
        <f t="shared" si="342"/>
        <v>983826.98</v>
      </c>
      <c r="AR251" s="201">
        <f t="shared" si="343"/>
        <v>983826.98</v>
      </c>
      <c r="AS251" s="201">
        <f t="shared" si="344"/>
        <v>99.88091167512691</v>
      </c>
      <c r="AT251" s="201"/>
      <c r="AU251" s="223">
        <v>983826.98</v>
      </c>
      <c r="AV251" s="201">
        <f t="shared" si="345"/>
        <v>983826.98</v>
      </c>
      <c r="AW251" s="201">
        <f t="shared" si="300"/>
        <v>0</v>
      </c>
      <c r="AX251" s="201">
        <f t="shared" si="346"/>
        <v>99.88091167512691</v>
      </c>
      <c r="AY251" s="208"/>
      <c r="AZ251" s="201">
        <f t="shared" si="347"/>
        <v>0</v>
      </c>
      <c r="BA251" s="201">
        <f t="shared" si="348"/>
        <v>0</v>
      </c>
      <c r="BB251" s="201">
        <f t="shared" si="349"/>
        <v>0</v>
      </c>
      <c r="BC251" s="201"/>
      <c r="BD251" s="223">
        <v>0</v>
      </c>
      <c r="BE251" s="201">
        <f t="shared" si="350"/>
        <v>0</v>
      </c>
      <c r="BF251" s="208"/>
      <c r="BG251" s="201">
        <f t="shared" si="359"/>
        <v>0</v>
      </c>
      <c r="BH251" s="201">
        <f t="shared" si="359"/>
        <v>983826.98</v>
      </c>
      <c r="BI251" s="201">
        <f t="shared" si="351"/>
        <v>983826.98</v>
      </c>
      <c r="BJ251" s="201">
        <f t="shared" si="352"/>
        <v>99.88091167512691</v>
      </c>
      <c r="BK251" s="210">
        <v>89</v>
      </c>
      <c r="BL251" s="210">
        <v>95</v>
      </c>
      <c r="BM251" s="211"/>
      <c r="BN251" s="211"/>
      <c r="BO251" s="212">
        <f t="shared" si="353"/>
        <v>0</v>
      </c>
      <c r="BP251" s="201">
        <f t="shared" si="354"/>
        <v>1173.0200000000186</v>
      </c>
      <c r="BQ251" s="201">
        <f t="shared" si="355"/>
        <v>1173.0200000000186</v>
      </c>
      <c r="BR251" s="201">
        <f t="shared" si="360"/>
        <v>0</v>
      </c>
      <c r="BS251" s="201">
        <f t="shared" si="360"/>
        <v>1173.0200000000186</v>
      </c>
      <c r="BT251" s="201">
        <f t="shared" si="356"/>
        <v>1173.0200000000186</v>
      </c>
      <c r="BU251" s="213">
        <f t="shared" si="313"/>
        <v>0</v>
      </c>
      <c r="BV251" s="201"/>
      <c r="BW251" s="201"/>
      <c r="BX251" s="201">
        <f t="shared" si="357"/>
        <v>0</v>
      </c>
      <c r="BY251" s="199">
        <v>68950</v>
      </c>
      <c r="BZ251" s="199">
        <v>295500</v>
      </c>
      <c r="CA251" s="199">
        <v>512200</v>
      </c>
      <c r="CB251" s="199">
        <v>108350</v>
      </c>
      <c r="CC251" s="199">
        <v>0</v>
      </c>
      <c r="CD251" s="199">
        <v>0</v>
      </c>
      <c r="CE251" s="199">
        <v>0</v>
      </c>
      <c r="CF251" s="199">
        <v>0</v>
      </c>
      <c r="CG251" s="199">
        <v>0</v>
      </c>
      <c r="CH251" s="199"/>
      <c r="CI251" s="199"/>
      <c r="CJ251" s="199"/>
      <c r="CK251" s="214" t="s">
        <v>725</v>
      </c>
      <c r="CL251" s="214" t="s">
        <v>610</v>
      </c>
      <c r="CM251" s="211">
        <v>198</v>
      </c>
      <c r="CN251" s="215"/>
      <c r="CO251" s="215"/>
      <c r="CP251" s="216"/>
      <c r="CQ251" s="217"/>
      <c r="CR251" s="211"/>
      <c r="CS251" s="218"/>
      <c r="CT251" s="218"/>
      <c r="CU251" s="218"/>
      <c r="CV251" s="211"/>
      <c r="CW251" s="211"/>
      <c r="CX251" s="211"/>
      <c r="CY251" s="211"/>
      <c r="CZ251" s="211"/>
      <c r="DA251" s="211"/>
      <c r="DB251" s="211"/>
      <c r="DC251" s="219"/>
      <c r="DD251" s="219"/>
      <c r="DE251" s="219"/>
      <c r="DF251" s="211"/>
      <c r="DG251" s="211"/>
      <c r="DH251" s="211"/>
      <c r="DI251" s="211"/>
      <c r="DJ251" s="211"/>
      <c r="DK251" s="220" t="s">
        <v>32</v>
      </c>
      <c r="DT251" s="222"/>
    </row>
    <row r="252" spans="1:124" s="176" customFormat="1" ht="42" x14ac:dyDescent="0.2">
      <c r="A252" s="195" t="s">
        <v>108</v>
      </c>
      <c r="B252" s="197" t="s">
        <v>726</v>
      </c>
      <c r="C252" s="198">
        <v>1</v>
      </c>
      <c r="D252" s="199">
        <v>950000</v>
      </c>
      <c r="E252" s="198" t="s">
        <v>711</v>
      </c>
      <c r="F252" s="198" t="s">
        <v>665</v>
      </c>
      <c r="G252" s="198" t="s">
        <v>98</v>
      </c>
      <c r="H252" s="200">
        <v>1</v>
      </c>
      <c r="I252" s="199">
        <f t="shared" si="329"/>
        <v>0</v>
      </c>
      <c r="J252" s="199">
        <f t="shared" si="330"/>
        <v>950000</v>
      </c>
      <c r="K252" s="199">
        <f t="shared" si="331"/>
        <v>950000</v>
      </c>
      <c r="L252" s="199"/>
      <c r="M252" s="199">
        <v>950000</v>
      </c>
      <c r="N252" s="199">
        <f t="shared" si="332"/>
        <v>950000</v>
      </c>
      <c r="O252" s="199"/>
      <c r="P252" s="201">
        <v>0</v>
      </c>
      <c r="Q252" s="202">
        <v>14</v>
      </c>
      <c r="R252" s="203">
        <v>45566</v>
      </c>
      <c r="S252" s="199"/>
      <c r="T252" s="199">
        <v>950000</v>
      </c>
      <c r="U252" s="204">
        <f t="shared" si="333"/>
        <v>950000</v>
      </c>
      <c r="V252" s="205"/>
      <c r="W252" s="200"/>
      <c r="X252" s="201"/>
      <c r="Y252" s="201"/>
      <c r="Z252" s="201">
        <f t="shared" si="334"/>
        <v>0</v>
      </c>
      <c r="AA252" s="198"/>
      <c r="AB252" s="206"/>
      <c r="AC252" s="207"/>
      <c r="AD252" s="201"/>
      <c r="AE252" s="204">
        <f t="shared" si="335"/>
        <v>0</v>
      </c>
      <c r="AF252" s="203">
        <f t="shared" si="336"/>
        <v>45566</v>
      </c>
      <c r="AG252" s="201">
        <f t="shared" si="337"/>
        <v>0</v>
      </c>
      <c r="AH252" s="199">
        <f t="shared" si="338"/>
        <v>950000</v>
      </c>
      <c r="AI252" s="199">
        <f t="shared" si="339"/>
        <v>950000</v>
      </c>
      <c r="AJ252" s="201">
        <f t="shared" si="358"/>
        <v>0</v>
      </c>
      <c r="AK252" s="201">
        <f t="shared" si="358"/>
        <v>950000</v>
      </c>
      <c r="AL252" s="201">
        <f t="shared" si="340"/>
        <v>950000</v>
      </c>
      <c r="AM252" s="198"/>
      <c r="AN252" s="203"/>
      <c r="AO252" s="208"/>
      <c r="AP252" s="201">
        <f t="shared" si="341"/>
        <v>0</v>
      </c>
      <c r="AQ252" s="201">
        <f t="shared" si="342"/>
        <v>747409.06</v>
      </c>
      <c r="AR252" s="201">
        <f t="shared" si="343"/>
        <v>747409.06</v>
      </c>
      <c r="AS252" s="201">
        <f t="shared" si="344"/>
        <v>78.674637894736847</v>
      </c>
      <c r="AT252" s="201"/>
      <c r="AU252" s="223">
        <v>747409.06</v>
      </c>
      <c r="AV252" s="201">
        <f t="shared" si="345"/>
        <v>747409.06</v>
      </c>
      <c r="AW252" s="201">
        <f t="shared" si="300"/>
        <v>0</v>
      </c>
      <c r="AX252" s="201">
        <f t="shared" si="346"/>
        <v>78.674637894736847</v>
      </c>
      <c r="AY252" s="208"/>
      <c r="AZ252" s="201">
        <f t="shared" si="347"/>
        <v>0</v>
      </c>
      <c r="BA252" s="201">
        <f t="shared" si="348"/>
        <v>0</v>
      </c>
      <c r="BB252" s="201">
        <f t="shared" si="349"/>
        <v>0</v>
      </c>
      <c r="BC252" s="201"/>
      <c r="BD252" s="223">
        <v>0</v>
      </c>
      <c r="BE252" s="201">
        <f>SUM(BC252:BD252)</f>
        <v>0</v>
      </c>
      <c r="BF252" s="208"/>
      <c r="BG252" s="201">
        <f t="shared" si="359"/>
        <v>0</v>
      </c>
      <c r="BH252" s="201">
        <f t="shared" si="359"/>
        <v>747409.06</v>
      </c>
      <c r="BI252" s="201">
        <f t="shared" si="351"/>
        <v>747409.06</v>
      </c>
      <c r="BJ252" s="201">
        <f t="shared" si="352"/>
        <v>78.674637894736847</v>
      </c>
      <c r="BK252" s="210">
        <v>89</v>
      </c>
      <c r="BL252" s="210">
        <v>60</v>
      </c>
      <c r="BM252" s="211"/>
      <c r="BN252" s="211"/>
      <c r="BO252" s="212">
        <f t="shared" si="353"/>
        <v>0</v>
      </c>
      <c r="BP252" s="201">
        <f t="shared" si="354"/>
        <v>202590.93999999994</v>
      </c>
      <c r="BQ252" s="201">
        <f t="shared" si="355"/>
        <v>202590.93999999994</v>
      </c>
      <c r="BR252" s="201">
        <f t="shared" si="360"/>
        <v>0</v>
      </c>
      <c r="BS252" s="201">
        <f t="shared" si="360"/>
        <v>202590.93999999994</v>
      </c>
      <c r="BT252" s="201">
        <f t="shared" si="356"/>
        <v>202590.93999999994</v>
      </c>
      <c r="BU252" s="213">
        <f t="shared" si="313"/>
        <v>0</v>
      </c>
      <c r="BV252" s="201"/>
      <c r="BW252" s="201"/>
      <c r="BX252" s="201">
        <f t="shared" si="357"/>
        <v>0</v>
      </c>
      <c r="BY252" s="199">
        <v>66500</v>
      </c>
      <c r="BZ252" s="199">
        <v>285000</v>
      </c>
      <c r="CA252" s="199">
        <v>494000</v>
      </c>
      <c r="CB252" s="199">
        <v>104500</v>
      </c>
      <c r="CC252" s="199">
        <v>0</v>
      </c>
      <c r="CD252" s="199">
        <v>0</v>
      </c>
      <c r="CE252" s="199">
        <v>0</v>
      </c>
      <c r="CF252" s="199">
        <v>0</v>
      </c>
      <c r="CG252" s="199">
        <v>0</v>
      </c>
      <c r="CH252" s="199"/>
      <c r="CI252" s="199"/>
      <c r="CJ252" s="199"/>
      <c r="CK252" s="214" t="s">
        <v>727</v>
      </c>
      <c r="CL252" s="214" t="s">
        <v>610</v>
      </c>
      <c r="CM252" s="211">
        <v>198</v>
      </c>
      <c r="CN252" s="215"/>
      <c r="CO252" s="215"/>
      <c r="CP252" s="216"/>
      <c r="CQ252" s="217"/>
      <c r="CR252" s="211"/>
      <c r="CS252" s="218"/>
      <c r="CT252" s="218"/>
      <c r="CU252" s="218"/>
      <c r="CV252" s="211"/>
      <c r="CW252" s="211"/>
      <c r="CX252" s="211"/>
      <c r="CY252" s="211"/>
      <c r="CZ252" s="211"/>
      <c r="DA252" s="211"/>
      <c r="DB252" s="211"/>
      <c r="DC252" s="219"/>
      <c r="DD252" s="219"/>
      <c r="DE252" s="219"/>
      <c r="DF252" s="211"/>
      <c r="DG252" s="211"/>
      <c r="DH252" s="211"/>
      <c r="DI252" s="211"/>
      <c r="DJ252" s="211"/>
      <c r="DK252" s="220" t="s">
        <v>32</v>
      </c>
      <c r="DT252" s="222"/>
    </row>
    <row r="253" spans="1:124" s="176" customFormat="1" ht="42" x14ac:dyDescent="0.2">
      <c r="A253" s="195" t="s">
        <v>108</v>
      </c>
      <c r="B253" s="197" t="s">
        <v>728</v>
      </c>
      <c r="C253" s="198">
        <v>1</v>
      </c>
      <c r="D253" s="199">
        <v>985000</v>
      </c>
      <c r="E253" s="198" t="s">
        <v>729</v>
      </c>
      <c r="F253" s="198" t="s">
        <v>245</v>
      </c>
      <c r="G253" s="198" t="s">
        <v>98</v>
      </c>
      <c r="H253" s="200">
        <v>1</v>
      </c>
      <c r="I253" s="199">
        <f t="shared" si="329"/>
        <v>0</v>
      </c>
      <c r="J253" s="199">
        <f t="shared" si="330"/>
        <v>985000</v>
      </c>
      <c r="K253" s="199">
        <f t="shared" si="331"/>
        <v>985000</v>
      </c>
      <c r="L253" s="199"/>
      <c r="M253" s="199">
        <v>985000</v>
      </c>
      <c r="N253" s="199">
        <f t="shared" si="332"/>
        <v>985000</v>
      </c>
      <c r="O253" s="199"/>
      <c r="P253" s="201">
        <v>0</v>
      </c>
      <c r="Q253" s="202">
        <v>14</v>
      </c>
      <c r="R253" s="203">
        <v>45566</v>
      </c>
      <c r="S253" s="201"/>
      <c r="T253" s="201">
        <v>985000</v>
      </c>
      <c r="U253" s="204">
        <f t="shared" si="333"/>
        <v>985000</v>
      </c>
      <c r="V253" s="205"/>
      <c r="W253" s="200"/>
      <c r="X253" s="201"/>
      <c r="Y253" s="201"/>
      <c r="Z253" s="201">
        <f t="shared" si="334"/>
        <v>0</v>
      </c>
      <c r="AA253" s="198"/>
      <c r="AB253" s="206"/>
      <c r="AC253" s="207"/>
      <c r="AD253" s="201"/>
      <c r="AE253" s="204">
        <f t="shared" si="335"/>
        <v>0</v>
      </c>
      <c r="AF253" s="203">
        <f t="shared" si="336"/>
        <v>45566</v>
      </c>
      <c r="AG253" s="201">
        <f t="shared" si="337"/>
        <v>0</v>
      </c>
      <c r="AH253" s="199">
        <f t="shared" si="338"/>
        <v>985000</v>
      </c>
      <c r="AI253" s="199">
        <f t="shared" si="339"/>
        <v>985000</v>
      </c>
      <c r="AJ253" s="201">
        <f t="shared" si="358"/>
        <v>0</v>
      </c>
      <c r="AK253" s="201">
        <f t="shared" si="358"/>
        <v>985000</v>
      </c>
      <c r="AL253" s="201">
        <f t="shared" si="340"/>
        <v>985000</v>
      </c>
      <c r="AM253" s="198"/>
      <c r="AN253" s="203"/>
      <c r="AO253" s="208"/>
      <c r="AP253" s="201">
        <f t="shared" si="341"/>
        <v>0</v>
      </c>
      <c r="AQ253" s="201">
        <f t="shared" si="342"/>
        <v>979288</v>
      </c>
      <c r="AR253" s="201">
        <f t="shared" si="343"/>
        <v>979288</v>
      </c>
      <c r="AS253" s="201">
        <f t="shared" si="344"/>
        <v>99.420101522842643</v>
      </c>
      <c r="AT253" s="201"/>
      <c r="AU253" s="223">
        <v>979288</v>
      </c>
      <c r="AV253" s="201">
        <f t="shared" si="345"/>
        <v>979288</v>
      </c>
      <c r="AW253" s="201">
        <f t="shared" si="300"/>
        <v>0</v>
      </c>
      <c r="AX253" s="201">
        <f t="shared" si="346"/>
        <v>99.420101522842643</v>
      </c>
      <c r="AY253" s="208"/>
      <c r="AZ253" s="201">
        <f t="shared" si="347"/>
        <v>0</v>
      </c>
      <c r="BA253" s="201">
        <f t="shared" si="348"/>
        <v>0</v>
      </c>
      <c r="BB253" s="201">
        <f t="shared" si="349"/>
        <v>0</v>
      </c>
      <c r="BC253" s="201"/>
      <c r="BD253" s="223">
        <v>0</v>
      </c>
      <c r="BE253" s="201">
        <f>SUM(BC253:BD253)</f>
        <v>0</v>
      </c>
      <c r="BF253" s="208"/>
      <c r="BG253" s="201">
        <f t="shared" si="359"/>
        <v>0</v>
      </c>
      <c r="BH253" s="201">
        <f t="shared" si="359"/>
        <v>979288</v>
      </c>
      <c r="BI253" s="201">
        <f t="shared" si="351"/>
        <v>979288</v>
      </c>
      <c r="BJ253" s="201">
        <f t="shared" si="352"/>
        <v>99.420101522842643</v>
      </c>
      <c r="BK253" s="210">
        <v>89</v>
      </c>
      <c r="BL253" s="210">
        <v>70</v>
      </c>
      <c r="BM253" s="328"/>
      <c r="BN253" s="211"/>
      <c r="BO253" s="212">
        <f t="shared" si="353"/>
        <v>0</v>
      </c>
      <c r="BP253" s="201">
        <f t="shared" si="354"/>
        <v>5712</v>
      </c>
      <c r="BQ253" s="201">
        <f t="shared" si="355"/>
        <v>5712</v>
      </c>
      <c r="BR253" s="201">
        <f t="shared" si="360"/>
        <v>0</v>
      </c>
      <c r="BS253" s="201">
        <f t="shared" si="360"/>
        <v>5712</v>
      </c>
      <c r="BT253" s="201">
        <f t="shared" si="356"/>
        <v>5712</v>
      </c>
      <c r="BU253" s="213">
        <f t="shared" si="313"/>
        <v>0</v>
      </c>
      <c r="BV253" s="201"/>
      <c r="BW253" s="201"/>
      <c r="BX253" s="201">
        <f t="shared" si="357"/>
        <v>0</v>
      </c>
      <c r="BY253" s="199">
        <v>68950</v>
      </c>
      <c r="BZ253" s="199">
        <v>295500</v>
      </c>
      <c r="CA253" s="199">
        <v>512200</v>
      </c>
      <c r="CB253" s="199">
        <v>108350</v>
      </c>
      <c r="CC253" s="199">
        <v>0</v>
      </c>
      <c r="CD253" s="199">
        <v>0</v>
      </c>
      <c r="CE253" s="199">
        <v>0</v>
      </c>
      <c r="CF253" s="199">
        <v>0</v>
      </c>
      <c r="CG253" s="199">
        <v>0</v>
      </c>
      <c r="CH253" s="199"/>
      <c r="CI253" s="199"/>
      <c r="CJ253" s="199"/>
      <c r="CK253" s="214" t="s">
        <v>730</v>
      </c>
      <c r="CL253" s="214" t="s">
        <v>610</v>
      </c>
      <c r="CM253" s="211">
        <v>198</v>
      </c>
      <c r="CN253" s="215"/>
      <c r="CO253" s="215"/>
      <c r="CP253" s="216"/>
      <c r="CQ253" s="217"/>
      <c r="CR253" s="211"/>
      <c r="CS253" s="218"/>
      <c r="CT253" s="218"/>
      <c r="CU253" s="218"/>
      <c r="CV253" s="211"/>
      <c r="CW253" s="211"/>
      <c r="CX253" s="211"/>
      <c r="CY253" s="211"/>
      <c r="CZ253" s="211"/>
      <c r="DA253" s="211"/>
      <c r="DB253" s="211"/>
      <c r="DC253" s="219"/>
      <c r="DD253" s="219"/>
      <c r="DE253" s="219"/>
      <c r="DF253" s="211"/>
      <c r="DG253" s="211"/>
      <c r="DH253" s="211"/>
      <c r="DI253" s="211"/>
      <c r="DJ253" s="211"/>
      <c r="DK253" s="220" t="s">
        <v>32</v>
      </c>
      <c r="DT253" s="222"/>
    </row>
    <row r="254" spans="1:124" s="176" customFormat="1" ht="42" x14ac:dyDescent="0.2">
      <c r="A254" s="195" t="s">
        <v>108</v>
      </c>
      <c r="B254" s="197" t="s">
        <v>731</v>
      </c>
      <c r="C254" s="198">
        <v>1</v>
      </c>
      <c r="D254" s="199">
        <v>990000</v>
      </c>
      <c r="E254" s="198" t="s">
        <v>729</v>
      </c>
      <c r="F254" s="198" t="s">
        <v>245</v>
      </c>
      <c r="G254" s="198" t="s">
        <v>98</v>
      </c>
      <c r="H254" s="200">
        <v>1</v>
      </c>
      <c r="I254" s="199">
        <f t="shared" si="329"/>
        <v>0</v>
      </c>
      <c r="J254" s="199">
        <f t="shared" si="330"/>
        <v>990000</v>
      </c>
      <c r="K254" s="199">
        <f t="shared" si="331"/>
        <v>990000</v>
      </c>
      <c r="L254" s="199"/>
      <c r="M254" s="199">
        <v>990000</v>
      </c>
      <c r="N254" s="199">
        <f t="shared" si="332"/>
        <v>990000</v>
      </c>
      <c r="O254" s="199"/>
      <c r="P254" s="201">
        <v>0</v>
      </c>
      <c r="Q254" s="202">
        <v>14</v>
      </c>
      <c r="R254" s="203">
        <v>45566</v>
      </c>
      <c r="S254" s="199"/>
      <c r="T254" s="199">
        <v>990000</v>
      </c>
      <c r="U254" s="204">
        <f t="shared" si="333"/>
        <v>990000</v>
      </c>
      <c r="V254" s="205"/>
      <c r="W254" s="200"/>
      <c r="X254" s="201"/>
      <c r="Y254" s="201"/>
      <c r="Z254" s="201">
        <f t="shared" si="334"/>
        <v>0</v>
      </c>
      <c r="AA254" s="205"/>
      <c r="AB254" s="200"/>
      <c r="AC254" s="207"/>
      <c r="AD254" s="201"/>
      <c r="AE254" s="204">
        <f t="shared" si="335"/>
        <v>0</v>
      </c>
      <c r="AF254" s="203">
        <f t="shared" si="336"/>
        <v>45566</v>
      </c>
      <c r="AG254" s="201">
        <f t="shared" si="337"/>
        <v>0</v>
      </c>
      <c r="AH254" s="199">
        <f t="shared" si="338"/>
        <v>990000</v>
      </c>
      <c r="AI254" s="199">
        <f t="shared" si="339"/>
        <v>990000</v>
      </c>
      <c r="AJ254" s="201">
        <f t="shared" si="358"/>
        <v>0</v>
      </c>
      <c r="AK254" s="201">
        <f t="shared" si="358"/>
        <v>990000</v>
      </c>
      <c r="AL254" s="201">
        <f t="shared" si="340"/>
        <v>990000</v>
      </c>
      <c r="AM254" s="198"/>
      <c r="AN254" s="203"/>
      <c r="AO254" s="208"/>
      <c r="AP254" s="201">
        <f t="shared" si="341"/>
        <v>0</v>
      </c>
      <c r="AQ254" s="201">
        <f t="shared" si="342"/>
        <v>988550.83</v>
      </c>
      <c r="AR254" s="201">
        <f t="shared" si="343"/>
        <v>988550.83</v>
      </c>
      <c r="AS254" s="201">
        <f t="shared" si="344"/>
        <v>99.853619191919194</v>
      </c>
      <c r="AT254" s="201"/>
      <c r="AU254" s="223">
        <v>988550.83</v>
      </c>
      <c r="AV254" s="201">
        <f t="shared" si="345"/>
        <v>988550.83</v>
      </c>
      <c r="AW254" s="322">
        <f t="shared" si="300"/>
        <v>0</v>
      </c>
      <c r="AX254" s="201">
        <f t="shared" si="346"/>
        <v>99.853619191919194</v>
      </c>
      <c r="AY254" s="208"/>
      <c r="AZ254" s="201">
        <f t="shared" si="347"/>
        <v>0</v>
      </c>
      <c r="BA254" s="201">
        <f t="shared" si="348"/>
        <v>0</v>
      </c>
      <c r="BB254" s="201">
        <f t="shared" si="349"/>
        <v>0</v>
      </c>
      <c r="BC254" s="201"/>
      <c r="BD254" s="223">
        <v>0</v>
      </c>
      <c r="BE254" s="201">
        <f t="shared" ref="BE254:BE281" si="361">SUM(BC254:BD254)</f>
        <v>0</v>
      </c>
      <c r="BF254" s="208"/>
      <c r="BG254" s="201">
        <f t="shared" si="359"/>
        <v>0</v>
      </c>
      <c r="BH254" s="201">
        <f t="shared" si="359"/>
        <v>988550.83</v>
      </c>
      <c r="BI254" s="201">
        <f t="shared" si="351"/>
        <v>988550.83</v>
      </c>
      <c r="BJ254" s="201">
        <f t="shared" si="352"/>
        <v>99.853619191919194</v>
      </c>
      <c r="BK254" s="210">
        <v>89</v>
      </c>
      <c r="BL254" s="224">
        <v>100</v>
      </c>
      <c r="BM254" s="211"/>
      <c r="BN254" s="211"/>
      <c r="BO254" s="212">
        <f t="shared" si="353"/>
        <v>0</v>
      </c>
      <c r="BP254" s="201">
        <f t="shared" si="354"/>
        <v>1449.1700000000419</v>
      </c>
      <c r="BQ254" s="201">
        <f t="shared" ref="BQ254:BQ281" si="362">SUM(BO254:BP254)</f>
        <v>1449.1700000000419</v>
      </c>
      <c r="BR254" s="201">
        <f t="shared" si="360"/>
        <v>0</v>
      </c>
      <c r="BS254" s="201">
        <f t="shared" si="360"/>
        <v>1449.1700000000419</v>
      </c>
      <c r="BT254" s="201">
        <f t="shared" ref="BT254:BT281" si="363">SUM(BR254:BS254)</f>
        <v>1449.1700000000419</v>
      </c>
      <c r="BU254" s="213">
        <f t="shared" si="313"/>
        <v>0</v>
      </c>
      <c r="BV254" s="201"/>
      <c r="BW254" s="201"/>
      <c r="BX254" s="201">
        <f t="shared" ref="BX254:BX281" si="364">SUM(BV254:BW254)</f>
        <v>0</v>
      </c>
      <c r="BY254" s="199">
        <v>69300</v>
      </c>
      <c r="BZ254" s="199">
        <v>297000</v>
      </c>
      <c r="CA254" s="199">
        <v>514800</v>
      </c>
      <c r="CB254" s="199">
        <v>108900</v>
      </c>
      <c r="CC254" s="199">
        <v>0</v>
      </c>
      <c r="CD254" s="199">
        <v>0</v>
      </c>
      <c r="CE254" s="199">
        <v>0</v>
      </c>
      <c r="CF254" s="199">
        <v>0</v>
      </c>
      <c r="CG254" s="199">
        <v>0</v>
      </c>
      <c r="CH254" s="199"/>
      <c r="CI254" s="199"/>
      <c r="CJ254" s="199"/>
      <c r="CK254" s="214" t="s">
        <v>732</v>
      </c>
      <c r="CL254" s="214" t="s">
        <v>610</v>
      </c>
      <c r="CM254" s="211">
        <v>198</v>
      </c>
      <c r="CN254" s="215"/>
      <c r="CO254" s="215"/>
      <c r="CP254" s="216"/>
      <c r="CQ254" s="217"/>
      <c r="CR254" s="211"/>
      <c r="CS254" s="218"/>
      <c r="CT254" s="218"/>
      <c r="CU254" s="218"/>
      <c r="CV254" s="211"/>
      <c r="CW254" s="211"/>
      <c r="CX254" s="211"/>
      <c r="CY254" s="211"/>
      <c r="CZ254" s="211"/>
      <c r="DA254" s="211"/>
      <c r="DB254" s="211"/>
      <c r="DC254" s="219"/>
      <c r="DD254" s="219"/>
      <c r="DE254" s="219"/>
      <c r="DF254" s="211"/>
      <c r="DG254" s="211"/>
      <c r="DH254" s="211"/>
      <c r="DI254" s="211"/>
      <c r="DJ254" s="211"/>
      <c r="DK254" s="220" t="s">
        <v>32</v>
      </c>
      <c r="DT254" s="222"/>
    </row>
    <row r="255" spans="1:124" s="176" customFormat="1" ht="42" x14ac:dyDescent="0.2">
      <c r="A255" s="195" t="s">
        <v>108</v>
      </c>
      <c r="B255" s="197" t="s">
        <v>733</v>
      </c>
      <c r="C255" s="198">
        <v>1</v>
      </c>
      <c r="D255" s="199">
        <v>600000</v>
      </c>
      <c r="E255" s="198" t="s">
        <v>326</v>
      </c>
      <c r="F255" s="198" t="s">
        <v>327</v>
      </c>
      <c r="G255" s="198" t="s">
        <v>98</v>
      </c>
      <c r="H255" s="200">
        <v>1</v>
      </c>
      <c r="I255" s="199">
        <f t="shared" si="329"/>
        <v>0</v>
      </c>
      <c r="J255" s="199">
        <f t="shared" si="330"/>
        <v>600000</v>
      </c>
      <c r="K255" s="199">
        <f t="shared" si="331"/>
        <v>600000</v>
      </c>
      <c r="L255" s="199"/>
      <c r="M255" s="199">
        <v>600000</v>
      </c>
      <c r="N255" s="199">
        <f t="shared" si="332"/>
        <v>600000</v>
      </c>
      <c r="O255" s="199"/>
      <c r="P255" s="201">
        <v>0</v>
      </c>
      <c r="Q255" s="202">
        <v>14</v>
      </c>
      <c r="R255" s="203">
        <v>45566</v>
      </c>
      <c r="S255" s="199"/>
      <c r="T255" s="199">
        <v>600000</v>
      </c>
      <c r="U255" s="204">
        <f t="shared" si="333"/>
        <v>600000</v>
      </c>
      <c r="V255" s="205"/>
      <c r="W255" s="200"/>
      <c r="X255" s="201"/>
      <c r="Y255" s="201"/>
      <c r="Z255" s="201">
        <f t="shared" si="334"/>
        <v>0</v>
      </c>
      <c r="AA255" s="198"/>
      <c r="AB255" s="206"/>
      <c r="AC255" s="207"/>
      <c r="AD255" s="201"/>
      <c r="AE255" s="204">
        <f t="shared" si="335"/>
        <v>0</v>
      </c>
      <c r="AF255" s="203">
        <f t="shared" si="336"/>
        <v>45566</v>
      </c>
      <c r="AG255" s="201">
        <f t="shared" si="337"/>
        <v>0</v>
      </c>
      <c r="AH255" s="199">
        <f t="shared" si="338"/>
        <v>600000</v>
      </c>
      <c r="AI255" s="199">
        <f t="shared" si="339"/>
        <v>600000</v>
      </c>
      <c r="AJ255" s="201">
        <f t="shared" si="358"/>
        <v>0</v>
      </c>
      <c r="AK255" s="201">
        <f t="shared" si="358"/>
        <v>600000</v>
      </c>
      <c r="AL255" s="201">
        <f t="shared" si="340"/>
        <v>600000</v>
      </c>
      <c r="AM255" s="198"/>
      <c r="AN255" s="203"/>
      <c r="AO255" s="208"/>
      <c r="AP255" s="201">
        <f t="shared" si="341"/>
        <v>0</v>
      </c>
      <c r="AQ255" s="201">
        <f t="shared" si="342"/>
        <v>599103.51</v>
      </c>
      <c r="AR255" s="201">
        <f t="shared" si="343"/>
        <v>599103.51</v>
      </c>
      <c r="AS255" s="201">
        <f t="shared" si="344"/>
        <v>99.850584999999995</v>
      </c>
      <c r="AT255" s="201"/>
      <c r="AU255" s="223">
        <v>599103.51</v>
      </c>
      <c r="AV255" s="201">
        <f t="shared" si="345"/>
        <v>599103.51</v>
      </c>
      <c r="AW255" s="322">
        <f t="shared" si="300"/>
        <v>0</v>
      </c>
      <c r="AX255" s="201">
        <f t="shared" si="346"/>
        <v>99.850584999999995</v>
      </c>
      <c r="AY255" s="208"/>
      <c r="AZ255" s="201">
        <f t="shared" si="347"/>
        <v>0</v>
      </c>
      <c r="BA255" s="201">
        <f t="shared" si="348"/>
        <v>0</v>
      </c>
      <c r="BB255" s="201">
        <f t="shared" si="349"/>
        <v>0</v>
      </c>
      <c r="BC255" s="201"/>
      <c r="BD255" s="223">
        <v>0</v>
      </c>
      <c r="BE255" s="201">
        <f t="shared" si="361"/>
        <v>0</v>
      </c>
      <c r="BF255" s="208"/>
      <c r="BG255" s="201">
        <f t="shared" si="359"/>
        <v>0</v>
      </c>
      <c r="BH255" s="201">
        <f t="shared" si="359"/>
        <v>599103.51</v>
      </c>
      <c r="BI255" s="201">
        <f t="shared" si="351"/>
        <v>599103.51</v>
      </c>
      <c r="BJ255" s="201">
        <f t="shared" si="352"/>
        <v>99.850584999999995</v>
      </c>
      <c r="BK255" s="210">
        <v>89</v>
      </c>
      <c r="BL255" s="210">
        <v>75</v>
      </c>
      <c r="BM255" s="211"/>
      <c r="BN255" s="211"/>
      <c r="BO255" s="212">
        <f t="shared" si="353"/>
        <v>0</v>
      </c>
      <c r="BP255" s="201">
        <f t="shared" si="354"/>
        <v>896.48999999999069</v>
      </c>
      <c r="BQ255" s="201">
        <f t="shared" si="362"/>
        <v>896.48999999999069</v>
      </c>
      <c r="BR255" s="201">
        <f t="shared" si="360"/>
        <v>0</v>
      </c>
      <c r="BS255" s="201">
        <f t="shared" si="360"/>
        <v>896.48999999999069</v>
      </c>
      <c r="BT255" s="201">
        <f t="shared" si="363"/>
        <v>896.48999999999069</v>
      </c>
      <c r="BU255" s="213">
        <f t="shared" si="313"/>
        <v>0</v>
      </c>
      <c r="BV255" s="201"/>
      <c r="BW255" s="201"/>
      <c r="BX255" s="201">
        <f t="shared" si="364"/>
        <v>0</v>
      </c>
      <c r="BY255" s="199">
        <v>42000</v>
      </c>
      <c r="BZ255" s="199">
        <v>180000</v>
      </c>
      <c r="CA255" s="199">
        <v>312000</v>
      </c>
      <c r="CB255" s="199">
        <v>66000</v>
      </c>
      <c r="CC255" s="199">
        <v>0</v>
      </c>
      <c r="CD255" s="199">
        <v>0</v>
      </c>
      <c r="CE255" s="199">
        <v>0</v>
      </c>
      <c r="CF255" s="199">
        <v>0</v>
      </c>
      <c r="CG255" s="199">
        <v>0</v>
      </c>
      <c r="CH255" s="199"/>
      <c r="CI255" s="199"/>
      <c r="CJ255" s="199"/>
      <c r="CK255" s="214" t="s">
        <v>734</v>
      </c>
      <c r="CL255" s="214" t="s">
        <v>610</v>
      </c>
      <c r="CM255" s="211">
        <v>198</v>
      </c>
      <c r="CN255" s="215"/>
      <c r="CO255" s="215"/>
      <c r="CP255" s="216"/>
      <c r="CQ255" s="217"/>
      <c r="CR255" s="211"/>
      <c r="CS255" s="218"/>
      <c r="CT255" s="218"/>
      <c r="CU255" s="218"/>
      <c r="CV255" s="211"/>
      <c r="CW255" s="211"/>
      <c r="CX255" s="211"/>
      <c r="CY255" s="211"/>
      <c r="CZ255" s="211"/>
      <c r="DA255" s="211"/>
      <c r="DB255" s="211"/>
      <c r="DC255" s="219"/>
      <c r="DD255" s="219"/>
      <c r="DE255" s="219"/>
      <c r="DF255" s="211"/>
      <c r="DG255" s="211"/>
      <c r="DH255" s="211"/>
      <c r="DI255" s="211"/>
      <c r="DJ255" s="211"/>
      <c r="DK255" s="220" t="s">
        <v>32</v>
      </c>
      <c r="DT255" s="222"/>
    </row>
    <row r="256" spans="1:124" s="176" customFormat="1" ht="63" x14ac:dyDescent="0.2">
      <c r="A256" s="195" t="s">
        <v>108</v>
      </c>
      <c r="B256" s="197" t="s">
        <v>735</v>
      </c>
      <c r="C256" s="198">
        <v>1</v>
      </c>
      <c r="D256" s="199">
        <v>990000</v>
      </c>
      <c r="E256" s="198" t="s">
        <v>736</v>
      </c>
      <c r="F256" s="198" t="s">
        <v>241</v>
      </c>
      <c r="G256" s="198" t="s">
        <v>98</v>
      </c>
      <c r="H256" s="200">
        <v>1</v>
      </c>
      <c r="I256" s="199">
        <f t="shared" si="329"/>
        <v>0</v>
      </c>
      <c r="J256" s="199">
        <f t="shared" si="330"/>
        <v>990000</v>
      </c>
      <c r="K256" s="199">
        <f t="shared" si="331"/>
        <v>990000</v>
      </c>
      <c r="L256" s="199"/>
      <c r="M256" s="199">
        <v>990000</v>
      </c>
      <c r="N256" s="199">
        <f t="shared" si="332"/>
        <v>990000</v>
      </c>
      <c r="O256" s="199"/>
      <c r="P256" s="201">
        <v>0</v>
      </c>
      <c r="Q256" s="202">
        <v>14</v>
      </c>
      <c r="R256" s="203">
        <v>45566</v>
      </c>
      <c r="S256" s="199"/>
      <c r="T256" s="199">
        <v>990000</v>
      </c>
      <c r="U256" s="204">
        <f t="shared" si="333"/>
        <v>990000</v>
      </c>
      <c r="V256" s="205"/>
      <c r="W256" s="200"/>
      <c r="X256" s="201"/>
      <c r="Y256" s="201"/>
      <c r="Z256" s="201">
        <f t="shared" si="334"/>
        <v>0</v>
      </c>
      <c r="AA256" s="198"/>
      <c r="AB256" s="206"/>
      <c r="AC256" s="207"/>
      <c r="AD256" s="201"/>
      <c r="AE256" s="204">
        <f t="shared" si="335"/>
        <v>0</v>
      </c>
      <c r="AF256" s="203">
        <f t="shared" si="336"/>
        <v>45566</v>
      </c>
      <c r="AG256" s="201">
        <f t="shared" si="337"/>
        <v>0</v>
      </c>
      <c r="AH256" s="199">
        <f t="shared" si="338"/>
        <v>990000</v>
      </c>
      <c r="AI256" s="199">
        <f t="shared" si="339"/>
        <v>990000</v>
      </c>
      <c r="AJ256" s="201">
        <f t="shared" si="358"/>
        <v>0</v>
      </c>
      <c r="AK256" s="201">
        <f t="shared" si="358"/>
        <v>990000</v>
      </c>
      <c r="AL256" s="201">
        <f t="shared" si="340"/>
        <v>990000</v>
      </c>
      <c r="AM256" s="198"/>
      <c r="AN256" s="203"/>
      <c r="AO256" s="208"/>
      <c r="AP256" s="201">
        <f t="shared" si="341"/>
        <v>0</v>
      </c>
      <c r="AQ256" s="201">
        <f t="shared" si="342"/>
        <v>986830.28</v>
      </c>
      <c r="AR256" s="201">
        <f t="shared" si="343"/>
        <v>986830.28</v>
      </c>
      <c r="AS256" s="201">
        <f t="shared" si="344"/>
        <v>99.679826262626264</v>
      </c>
      <c r="AT256" s="201"/>
      <c r="AU256" s="223">
        <v>986830.28</v>
      </c>
      <c r="AV256" s="201">
        <f t="shared" si="345"/>
        <v>986830.28</v>
      </c>
      <c r="AW256" s="201">
        <f t="shared" si="300"/>
        <v>0</v>
      </c>
      <c r="AX256" s="201">
        <f t="shared" si="346"/>
        <v>99.679826262626264</v>
      </c>
      <c r="AY256" s="208"/>
      <c r="AZ256" s="201">
        <f t="shared" si="347"/>
        <v>0</v>
      </c>
      <c r="BA256" s="201">
        <f t="shared" si="348"/>
        <v>0</v>
      </c>
      <c r="BB256" s="201">
        <f t="shared" si="349"/>
        <v>0</v>
      </c>
      <c r="BC256" s="201"/>
      <c r="BD256" s="223">
        <v>0</v>
      </c>
      <c r="BE256" s="201">
        <f t="shared" si="361"/>
        <v>0</v>
      </c>
      <c r="BF256" s="208"/>
      <c r="BG256" s="201">
        <f t="shared" si="359"/>
        <v>0</v>
      </c>
      <c r="BH256" s="201">
        <f t="shared" si="359"/>
        <v>986830.28</v>
      </c>
      <c r="BI256" s="201">
        <f t="shared" si="351"/>
        <v>986830.28</v>
      </c>
      <c r="BJ256" s="201">
        <f t="shared" si="352"/>
        <v>99.679826262626264</v>
      </c>
      <c r="BK256" s="210">
        <v>89</v>
      </c>
      <c r="BL256" s="210">
        <v>80</v>
      </c>
      <c r="BM256" s="211"/>
      <c r="BN256" s="211"/>
      <c r="BO256" s="212">
        <f t="shared" si="353"/>
        <v>0</v>
      </c>
      <c r="BP256" s="201">
        <f t="shared" si="354"/>
        <v>3169.7199999999721</v>
      </c>
      <c r="BQ256" s="201">
        <f t="shared" si="362"/>
        <v>3169.7199999999721</v>
      </c>
      <c r="BR256" s="201">
        <f t="shared" si="360"/>
        <v>0</v>
      </c>
      <c r="BS256" s="201">
        <f t="shared" si="360"/>
        <v>3169.7199999999721</v>
      </c>
      <c r="BT256" s="201">
        <f t="shared" si="363"/>
        <v>3169.7199999999721</v>
      </c>
      <c r="BU256" s="213">
        <f t="shared" si="313"/>
        <v>0</v>
      </c>
      <c r="BV256" s="201"/>
      <c r="BW256" s="201"/>
      <c r="BX256" s="201">
        <f t="shared" si="364"/>
        <v>0</v>
      </c>
      <c r="BY256" s="199">
        <v>69300</v>
      </c>
      <c r="BZ256" s="199">
        <v>297000</v>
      </c>
      <c r="CA256" s="199">
        <v>514800</v>
      </c>
      <c r="CB256" s="199">
        <v>108900</v>
      </c>
      <c r="CC256" s="199">
        <v>0</v>
      </c>
      <c r="CD256" s="199">
        <v>0</v>
      </c>
      <c r="CE256" s="199">
        <v>0</v>
      </c>
      <c r="CF256" s="199">
        <v>0</v>
      </c>
      <c r="CG256" s="199">
        <v>0</v>
      </c>
      <c r="CH256" s="199"/>
      <c r="CI256" s="199"/>
      <c r="CJ256" s="199"/>
      <c r="CK256" s="214" t="s">
        <v>737</v>
      </c>
      <c r="CL256" s="214" t="s">
        <v>610</v>
      </c>
      <c r="CM256" s="211">
        <v>198</v>
      </c>
      <c r="CN256" s="215"/>
      <c r="CO256" s="215"/>
      <c r="CP256" s="216"/>
      <c r="CQ256" s="217"/>
      <c r="CR256" s="211"/>
      <c r="CS256" s="218"/>
      <c r="CT256" s="218"/>
      <c r="CU256" s="218"/>
      <c r="CV256" s="211"/>
      <c r="CW256" s="211"/>
      <c r="CX256" s="211"/>
      <c r="CY256" s="211"/>
      <c r="CZ256" s="211"/>
      <c r="DA256" s="211"/>
      <c r="DB256" s="211"/>
      <c r="DC256" s="219"/>
      <c r="DD256" s="219"/>
      <c r="DE256" s="219"/>
      <c r="DF256" s="211"/>
      <c r="DG256" s="211"/>
      <c r="DH256" s="211"/>
      <c r="DI256" s="211"/>
      <c r="DJ256" s="211"/>
      <c r="DK256" s="220" t="s">
        <v>32</v>
      </c>
      <c r="DT256" s="222"/>
    </row>
    <row r="257" spans="1:124" s="176" customFormat="1" ht="63" x14ac:dyDescent="0.2">
      <c r="A257" s="195" t="s">
        <v>108</v>
      </c>
      <c r="B257" s="197" t="s">
        <v>738</v>
      </c>
      <c r="C257" s="198">
        <v>1</v>
      </c>
      <c r="D257" s="199">
        <v>980000</v>
      </c>
      <c r="E257" s="198" t="s">
        <v>241</v>
      </c>
      <c r="F257" s="198" t="s">
        <v>241</v>
      </c>
      <c r="G257" s="198" t="s">
        <v>98</v>
      </c>
      <c r="H257" s="200">
        <v>1</v>
      </c>
      <c r="I257" s="199">
        <f t="shared" si="329"/>
        <v>0</v>
      </c>
      <c r="J257" s="199">
        <f t="shared" si="330"/>
        <v>980000</v>
      </c>
      <c r="K257" s="199">
        <f t="shared" si="331"/>
        <v>980000</v>
      </c>
      <c r="L257" s="199"/>
      <c r="M257" s="199">
        <v>980000</v>
      </c>
      <c r="N257" s="199">
        <f t="shared" si="332"/>
        <v>980000</v>
      </c>
      <c r="O257" s="199"/>
      <c r="P257" s="201">
        <v>0</v>
      </c>
      <c r="Q257" s="202">
        <v>14</v>
      </c>
      <c r="R257" s="203">
        <v>45566</v>
      </c>
      <c r="S257" s="199"/>
      <c r="T257" s="199">
        <v>980000</v>
      </c>
      <c r="U257" s="204">
        <f t="shared" si="333"/>
        <v>980000</v>
      </c>
      <c r="V257" s="205"/>
      <c r="W257" s="200"/>
      <c r="X257" s="201"/>
      <c r="Y257" s="201"/>
      <c r="Z257" s="201">
        <f t="shared" si="334"/>
        <v>0</v>
      </c>
      <c r="AA257" s="198"/>
      <c r="AB257" s="206"/>
      <c r="AC257" s="207"/>
      <c r="AD257" s="201"/>
      <c r="AE257" s="204">
        <f t="shared" si="335"/>
        <v>0</v>
      </c>
      <c r="AF257" s="203">
        <f t="shared" si="336"/>
        <v>45566</v>
      </c>
      <c r="AG257" s="201">
        <f t="shared" si="337"/>
        <v>0</v>
      </c>
      <c r="AH257" s="199">
        <f t="shared" si="338"/>
        <v>980000</v>
      </c>
      <c r="AI257" s="199">
        <f t="shared" si="339"/>
        <v>980000</v>
      </c>
      <c r="AJ257" s="201">
        <f t="shared" si="358"/>
        <v>0</v>
      </c>
      <c r="AK257" s="201">
        <f t="shared" si="358"/>
        <v>980000</v>
      </c>
      <c r="AL257" s="201">
        <f t="shared" si="340"/>
        <v>980000</v>
      </c>
      <c r="AM257" s="198"/>
      <c r="AN257" s="203"/>
      <c r="AO257" s="208"/>
      <c r="AP257" s="201">
        <f t="shared" si="341"/>
        <v>0</v>
      </c>
      <c r="AQ257" s="201">
        <f t="shared" si="342"/>
        <v>978300.98</v>
      </c>
      <c r="AR257" s="201">
        <f t="shared" si="343"/>
        <v>978300.98</v>
      </c>
      <c r="AS257" s="201">
        <f t="shared" si="344"/>
        <v>99.826630612244898</v>
      </c>
      <c r="AT257" s="201"/>
      <c r="AU257" s="223">
        <v>978300.98</v>
      </c>
      <c r="AV257" s="201">
        <f t="shared" si="345"/>
        <v>978300.98</v>
      </c>
      <c r="AW257" s="322">
        <f t="shared" si="300"/>
        <v>0</v>
      </c>
      <c r="AX257" s="201">
        <f t="shared" si="346"/>
        <v>99.826630612244898</v>
      </c>
      <c r="AY257" s="208"/>
      <c r="AZ257" s="201">
        <f t="shared" si="347"/>
        <v>0</v>
      </c>
      <c r="BA257" s="201">
        <f t="shared" si="348"/>
        <v>0</v>
      </c>
      <c r="BB257" s="201">
        <f t="shared" si="349"/>
        <v>0</v>
      </c>
      <c r="BC257" s="201"/>
      <c r="BD257" s="209">
        <v>0</v>
      </c>
      <c r="BE257" s="201">
        <f t="shared" si="361"/>
        <v>0</v>
      </c>
      <c r="BF257" s="208"/>
      <c r="BG257" s="201">
        <f t="shared" si="359"/>
        <v>0</v>
      </c>
      <c r="BH257" s="201">
        <f t="shared" si="359"/>
        <v>978300.98</v>
      </c>
      <c r="BI257" s="201">
        <f t="shared" si="351"/>
        <v>978300.98</v>
      </c>
      <c r="BJ257" s="201">
        <f t="shared" si="352"/>
        <v>99.826630612244898</v>
      </c>
      <c r="BK257" s="210">
        <v>89</v>
      </c>
      <c r="BL257" s="210">
        <v>100</v>
      </c>
      <c r="BM257" s="211"/>
      <c r="BN257" s="211"/>
      <c r="BO257" s="212">
        <f t="shared" si="353"/>
        <v>0</v>
      </c>
      <c r="BP257" s="201">
        <f t="shared" si="354"/>
        <v>1699.0200000000186</v>
      </c>
      <c r="BQ257" s="201">
        <f t="shared" si="362"/>
        <v>1699.0200000000186</v>
      </c>
      <c r="BR257" s="201">
        <f t="shared" si="360"/>
        <v>0</v>
      </c>
      <c r="BS257" s="201">
        <f t="shared" si="360"/>
        <v>1699.0200000000186</v>
      </c>
      <c r="BT257" s="201">
        <f t="shared" si="363"/>
        <v>1699.0200000000186</v>
      </c>
      <c r="BU257" s="213">
        <f t="shared" si="313"/>
        <v>0</v>
      </c>
      <c r="BV257" s="201"/>
      <c r="BW257" s="201"/>
      <c r="BX257" s="201">
        <f t="shared" si="364"/>
        <v>0</v>
      </c>
      <c r="BY257" s="199">
        <v>68600</v>
      </c>
      <c r="BZ257" s="199">
        <v>294000</v>
      </c>
      <c r="CA257" s="199">
        <v>509600</v>
      </c>
      <c r="CB257" s="199">
        <v>107800</v>
      </c>
      <c r="CC257" s="199">
        <v>0</v>
      </c>
      <c r="CD257" s="199">
        <v>0</v>
      </c>
      <c r="CE257" s="199">
        <v>0</v>
      </c>
      <c r="CF257" s="199">
        <v>0</v>
      </c>
      <c r="CG257" s="199">
        <v>0</v>
      </c>
      <c r="CH257" s="199"/>
      <c r="CI257" s="199"/>
      <c r="CJ257" s="199"/>
      <c r="CK257" s="214" t="s">
        <v>739</v>
      </c>
      <c r="CL257" s="214" t="s">
        <v>610</v>
      </c>
      <c r="CM257" s="211">
        <v>198</v>
      </c>
      <c r="CN257" s="215"/>
      <c r="CO257" s="215"/>
      <c r="CP257" s="216"/>
      <c r="CQ257" s="217"/>
      <c r="CR257" s="211"/>
      <c r="CS257" s="218"/>
      <c r="CT257" s="218"/>
      <c r="CU257" s="218"/>
      <c r="CV257" s="211"/>
      <c r="CW257" s="211"/>
      <c r="CX257" s="211"/>
      <c r="CY257" s="211"/>
      <c r="CZ257" s="211"/>
      <c r="DA257" s="211"/>
      <c r="DB257" s="211"/>
      <c r="DC257" s="219"/>
      <c r="DD257" s="219"/>
      <c r="DE257" s="219"/>
      <c r="DF257" s="211"/>
      <c r="DG257" s="211"/>
      <c r="DH257" s="211"/>
      <c r="DI257" s="211"/>
      <c r="DJ257" s="211"/>
      <c r="DK257" s="220" t="s">
        <v>32</v>
      </c>
      <c r="DT257" s="222"/>
    </row>
    <row r="258" spans="1:124" s="176" customFormat="1" ht="63" x14ac:dyDescent="0.2">
      <c r="A258" s="195" t="s">
        <v>108</v>
      </c>
      <c r="B258" s="197" t="s">
        <v>740</v>
      </c>
      <c r="C258" s="198">
        <v>1</v>
      </c>
      <c r="D258" s="199">
        <v>985000</v>
      </c>
      <c r="E258" s="198" t="s">
        <v>741</v>
      </c>
      <c r="F258" s="198" t="s">
        <v>241</v>
      </c>
      <c r="G258" s="198" t="s">
        <v>98</v>
      </c>
      <c r="H258" s="200">
        <v>1</v>
      </c>
      <c r="I258" s="199">
        <f t="shared" si="329"/>
        <v>0</v>
      </c>
      <c r="J258" s="199">
        <f t="shared" si="330"/>
        <v>985000</v>
      </c>
      <c r="K258" s="199">
        <f t="shared" si="331"/>
        <v>985000</v>
      </c>
      <c r="L258" s="199"/>
      <c r="M258" s="199">
        <v>985000</v>
      </c>
      <c r="N258" s="199">
        <f t="shared" si="332"/>
        <v>985000</v>
      </c>
      <c r="O258" s="199"/>
      <c r="P258" s="201">
        <v>0</v>
      </c>
      <c r="Q258" s="202">
        <v>14</v>
      </c>
      <c r="R258" s="203">
        <v>45566</v>
      </c>
      <c r="S258" s="199"/>
      <c r="T258" s="199">
        <v>985000</v>
      </c>
      <c r="U258" s="204">
        <f t="shared" si="333"/>
        <v>985000</v>
      </c>
      <c r="V258" s="198"/>
      <c r="W258" s="206"/>
      <c r="X258" s="201"/>
      <c r="Y258" s="201"/>
      <c r="Z258" s="201">
        <f t="shared" si="334"/>
        <v>0</v>
      </c>
      <c r="AA258" s="198"/>
      <c r="AB258" s="206"/>
      <c r="AC258" s="207"/>
      <c r="AD258" s="201"/>
      <c r="AE258" s="204">
        <f t="shared" si="335"/>
        <v>0</v>
      </c>
      <c r="AF258" s="203">
        <f t="shared" si="336"/>
        <v>45566</v>
      </c>
      <c r="AG258" s="201">
        <f t="shared" si="337"/>
        <v>0</v>
      </c>
      <c r="AH258" s="199">
        <f t="shared" si="338"/>
        <v>985000</v>
      </c>
      <c r="AI258" s="199">
        <f t="shared" si="339"/>
        <v>985000</v>
      </c>
      <c r="AJ258" s="201">
        <f t="shared" ref="AJ258:AK345" si="365">+S258+X258+AC258</f>
        <v>0</v>
      </c>
      <c r="AK258" s="201">
        <f t="shared" si="365"/>
        <v>985000</v>
      </c>
      <c r="AL258" s="201">
        <f t="shared" si="340"/>
        <v>985000</v>
      </c>
      <c r="AM258" s="198"/>
      <c r="AN258" s="203"/>
      <c r="AO258" s="208"/>
      <c r="AP258" s="201">
        <f t="shared" si="341"/>
        <v>0</v>
      </c>
      <c r="AQ258" s="201">
        <f t="shared" si="342"/>
        <v>980150.3</v>
      </c>
      <c r="AR258" s="201">
        <f t="shared" si="343"/>
        <v>980150.3</v>
      </c>
      <c r="AS258" s="201">
        <f t="shared" si="344"/>
        <v>99.507644670050766</v>
      </c>
      <c r="AT258" s="201"/>
      <c r="AU258" s="223">
        <v>980150.3</v>
      </c>
      <c r="AV258" s="201">
        <f t="shared" si="345"/>
        <v>980150.3</v>
      </c>
      <c r="AW258" s="322">
        <f t="shared" si="300"/>
        <v>0</v>
      </c>
      <c r="AX258" s="201">
        <f t="shared" si="346"/>
        <v>99.507644670050766</v>
      </c>
      <c r="AY258" s="208"/>
      <c r="AZ258" s="201">
        <f t="shared" si="347"/>
        <v>0</v>
      </c>
      <c r="BA258" s="201">
        <f t="shared" si="348"/>
        <v>0</v>
      </c>
      <c r="BB258" s="201">
        <f t="shared" si="349"/>
        <v>0</v>
      </c>
      <c r="BC258" s="201"/>
      <c r="BD258" s="209">
        <v>0</v>
      </c>
      <c r="BE258" s="201">
        <f t="shared" si="361"/>
        <v>0</v>
      </c>
      <c r="BF258" s="208"/>
      <c r="BG258" s="201">
        <f t="shared" ref="BG258:BH348" si="366">+AP258+AZ258</f>
        <v>0</v>
      </c>
      <c r="BH258" s="201">
        <f t="shared" si="366"/>
        <v>980150.3</v>
      </c>
      <c r="BI258" s="201">
        <f t="shared" si="351"/>
        <v>980150.3</v>
      </c>
      <c r="BJ258" s="201">
        <f t="shared" si="352"/>
        <v>99.507644670050766</v>
      </c>
      <c r="BK258" s="210">
        <v>89</v>
      </c>
      <c r="BL258" s="224">
        <v>100</v>
      </c>
      <c r="BM258" s="211"/>
      <c r="BN258" s="211"/>
      <c r="BO258" s="212">
        <f t="shared" si="353"/>
        <v>0</v>
      </c>
      <c r="BP258" s="201">
        <f t="shared" si="354"/>
        <v>4849.6999999999534</v>
      </c>
      <c r="BQ258" s="201">
        <f t="shared" si="362"/>
        <v>4849.6999999999534</v>
      </c>
      <c r="BR258" s="201">
        <f t="shared" ref="BR258:BS349" si="367">+AJ258-AT258</f>
        <v>0</v>
      </c>
      <c r="BS258" s="201">
        <f t="shared" si="367"/>
        <v>4849.6999999999534</v>
      </c>
      <c r="BT258" s="201">
        <f t="shared" si="363"/>
        <v>4849.6999999999534</v>
      </c>
      <c r="BU258" s="213">
        <f t="shared" si="313"/>
        <v>0</v>
      </c>
      <c r="BV258" s="201"/>
      <c r="BW258" s="201"/>
      <c r="BX258" s="201">
        <f t="shared" si="364"/>
        <v>0</v>
      </c>
      <c r="BY258" s="199">
        <v>68950</v>
      </c>
      <c r="BZ258" s="199">
        <v>295500</v>
      </c>
      <c r="CA258" s="199">
        <v>512200</v>
      </c>
      <c r="CB258" s="199">
        <v>108350</v>
      </c>
      <c r="CC258" s="199">
        <v>0</v>
      </c>
      <c r="CD258" s="199"/>
      <c r="CE258" s="199"/>
      <c r="CF258" s="199"/>
      <c r="CG258" s="199"/>
      <c r="CH258" s="199"/>
      <c r="CI258" s="199"/>
      <c r="CJ258" s="199"/>
      <c r="CK258" s="214" t="s">
        <v>742</v>
      </c>
      <c r="CL258" s="214" t="s">
        <v>610</v>
      </c>
      <c r="CM258" s="211">
        <v>198</v>
      </c>
      <c r="CN258" s="215"/>
      <c r="CO258" s="215"/>
      <c r="CP258" s="216"/>
      <c r="CQ258" s="217"/>
      <c r="CR258" s="211"/>
      <c r="CS258" s="218"/>
      <c r="CT258" s="218"/>
      <c r="CU258" s="218"/>
      <c r="CV258" s="211"/>
      <c r="CW258" s="211"/>
      <c r="CX258" s="211"/>
      <c r="CY258" s="211"/>
      <c r="CZ258" s="211"/>
      <c r="DA258" s="211"/>
      <c r="DB258" s="211"/>
      <c r="DC258" s="219"/>
      <c r="DD258" s="219"/>
      <c r="DE258" s="219"/>
      <c r="DF258" s="211"/>
      <c r="DG258" s="211"/>
      <c r="DH258" s="211"/>
      <c r="DI258" s="211"/>
      <c r="DJ258" s="211"/>
      <c r="DK258" s="220" t="s">
        <v>32</v>
      </c>
      <c r="DT258" s="222"/>
    </row>
    <row r="259" spans="1:124" s="176" customFormat="1" ht="63" x14ac:dyDescent="0.2">
      <c r="A259" s="195" t="s">
        <v>108</v>
      </c>
      <c r="B259" s="197" t="s">
        <v>743</v>
      </c>
      <c r="C259" s="198">
        <v>1</v>
      </c>
      <c r="D259" s="199">
        <v>980000</v>
      </c>
      <c r="E259" s="198" t="s">
        <v>741</v>
      </c>
      <c r="F259" s="198" t="s">
        <v>241</v>
      </c>
      <c r="G259" s="198" t="s">
        <v>98</v>
      </c>
      <c r="H259" s="200">
        <v>1</v>
      </c>
      <c r="I259" s="199">
        <f t="shared" si="329"/>
        <v>0</v>
      </c>
      <c r="J259" s="199">
        <f t="shared" si="330"/>
        <v>980000</v>
      </c>
      <c r="K259" s="199">
        <f t="shared" si="331"/>
        <v>980000</v>
      </c>
      <c r="L259" s="199"/>
      <c r="M259" s="199">
        <v>980000</v>
      </c>
      <c r="N259" s="199">
        <f t="shared" si="332"/>
        <v>980000</v>
      </c>
      <c r="O259" s="199"/>
      <c r="P259" s="201">
        <v>0</v>
      </c>
      <c r="Q259" s="202">
        <v>14</v>
      </c>
      <c r="R259" s="203">
        <v>45566</v>
      </c>
      <c r="S259" s="199"/>
      <c r="T259" s="199">
        <v>980000</v>
      </c>
      <c r="U259" s="204">
        <f t="shared" si="333"/>
        <v>980000</v>
      </c>
      <c r="V259" s="198"/>
      <c r="W259" s="206"/>
      <c r="X259" s="201"/>
      <c r="Y259" s="201"/>
      <c r="Z259" s="201">
        <f t="shared" si="334"/>
        <v>0</v>
      </c>
      <c r="AA259" s="198"/>
      <c r="AB259" s="206"/>
      <c r="AC259" s="207"/>
      <c r="AD259" s="201"/>
      <c r="AE259" s="204">
        <f t="shared" si="335"/>
        <v>0</v>
      </c>
      <c r="AF259" s="203">
        <f t="shared" si="336"/>
        <v>45566</v>
      </c>
      <c r="AG259" s="201">
        <f t="shared" si="337"/>
        <v>0</v>
      </c>
      <c r="AH259" s="199">
        <f t="shared" si="338"/>
        <v>980000</v>
      </c>
      <c r="AI259" s="199">
        <f t="shared" si="339"/>
        <v>980000</v>
      </c>
      <c r="AJ259" s="201">
        <f t="shared" si="365"/>
        <v>0</v>
      </c>
      <c r="AK259" s="201">
        <f t="shared" si="365"/>
        <v>980000</v>
      </c>
      <c r="AL259" s="201">
        <f t="shared" si="340"/>
        <v>980000</v>
      </c>
      <c r="AM259" s="198"/>
      <c r="AN259" s="203"/>
      <c r="AO259" s="208"/>
      <c r="AP259" s="201">
        <f t="shared" si="341"/>
        <v>0</v>
      </c>
      <c r="AQ259" s="201">
        <f t="shared" si="342"/>
        <v>977282.18</v>
      </c>
      <c r="AR259" s="201">
        <f t="shared" si="343"/>
        <v>977282.18</v>
      </c>
      <c r="AS259" s="201">
        <f t="shared" si="344"/>
        <v>99.722671428571431</v>
      </c>
      <c r="AT259" s="201"/>
      <c r="AU259" s="223">
        <v>977282.18</v>
      </c>
      <c r="AV259" s="201">
        <f t="shared" si="345"/>
        <v>977282.18</v>
      </c>
      <c r="AW259" s="322">
        <f t="shared" si="300"/>
        <v>0</v>
      </c>
      <c r="AX259" s="201">
        <f t="shared" si="346"/>
        <v>99.722671428571431</v>
      </c>
      <c r="AY259" s="208"/>
      <c r="AZ259" s="201">
        <f t="shared" si="347"/>
        <v>0</v>
      </c>
      <c r="BA259" s="201">
        <f t="shared" si="348"/>
        <v>0</v>
      </c>
      <c r="BB259" s="201">
        <f t="shared" si="349"/>
        <v>0</v>
      </c>
      <c r="BC259" s="201"/>
      <c r="BD259" s="209">
        <v>0</v>
      </c>
      <c r="BE259" s="201">
        <f t="shared" si="361"/>
        <v>0</v>
      </c>
      <c r="BF259" s="208"/>
      <c r="BG259" s="201">
        <f t="shared" si="366"/>
        <v>0</v>
      </c>
      <c r="BH259" s="201">
        <f t="shared" si="366"/>
        <v>977282.18</v>
      </c>
      <c r="BI259" s="201">
        <f t="shared" si="351"/>
        <v>977282.18</v>
      </c>
      <c r="BJ259" s="201">
        <f t="shared" si="352"/>
        <v>99.722671428571431</v>
      </c>
      <c r="BK259" s="210">
        <v>89</v>
      </c>
      <c r="BL259" s="224">
        <v>99</v>
      </c>
      <c r="BM259" s="211"/>
      <c r="BN259" s="211"/>
      <c r="BO259" s="212">
        <f t="shared" si="353"/>
        <v>0</v>
      </c>
      <c r="BP259" s="201">
        <f t="shared" si="354"/>
        <v>2717.8199999999488</v>
      </c>
      <c r="BQ259" s="201">
        <f t="shared" si="362"/>
        <v>2717.8199999999488</v>
      </c>
      <c r="BR259" s="201">
        <f t="shared" si="367"/>
        <v>0</v>
      </c>
      <c r="BS259" s="201">
        <f t="shared" si="367"/>
        <v>2717.8199999999488</v>
      </c>
      <c r="BT259" s="201">
        <f t="shared" si="363"/>
        <v>2717.8199999999488</v>
      </c>
      <c r="BU259" s="213">
        <f t="shared" si="313"/>
        <v>0</v>
      </c>
      <c r="BV259" s="201"/>
      <c r="BW259" s="201"/>
      <c r="BX259" s="201">
        <f t="shared" si="364"/>
        <v>0</v>
      </c>
      <c r="BY259" s="199">
        <v>68600</v>
      </c>
      <c r="BZ259" s="199">
        <v>294000</v>
      </c>
      <c r="CA259" s="199">
        <v>509600</v>
      </c>
      <c r="CB259" s="199">
        <v>107800</v>
      </c>
      <c r="CC259" s="199">
        <v>0</v>
      </c>
      <c r="CD259" s="199"/>
      <c r="CE259" s="199"/>
      <c r="CF259" s="199"/>
      <c r="CG259" s="199"/>
      <c r="CH259" s="199"/>
      <c r="CI259" s="199"/>
      <c r="CJ259" s="199"/>
      <c r="CK259" s="214" t="s">
        <v>744</v>
      </c>
      <c r="CL259" s="214" t="s">
        <v>610</v>
      </c>
      <c r="CM259" s="211">
        <v>198</v>
      </c>
      <c r="CN259" s="215"/>
      <c r="CO259" s="215"/>
      <c r="CP259" s="216"/>
      <c r="CQ259" s="217"/>
      <c r="CR259" s="211"/>
      <c r="CS259" s="218"/>
      <c r="CT259" s="218"/>
      <c r="CU259" s="218"/>
      <c r="CV259" s="211"/>
      <c r="CW259" s="211"/>
      <c r="CX259" s="211"/>
      <c r="CY259" s="211"/>
      <c r="CZ259" s="211"/>
      <c r="DA259" s="211"/>
      <c r="DB259" s="211"/>
      <c r="DC259" s="219"/>
      <c r="DD259" s="219"/>
      <c r="DE259" s="219"/>
      <c r="DF259" s="211"/>
      <c r="DG259" s="211"/>
      <c r="DH259" s="211"/>
      <c r="DI259" s="211"/>
      <c r="DJ259" s="211"/>
      <c r="DK259" s="220" t="s">
        <v>32</v>
      </c>
      <c r="DT259" s="222"/>
    </row>
    <row r="260" spans="1:124" s="176" customFormat="1" ht="63" x14ac:dyDescent="0.2">
      <c r="A260" s="195" t="s">
        <v>108</v>
      </c>
      <c r="B260" s="197" t="s">
        <v>745</v>
      </c>
      <c r="C260" s="198">
        <v>1</v>
      </c>
      <c r="D260" s="199">
        <v>980000</v>
      </c>
      <c r="E260" s="198" t="s">
        <v>741</v>
      </c>
      <c r="F260" s="198" t="s">
        <v>241</v>
      </c>
      <c r="G260" s="198" t="s">
        <v>98</v>
      </c>
      <c r="H260" s="200">
        <v>1</v>
      </c>
      <c r="I260" s="199">
        <f t="shared" si="329"/>
        <v>0</v>
      </c>
      <c r="J260" s="199">
        <f t="shared" si="330"/>
        <v>980000</v>
      </c>
      <c r="K260" s="199">
        <f t="shared" si="331"/>
        <v>980000</v>
      </c>
      <c r="L260" s="199"/>
      <c r="M260" s="199">
        <v>980000</v>
      </c>
      <c r="N260" s="199">
        <f t="shared" si="332"/>
        <v>980000</v>
      </c>
      <c r="O260" s="199"/>
      <c r="P260" s="201">
        <v>0</v>
      </c>
      <c r="Q260" s="202">
        <v>14</v>
      </c>
      <c r="R260" s="203">
        <v>45566</v>
      </c>
      <c r="S260" s="199"/>
      <c r="T260" s="199">
        <v>980000</v>
      </c>
      <c r="U260" s="204">
        <f t="shared" si="333"/>
        <v>980000</v>
      </c>
      <c r="V260" s="198"/>
      <c r="W260" s="206"/>
      <c r="X260" s="201"/>
      <c r="Y260" s="201"/>
      <c r="Z260" s="201">
        <f t="shared" si="334"/>
        <v>0</v>
      </c>
      <c r="AA260" s="198"/>
      <c r="AB260" s="206"/>
      <c r="AC260" s="207"/>
      <c r="AD260" s="201"/>
      <c r="AE260" s="204">
        <f t="shared" si="335"/>
        <v>0</v>
      </c>
      <c r="AF260" s="203">
        <f t="shared" si="336"/>
        <v>45566</v>
      </c>
      <c r="AG260" s="201">
        <f t="shared" si="337"/>
        <v>0</v>
      </c>
      <c r="AH260" s="199">
        <f t="shared" si="338"/>
        <v>980000</v>
      </c>
      <c r="AI260" s="199">
        <f t="shared" si="339"/>
        <v>980000</v>
      </c>
      <c r="AJ260" s="201">
        <f t="shared" si="365"/>
        <v>0</v>
      </c>
      <c r="AK260" s="201">
        <f t="shared" si="365"/>
        <v>980000</v>
      </c>
      <c r="AL260" s="201">
        <f t="shared" si="340"/>
        <v>980000</v>
      </c>
      <c r="AM260" s="198"/>
      <c r="AN260" s="203"/>
      <c r="AO260" s="208"/>
      <c r="AP260" s="201">
        <f t="shared" si="341"/>
        <v>0</v>
      </c>
      <c r="AQ260" s="201">
        <f t="shared" si="342"/>
        <v>977713.04</v>
      </c>
      <c r="AR260" s="201">
        <f t="shared" si="343"/>
        <v>977713.04</v>
      </c>
      <c r="AS260" s="201">
        <f t="shared" si="344"/>
        <v>99.766636734693876</v>
      </c>
      <c r="AT260" s="201"/>
      <c r="AU260" s="223">
        <v>977713.04</v>
      </c>
      <c r="AV260" s="201">
        <f t="shared" si="345"/>
        <v>977713.04</v>
      </c>
      <c r="AW260" s="322">
        <f t="shared" si="300"/>
        <v>0</v>
      </c>
      <c r="AX260" s="201">
        <f t="shared" si="346"/>
        <v>99.766636734693876</v>
      </c>
      <c r="AY260" s="208"/>
      <c r="AZ260" s="201">
        <f t="shared" si="347"/>
        <v>0</v>
      </c>
      <c r="BA260" s="201">
        <f t="shared" si="348"/>
        <v>0</v>
      </c>
      <c r="BB260" s="201">
        <f t="shared" si="349"/>
        <v>0</v>
      </c>
      <c r="BC260" s="201"/>
      <c r="BD260" s="209">
        <v>0</v>
      </c>
      <c r="BE260" s="201">
        <f t="shared" si="361"/>
        <v>0</v>
      </c>
      <c r="BF260" s="208"/>
      <c r="BG260" s="201">
        <f t="shared" si="366"/>
        <v>0</v>
      </c>
      <c r="BH260" s="201">
        <f t="shared" si="366"/>
        <v>977713.04</v>
      </c>
      <c r="BI260" s="201">
        <f t="shared" si="351"/>
        <v>977713.04</v>
      </c>
      <c r="BJ260" s="201">
        <f t="shared" si="352"/>
        <v>99.766636734693876</v>
      </c>
      <c r="BK260" s="210">
        <v>89</v>
      </c>
      <c r="BL260" s="224">
        <v>100</v>
      </c>
      <c r="BM260" s="211"/>
      <c r="BN260" s="211"/>
      <c r="BO260" s="212">
        <f t="shared" si="353"/>
        <v>0</v>
      </c>
      <c r="BP260" s="201">
        <f t="shared" si="354"/>
        <v>2286.9599999999627</v>
      </c>
      <c r="BQ260" s="201">
        <f t="shared" si="362"/>
        <v>2286.9599999999627</v>
      </c>
      <c r="BR260" s="201">
        <f t="shared" si="367"/>
        <v>0</v>
      </c>
      <c r="BS260" s="201">
        <f t="shared" si="367"/>
        <v>2286.9599999999627</v>
      </c>
      <c r="BT260" s="201">
        <f t="shared" si="363"/>
        <v>2286.9599999999627</v>
      </c>
      <c r="BU260" s="213">
        <f t="shared" si="313"/>
        <v>0</v>
      </c>
      <c r="BV260" s="201"/>
      <c r="BW260" s="201"/>
      <c r="BX260" s="201">
        <f t="shared" si="364"/>
        <v>0</v>
      </c>
      <c r="BY260" s="199">
        <v>68600</v>
      </c>
      <c r="BZ260" s="199">
        <v>294000</v>
      </c>
      <c r="CA260" s="199">
        <v>509600</v>
      </c>
      <c r="CB260" s="199">
        <v>107800</v>
      </c>
      <c r="CC260" s="199">
        <v>0</v>
      </c>
      <c r="CD260" s="199"/>
      <c r="CE260" s="199"/>
      <c r="CF260" s="199"/>
      <c r="CG260" s="199"/>
      <c r="CH260" s="199"/>
      <c r="CI260" s="199"/>
      <c r="CJ260" s="199"/>
      <c r="CK260" s="214" t="s">
        <v>746</v>
      </c>
      <c r="CL260" s="214" t="s">
        <v>610</v>
      </c>
      <c r="CM260" s="211">
        <v>198</v>
      </c>
      <c r="CN260" s="215"/>
      <c r="CO260" s="215"/>
      <c r="CP260" s="216"/>
      <c r="CQ260" s="217"/>
      <c r="CR260" s="211"/>
      <c r="CS260" s="218"/>
      <c r="CT260" s="218"/>
      <c r="CU260" s="218"/>
      <c r="CV260" s="211"/>
      <c r="CW260" s="211"/>
      <c r="CX260" s="211"/>
      <c r="CY260" s="211"/>
      <c r="CZ260" s="211"/>
      <c r="DA260" s="211"/>
      <c r="DB260" s="211"/>
      <c r="DC260" s="219"/>
      <c r="DD260" s="219"/>
      <c r="DE260" s="219"/>
      <c r="DF260" s="211"/>
      <c r="DG260" s="211"/>
      <c r="DH260" s="211"/>
      <c r="DI260" s="211"/>
      <c r="DJ260" s="211"/>
      <c r="DK260" s="220" t="s">
        <v>32</v>
      </c>
      <c r="DT260" s="222"/>
    </row>
    <row r="261" spans="1:124" s="176" customFormat="1" ht="63" x14ac:dyDescent="0.2">
      <c r="A261" s="195" t="s">
        <v>108</v>
      </c>
      <c r="B261" s="197" t="s">
        <v>747</v>
      </c>
      <c r="C261" s="198">
        <v>1</v>
      </c>
      <c r="D261" s="199">
        <v>980000</v>
      </c>
      <c r="E261" s="198" t="s">
        <v>748</v>
      </c>
      <c r="F261" s="198" t="s">
        <v>241</v>
      </c>
      <c r="G261" s="198" t="s">
        <v>98</v>
      </c>
      <c r="H261" s="200">
        <v>1</v>
      </c>
      <c r="I261" s="199">
        <f t="shared" si="329"/>
        <v>0</v>
      </c>
      <c r="J261" s="199">
        <f t="shared" si="330"/>
        <v>980000</v>
      </c>
      <c r="K261" s="199">
        <f t="shared" si="331"/>
        <v>980000</v>
      </c>
      <c r="L261" s="199"/>
      <c r="M261" s="199">
        <v>980000</v>
      </c>
      <c r="N261" s="199">
        <f t="shared" si="332"/>
        <v>980000</v>
      </c>
      <c r="O261" s="199"/>
      <c r="P261" s="201">
        <v>0</v>
      </c>
      <c r="Q261" s="202">
        <v>14</v>
      </c>
      <c r="R261" s="203">
        <v>45566</v>
      </c>
      <c r="S261" s="199"/>
      <c r="T261" s="199">
        <v>980000</v>
      </c>
      <c r="U261" s="204">
        <f t="shared" si="333"/>
        <v>980000</v>
      </c>
      <c r="V261" s="198"/>
      <c r="W261" s="206"/>
      <c r="X261" s="201"/>
      <c r="Y261" s="201"/>
      <c r="Z261" s="201">
        <f t="shared" si="334"/>
        <v>0</v>
      </c>
      <c r="AA261" s="198"/>
      <c r="AB261" s="206"/>
      <c r="AC261" s="207"/>
      <c r="AD261" s="201"/>
      <c r="AE261" s="204">
        <f t="shared" si="335"/>
        <v>0</v>
      </c>
      <c r="AF261" s="203">
        <f t="shared" si="336"/>
        <v>45566</v>
      </c>
      <c r="AG261" s="201">
        <f t="shared" si="337"/>
        <v>0</v>
      </c>
      <c r="AH261" s="199">
        <f t="shared" si="338"/>
        <v>980000</v>
      </c>
      <c r="AI261" s="199">
        <f t="shared" si="339"/>
        <v>980000</v>
      </c>
      <c r="AJ261" s="201">
        <f t="shared" si="365"/>
        <v>0</v>
      </c>
      <c r="AK261" s="201">
        <f t="shared" si="365"/>
        <v>980000</v>
      </c>
      <c r="AL261" s="201">
        <f t="shared" si="340"/>
        <v>980000</v>
      </c>
      <c r="AM261" s="198"/>
      <c r="AN261" s="203"/>
      <c r="AO261" s="208"/>
      <c r="AP261" s="201">
        <f t="shared" si="341"/>
        <v>0</v>
      </c>
      <c r="AQ261" s="201">
        <f t="shared" si="342"/>
        <v>977970.03</v>
      </c>
      <c r="AR261" s="201">
        <f t="shared" si="343"/>
        <v>977970.03</v>
      </c>
      <c r="AS261" s="201">
        <f t="shared" si="344"/>
        <v>99.792860204081634</v>
      </c>
      <c r="AT261" s="201"/>
      <c r="AU261" s="223">
        <v>977970.03</v>
      </c>
      <c r="AV261" s="201">
        <f t="shared" si="345"/>
        <v>977970.03</v>
      </c>
      <c r="AW261" s="322">
        <f t="shared" si="300"/>
        <v>0</v>
      </c>
      <c r="AX261" s="201">
        <f t="shared" si="346"/>
        <v>99.792860204081634</v>
      </c>
      <c r="AY261" s="208"/>
      <c r="AZ261" s="201">
        <f t="shared" si="347"/>
        <v>0</v>
      </c>
      <c r="BA261" s="201">
        <f t="shared" si="348"/>
        <v>0</v>
      </c>
      <c r="BB261" s="201">
        <f t="shared" si="349"/>
        <v>0</v>
      </c>
      <c r="BC261" s="201"/>
      <c r="BD261" s="223">
        <v>0</v>
      </c>
      <c r="BE261" s="201">
        <f t="shared" si="361"/>
        <v>0</v>
      </c>
      <c r="BF261" s="208"/>
      <c r="BG261" s="201">
        <f t="shared" si="366"/>
        <v>0</v>
      </c>
      <c r="BH261" s="201">
        <f t="shared" si="366"/>
        <v>977970.03</v>
      </c>
      <c r="BI261" s="201">
        <f t="shared" si="351"/>
        <v>977970.03</v>
      </c>
      <c r="BJ261" s="201">
        <f t="shared" si="352"/>
        <v>99.792860204081634</v>
      </c>
      <c r="BK261" s="210">
        <v>89</v>
      </c>
      <c r="BL261" s="224">
        <v>100</v>
      </c>
      <c r="BM261" s="211"/>
      <c r="BN261" s="211"/>
      <c r="BO261" s="212">
        <f t="shared" si="353"/>
        <v>0</v>
      </c>
      <c r="BP261" s="201">
        <f t="shared" si="354"/>
        <v>2029.9699999999721</v>
      </c>
      <c r="BQ261" s="201">
        <f t="shared" si="362"/>
        <v>2029.9699999999721</v>
      </c>
      <c r="BR261" s="201">
        <f t="shared" si="367"/>
        <v>0</v>
      </c>
      <c r="BS261" s="201">
        <f t="shared" si="367"/>
        <v>2029.9699999999721</v>
      </c>
      <c r="BT261" s="201">
        <f t="shared" si="363"/>
        <v>2029.9699999999721</v>
      </c>
      <c r="BU261" s="213">
        <f t="shared" si="313"/>
        <v>0</v>
      </c>
      <c r="BV261" s="201"/>
      <c r="BW261" s="201"/>
      <c r="BX261" s="201">
        <f t="shared" si="364"/>
        <v>0</v>
      </c>
      <c r="BY261" s="199">
        <v>68600</v>
      </c>
      <c r="BZ261" s="199">
        <v>294000</v>
      </c>
      <c r="CA261" s="199">
        <v>509600</v>
      </c>
      <c r="CB261" s="199">
        <v>107800</v>
      </c>
      <c r="CC261" s="199">
        <v>0</v>
      </c>
      <c r="CD261" s="199"/>
      <c r="CE261" s="199"/>
      <c r="CF261" s="199"/>
      <c r="CG261" s="199"/>
      <c r="CH261" s="199"/>
      <c r="CI261" s="199"/>
      <c r="CJ261" s="199"/>
      <c r="CK261" s="214" t="s">
        <v>749</v>
      </c>
      <c r="CL261" s="214" t="s">
        <v>610</v>
      </c>
      <c r="CM261" s="211">
        <v>198</v>
      </c>
      <c r="CN261" s="215"/>
      <c r="CO261" s="215"/>
      <c r="CP261" s="216"/>
      <c r="CQ261" s="217"/>
      <c r="CR261" s="211"/>
      <c r="CS261" s="218"/>
      <c r="CT261" s="218"/>
      <c r="CU261" s="218"/>
      <c r="CV261" s="211"/>
      <c r="CW261" s="211"/>
      <c r="CX261" s="211"/>
      <c r="CY261" s="211"/>
      <c r="CZ261" s="211"/>
      <c r="DA261" s="211"/>
      <c r="DB261" s="211"/>
      <c r="DC261" s="219"/>
      <c r="DD261" s="219"/>
      <c r="DE261" s="219"/>
      <c r="DF261" s="211"/>
      <c r="DG261" s="211"/>
      <c r="DH261" s="211"/>
      <c r="DI261" s="211"/>
      <c r="DJ261" s="211"/>
      <c r="DK261" s="220" t="s">
        <v>32</v>
      </c>
      <c r="DT261" s="222"/>
    </row>
    <row r="262" spans="1:124" s="176" customFormat="1" ht="42" x14ac:dyDescent="0.2">
      <c r="A262" s="195" t="s">
        <v>108</v>
      </c>
      <c r="B262" s="197" t="s">
        <v>750</v>
      </c>
      <c r="C262" s="198">
        <v>1</v>
      </c>
      <c r="D262" s="199">
        <v>900000</v>
      </c>
      <c r="E262" s="198" t="s">
        <v>708</v>
      </c>
      <c r="F262" s="198" t="s">
        <v>665</v>
      </c>
      <c r="G262" s="198" t="s">
        <v>98</v>
      </c>
      <c r="H262" s="200">
        <v>1</v>
      </c>
      <c r="I262" s="199">
        <f t="shared" si="329"/>
        <v>0</v>
      </c>
      <c r="J262" s="199">
        <f t="shared" si="330"/>
        <v>900000</v>
      </c>
      <c r="K262" s="199">
        <f t="shared" si="331"/>
        <v>900000</v>
      </c>
      <c r="L262" s="199"/>
      <c r="M262" s="199">
        <v>900000</v>
      </c>
      <c r="N262" s="199">
        <f t="shared" si="332"/>
        <v>900000</v>
      </c>
      <c r="O262" s="199"/>
      <c r="P262" s="201">
        <v>0</v>
      </c>
      <c r="Q262" s="202">
        <v>14</v>
      </c>
      <c r="R262" s="203">
        <v>45566</v>
      </c>
      <c r="S262" s="199"/>
      <c r="T262" s="199">
        <v>900000</v>
      </c>
      <c r="U262" s="204">
        <f t="shared" si="333"/>
        <v>900000</v>
      </c>
      <c r="V262" s="198"/>
      <c r="W262" s="206"/>
      <c r="X262" s="201"/>
      <c r="Y262" s="201"/>
      <c r="Z262" s="201">
        <f t="shared" si="334"/>
        <v>0</v>
      </c>
      <c r="AA262" s="198"/>
      <c r="AB262" s="206"/>
      <c r="AC262" s="207"/>
      <c r="AD262" s="201"/>
      <c r="AE262" s="204">
        <f t="shared" si="335"/>
        <v>0</v>
      </c>
      <c r="AF262" s="203">
        <f t="shared" si="336"/>
        <v>45566</v>
      </c>
      <c r="AG262" s="201">
        <f t="shared" si="337"/>
        <v>0</v>
      </c>
      <c r="AH262" s="199">
        <f t="shared" si="338"/>
        <v>900000</v>
      </c>
      <c r="AI262" s="199">
        <f t="shared" si="339"/>
        <v>900000</v>
      </c>
      <c r="AJ262" s="201">
        <f t="shared" si="365"/>
        <v>0</v>
      </c>
      <c r="AK262" s="201">
        <f t="shared" si="365"/>
        <v>900000</v>
      </c>
      <c r="AL262" s="201">
        <f t="shared" si="340"/>
        <v>900000</v>
      </c>
      <c r="AM262" s="198"/>
      <c r="AN262" s="203"/>
      <c r="AO262" s="208"/>
      <c r="AP262" s="201">
        <f t="shared" si="341"/>
        <v>0</v>
      </c>
      <c r="AQ262" s="201">
        <f t="shared" si="342"/>
        <v>855329.06</v>
      </c>
      <c r="AR262" s="201">
        <f t="shared" si="343"/>
        <v>855329.06</v>
      </c>
      <c r="AS262" s="201">
        <f t="shared" si="344"/>
        <v>95.036562222222216</v>
      </c>
      <c r="AT262" s="201"/>
      <c r="AU262" s="223">
        <v>855329.06</v>
      </c>
      <c r="AV262" s="201">
        <f t="shared" si="345"/>
        <v>855329.06</v>
      </c>
      <c r="AW262" s="322">
        <f t="shared" si="300"/>
        <v>0</v>
      </c>
      <c r="AX262" s="201">
        <f t="shared" si="346"/>
        <v>95.036562222222216</v>
      </c>
      <c r="AY262" s="208"/>
      <c r="AZ262" s="201">
        <f t="shared" si="347"/>
        <v>0</v>
      </c>
      <c r="BA262" s="201">
        <f t="shared" si="348"/>
        <v>0</v>
      </c>
      <c r="BB262" s="201">
        <f t="shared" si="349"/>
        <v>0</v>
      </c>
      <c r="BC262" s="201"/>
      <c r="BD262" s="223">
        <v>0</v>
      </c>
      <c r="BE262" s="201">
        <f t="shared" si="361"/>
        <v>0</v>
      </c>
      <c r="BF262" s="208"/>
      <c r="BG262" s="201">
        <f t="shared" si="366"/>
        <v>0</v>
      </c>
      <c r="BH262" s="201">
        <f t="shared" si="366"/>
        <v>855329.06</v>
      </c>
      <c r="BI262" s="201">
        <f t="shared" si="351"/>
        <v>855329.06</v>
      </c>
      <c r="BJ262" s="201">
        <f t="shared" si="352"/>
        <v>95.036562222222216</v>
      </c>
      <c r="BK262" s="210">
        <v>89</v>
      </c>
      <c r="BL262" s="224">
        <v>90</v>
      </c>
      <c r="BM262" s="211"/>
      <c r="BN262" s="211"/>
      <c r="BO262" s="212">
        <f t="shared" si="353"/>
        <v>0</v>
      </c>
      <c r="BP262" s="201">
        <f t="shared" si="354"/>
        <v>44670.939999999944</v>
      </c>
      <c r="BQ262" s="201">
        <f t="shared" si="362"/>
        <v>44670.939999999944</v>
      </c>
      <c r="BR262" s="201">
        <f t="shared" si="367"/>
        <v>0</v>
      </c>
      <c r="BS262" s="201">
        <f t="shared" si="367"/>
        <v>44670.939999999944</v>
      </c>
      <c r="BT262" s="201">
        <f t="shared" si="363"/>
        <v>44670.939999999944</v>
      </c>
      <c r="BU262" s="213">
        <f t="shared" si="313"/>
        <v>0</v>
      </c>
      <c r="BV262" s="201"/>
      <c r="BW262" s="201"/>
      <c r="BX262" s="201">
        <f t="shared" si="364"/>
        <v>0</v>
      </c>
      <c r="BY262" s="199">
        <v>63000</v>
      </c>
      <c r="BZ262" s="199">
        <v>270000</v>
      </c>
      <c r="CA262" s="199">
        <v>468000</v>
      </c>
      <c r="CB262" s="199">
        <v>99000</v>
      </c>
      <c r="CC262" s="199">
        <v>0</v>
      </c>
      <c r="CD262" s="199"/>
      <c r="CE262" s="199"/>
      <c r="CF262" s="199"/>
      <c r="CG262" s="199"/>
      <c r="CH262" s="199"/>
      <c r="CI262" s="199"/>
      <c r="CJ262" s="199"/>
      <c r="CK262" s="214" t="s">
        <v>751</v>
      </c>
      <c r="CL262" s="214" t="s">
        <v>610</v>
      </c>
      <c r="CM262" s="211">
        <v>198</v>
      </c>
      <c r="CN262" s="215"/>
      <c r="CO262" s="215"/>
      <c r="CP262" s="216"/>
      <c r="CQ262" s="217"/>
      <c r="CR262" s="211"/>
      <c r="CS262" s="218"/>
      <c r="CT262" s="218"/>
      <c r="CU262" s="218"/>
      <c r="CV262" s="211"/>
      <c r="CW262" s="211"/>
      <c r="CX262" s="211"/>
      <c r="CY262" s="211"/>
      <c r="CZ262" s="211"/>
      <c r="DA262" s="211"/>
      <c r="DB262" s="211"/>
      <c r="DC262" s="219"/>
      <c r="DD262" s="219"/>
      <c r="DE262" s="219"/>
      <c r="DF262" s="211"/>
      <c r="DG262" s="211"/>
      <c r="DH262" s="211"/>
      <c r="DI262" s="211"/>
      <c r="DJ262" s="211"/>
      <c r="DK262" s="220" t="s">
        <v>32</v>
      </c>
      <c r="DT262" s="222"/>
    </row>
    <row r="263" spans="1:124" s="176" customFormat="1" ht="42" x14ac:dyDescent="0.2">
      <c r="A263" s="195" t="s">
        <v>108</v>
      </c>
      <c r="B263" s="197" t="s">
        <v>752</v>
      </c>
      <c r="C263" s="198">
        <v>1</v>
      </c>
      <c r="D263" s="199">
        <v>980000</v>
      </c>
      <c r="E263" s="198" t="s">
        <v>708</v>
      </c>
      <c r="F263" s="198" t="s">
        <v>665</v>
      </c>
      <c r="G263" s="198" t="s">
        <v>98</v>
      </c>
      <c r="H263" s="200">
        <v>1</v>
      </c>
      <c r="I263" s="199">
        <f t="shared" si="329"/>
        <v>0</v>
      </c>
      <c r="J263" s="199">
        <f t="shared" si="330"/>
        <v>980000</v>
      </c>
      <c r="K263" s="199">
        <f t="shared" si="331"/>
        <v>980000</v>
      </c>
      <c r="L263" s="199"/>
      <c r="M263" s="199">
        <v>980000</v>
      </c>
      <c r="N263" s="199">
        <f t="shared" si="332"/>
        <v>980000</v>
      </c>
      <c r="O263" s="199"/>
      <c r="P263" s="201">
        <v>0</v>
      </c>
      <c r="Q263" s="202">
        <v>14</v>
      </c>
      <c r="R263" s="203">
        <v>45566</v>
      </c>
      <c r="S263" s="199"/>
      <c r="T263" s="199">
        <v>980000</v>
      </c>
      <c r="U263" s="204">
        <f t="shared" si="333"/>
        <v>980000</v>
      </c>
      <c r="V263" s="198"/>
      <c r="W263" s="206"/>
      <c r="X263" s="201"/>
      <c r="Y263" s="201"/>
      <c r="Z263" s="201">
        <f t="shared" si="334"/>
        <v>0</v>
      </c>
      <c r="AA263" s="198"/>
      <c r="AB263" s="206"/>
      <c r="AC263" s="207"/>
      <c r="AD263" s="201"/>
      <c r="AE263" s="204">
        <f t="shared" si="335"/>
        <v>0</v>
      </c>
      <c r="AF263" s="203">
        <f t="shared" si="336"/>
        <v>45566</v>
      </c>
      <c r="AG263" s="201">
        <f t="shared" si="337"/>
        <v>0</v>
      </c>
      <c r="AH263" s="199">
        <f t="shared" si="338"/>
        <v>980000</v>
      </c>
      <c r="AI263" s="199">
        <f t="shared" si="339"/>
        <v>980000</v>
      </c>
      <c r="AJ263" s="201">
        <f t="shared" si="365"/>
        <v>0</v>
      </c>
      <c r="AK263" s="201">
        <f t="shared" si="365"/>
        <v>980000</v>
      </c>
      <c r="AL263" s="201">
        <f t="shared" si="340"/>
        <v>980000</v>
      </c>
      <c r="AM263" s="198"/>
      <c r="AN263" s="203"/>
      <c r="AO263" s="208"/>
      <c r="AP263" s="201">
        <f t="shared" si="341"/>
        <v>0</v>
      </c>
      <c r="AQ263" s="201">
        <f t="shared" si="342"/>
        <v>836774.43</v>
      </c>
      <c r="AR263" s="201">
        <f t="shared" si="343"/>
        <v>836774.43</v>
      </c>
      <c r="AS263" s="201">
        <f t="shared" si="344"/>
        <v>85.385145918367343</v>
      </c>
      <c r="AT263" s="201"/>
      <c r="AU263" s="223">
        <v>836774.43</v>
      </c>
      <c r="AV263" s="201">
        <f t="shared" si="345"/>
        <v>836774.43</v>
      </c>
      <c r="AW263" s="322">
        <f t="shared" si="300"/>
        <v>0</v>
      </c>
      <c r="AX263" s="201">
        <f t="shared" si="346"/>
        <v>85.385145918367343</v>
      </c>
      <c r="AY263" s="208"/>
      <c r="AZ263" s="201">
        <f t="shared" si="347"/>
        <v>0</v>
      </c>
      <c r="BA263" s="201">
        <f t="shared" si="348"/>
        <v>0</v>
      </c>
      <c r="BB263" s="201">
        <f t="shared" si="349"/>
        <v>0</v>
      </c>
      <c r="BC263" s="201"/>
      <c r="BD263" s="223">
        <v>0</v>
      </c>
      <c r="BE263" s="201">
        <f t="shared" si="361"/>
        <v>0</v>
      </c>
      <c r="BF263" s="208"/>
      <c r="BG263" s="201">
        <f t="shared" si="366"/>
        <v>0</v>
      </c>
      <c r="BH263" s="201">
        <f t="shared" si="366"/>
        <v>836774.43</v>
      </c>
      <c r="BI263" s="201">
        <f t="shared" si="351"/>
        <v>836774.43</v>
      </c>
      <c r="BJ263" s="201">
        <f t="shared" si="352"/>
        <v>85.385145918367343</v>
      </c>
      <c r="BK263" s="210">
        <v>89</v>
      </c>
      <c r="BL263" s="224">
        <v>78</v>
      </c>
      <c r="BM263" s="211"/>
      <c r="BN263" s="211"/>
      <c r="BO263" s="212">
        <f t="shared" si="353"/>
        <v>0</v>
      </c>
      <c r="BP263" s="201">
        <f t="shared" si="354"/>
        <v>143225.56999999995</v>
      </c>
      <c r="BQ263" s="201">
        <f t="shared" si="362"/>
        <v>143225.56999999995</v>
      </c>
      <c r="BR263" s="201">
        <f t="shared" si="367"/>
        <v>0</v>
      </c>
      <c r="BS263" s="201">
        <f t="shared" si="367"/>
        <v>143225.56999999995</v>
      </c>
      <c r="BT263" s="201">
        <f t="shared" si="363"/>
        <v>143225.56999999995</v>
      </c>
      <c r="BU263" s="213">
        <f t="shared" si="313"/>
        <v>0</v>
      </c>
      <c r="BV263" s="201"/>
      <c r="BW263" s="201"/>
      <c r="BX263" s="201">
        <f t="shared" si="364"/>
        <v>0</v>
      </c>
      <c r="BY263" s="199">
        <v>68600</v>
      </c>
      <c r="BZ263" s="199">
        <v>294000</v>
      </c>
      <c r="CA263" s="199">
        <v>509600</v>
      </c>
      <c r="CB263" s="199">
        <v>107800</v>
      </c>
      <c r="CC263" s="199">
        <v>0</v>
      </c>
      <c r="CD263" s="199"/>
      <c r="CE263" s="199"/>
      <c r="CF263" s="199"/>
      <c r="CG263" s="199"/>
      <c r="CH263" s="199"/>
      <c r="CI263" s="199"/>
      <c r="CJ263" s="199"/>
      <c r="CK263" s="214" t="s">
        <v>753</v>
      </c>
      <c r="CL263" s="214" t="s">
        <v>610</v>
      </c>
      <c r="CM263" s="211">
        <v>198</v>
      </c>
      <c r="CN263" s="215"/>
      <c r="CO263" s="215"/>
      <c r="CP263" s="216"/>
      <c r="CQ263" s="217"/>
      <c r="CR263" s="211"/>
      <c r="CS263" s="218"/>
      <c r="CT263" s="218"/>
      <c r="CU263" s="218"/>
      <c r="CV263" s="211"/>
      <c r="CW263" s="211"/>
      <c r="CX263" s="211"/>
      <c r="CY263" s="211"/>
      <c r="CZ263" s="211"/>
      <c r="DA263" s="211"/>
      <c r="DB263" s="211"/>
      <c r="DC263" s="219"/>
      <c r="DD263" s="219"/>
      <c r="DE263" s="219"/>
      <c r="DF263" s="211"/>
      <c r="DG263" s="211"/>
      <c r="DH263" s="211"/>
      <c r="DI263" s="211"/>
      <c r="DJ263" s="211"/>
      <c r="DK263" s="220" t="s">
        <v>32</v>
      </c>
      <c r="DT263" s="222"/>
    </row>
    <row r="264" spans="1:124" s="176" customFormat="1" ht="42" x14ac:dyDescent="0.2">
      <c r="A264" s="195" t="s">
        <v>108</v>
      </c>
      <c r="B264" s="197" t="s">
        <v>754</v>
      </c>
      <c r="C264" s="198">
        <v>1</v>
      </c>
      <c r="D264" s="199">
        <v>750000</v>
      </c>
      <c r="E264" s="198" t="s">
        <v>314</v>
      </c>
      <c r="F264" s="198" t="s">
        <v>315</v>
      </c>
      <c r="G264" s="198" t="s">
        <v>98</v>
      </c>
      <c r="H264" s="200">
        <v>1</v>
      </c>
      <c r="I264" s="199">
        <f t="shared" si="329"/>
        <v>0</v>
      </c>
      <c r="J264" s="199">
        <f t="shared" si="330"/>
        <v>750000</v>
      </c>
      <c r="K264" s="199">
        <f t="shared" si="331"/>
        <v>750000</v>
      </c>
      <c r="L264" s="199"/>
      <c r="M264" s="199">
        <v>750000</v>
      </c>
      <c r="N264" s="199">
        <f t="shared" si="332"/>
        <v>750000</v>
      </c>
      <c r="O264" s="199"/>
      <c r="P264" s="201">
        <v>0</v>
      </c>
      <c r="Q264" s="202">
        <v>14</v>
      </c>
      <c r="R264" s="203">
        <v>45566</v>
      </c>
      <c r="S264" s="199"/>
      <c r="T264" s="199">
        <v>750000</v>
      </c>
      <c r="U264" s="204">
        <f t="shared" si="333"/>
        <v>750000</v>
      </c>
      <c r="V264" s="198"/>
      <c r="W264" s="206"/>
      <c r="X264" s="201"/>
      <c r="Y264" s="201"/>
      <c r="Z264" s="201">
        <f t="shared" si="334"/>
        <v>0</v>
      </c>
      <c r="AA264" s="198"/>
      <c r="AB264" s="206"/>
      <c r="AC264" s="207"/>
      <c r="AD264" s="201"/>
      <c r="AE264" s="204">
        <f t="shared" si="335"/>
        <v>0</v>
      </c>
      <c r="AF264" s="203">
        <f t="shared" si="336"/>
        <v>45566</v>
      </c>
      <c r="AG264" s="201">
        <f t="shared" si="337"/>
        <v>0</v>
      </c>
      <c r="AH264" s="199">
        <f t="shared" si="338"/>
        <v>750000</v>
      </c>
      <c r="AI264" s="199">
        <f t="shared" si="339"/>
        <v>750000</v>
      </c>
      <c r="AJ264" s="201">
        <f t="shared" si="365"/>
        <v>0</v>
      </c>
      <c r="AK264" s="201">
        <f t="shared" si="365"/>
        <v>750000</v>
      </c>
      <c r="AL264" s="201">
        <f t="shared" si="340"/>
        <v>750000</v>
      </c>
      <c r="AM264" s="198"/>
      <c r="AN264" s="203"/>
      <c r="AO264" s="208"/>
      <c r="AP264" s="201">
        <f t="shared" si="341"/>
        <v>0</v>
      </c>
      <c r="AQ264" s="201">
        <f t="shared" si="342"/>
        <v>749330.98</v>
      </c>
      <c r="AR264" s="201">
        <f t="shared" si="343"/>
        <v>749330.98</v>
      </c>
      <c r="AS264" s="201">
        <f t="shared" si="344"/>
        <v>99.910797333333335</v>
      </c>
      <c r="AT264" s="201"/>
      <c r="AU264" s="223">
        <v>749330.98</v>
      </c>
      <c r="AV264" s="201">
        <f t="shared" si="345"/>
        <v>749330.98</v>
      </c>
      <c r="AW264" s="322">
        <f t="shared" si="300"/>
        <v>0</v>
      </c>
      <c r="AX264" s="201">
        <f t="shared" si="346"/>
        <v>99.910797333333335</v>
      </c>
      <c r="AY264" s="208"/>
      <c r="AZ264" s="201">
        <f t="shared" si="347"/>
        <v>0</v>
      </c>
      <c r="BA264" s="201">
        <f t="shared" si="348"/>
        <v>0</v>
      </c>
      <c r="BB264" s="201">
        <f t="shared" si="349"/>
        <v>0</v>
      </c>
      <c r="BC264" s="201"/>
      <c r="BD264" s="223">
        <v>0</v>
      </c>
      <c r="BE264" s="201">
        <f t="shared" si="361"/>
        <v>0</v>
      </c>
      <c r="BF264" s="208"/>
      <c r="BG264" s="201">
        <f t="shared" si="366"/>
        <v>0</v>
      </c>
      <c r="BH264" s="201">
        <f t="shared" si="366"/>
        <v>749330.98</v>
      </c>
      <c r="BI264" s="201">
        <f t="shared" si="351"/>
        <v>749330.98</v>
      </c>
      <c r="BJ264" s="201">
        <f t="shared" si="352"/>
        <v>99.910797333333335</v>
      </c>
      <c r="BK264" s="210">
        <v>89</v>
      </c>
      <c r="BL264" s="224">
        <v>100</v>
      </c>
      <c r="BM264" s="211"/>
      <c r="BN264" s="211"/>
      <c r="BO264" s="212">
        <f t="shared" si="353"/>
        <v>0</v>
      </c>
      <c r="BP264" s="201">
        <f t="shared" si="354"/>
        <v>669.02000000001863</v>
      </c>
      <c r="BQ264" s="201">
        <f t="shared" si="362"/>
        <v>669.02000000001863</v>
      </c>
      <c r="BR264" s="201">
        <f t="shared" si="367"/>
        <v>0</v>
      </c>
      <c r="BS264" s="201">
        <f t="shared" si="367"/>
        <v>669.02000000001863</v>
      </c>
      <c r="BT264" s="201">
        <f t="shared" si="363"/>
        <v>669.02000000001863</v>
      </c>
      <c r="BU264" s="213">
        <f t="shared" si="313"/>
        <v>0</v>
      </c>
      <c r="BV264" s="201"/>
      <c r="BW264" s="201"/>
      <c r="BX264" s="201">
        <f t="shared" si="364"/>
        <v>0</v>
      </c>
      <c r="BY264" s="199">
        <v>52500</v>
      </c>
      <c r="BZ264" s="199">
        <v>225000</v>
      </c>
      <c r="CA264" s="199">
        <v>390000</v>
      </c>
      <c r="CB264" s="199">
        <v>82500</v>
      </c>
      <c r="CC264" s="199">
        <v>0</v>
      </c>
      <c r="CD264" s="199"/>
      <c r="CE264" s="199"/>
      <c r="CF264" s="199"/>
      <c r="CG264" s="199"/>
      <c r="CH264" s="199"/>
      <c r="CI264" s="199"/>
      <c r="CJ264" s="199"/>
      <c r="CK264" s="214" t="s">
        <v>755</v>
      </c>
      <c r="CL264" s="214" t="s">
        <v>610</v>
      </c>
      <c r="CM264" s="211">
        <v>198</v>
      </c>
      <c r="CN264" s="215"/>
      <c r="CO264" s="215"/>
      <c r="CP264" s="216"/>
      <c r="CQ264" s="217"/>
      <c r="CR264" s="211"/>
      <c r="CS264" s="218"/>
      <c r="CT264" s="218"/>
      <c r="CU264" s="218"/>
      <c r="CV264" s="211"/>
      <c r="CW264" s="211"/>
      <c r="CX264" s="211"/>
      <c r="CY264" s="211"/>
      <c r="CZ264" s="211"/>
      <c r="DA264" s="211"/>
      <c r="DB264" s="211"/>
      <c r="DC264" s="219"/>
      <c r="DD264" s="219"/>
      <c r="DE264" s="219"/>
      <c r="DF264" s="211"/>
      <c r="DG264" s="211"/>
      <c r="DH264" s="211"/>
      <c r="DI264" s="211"/>
      <c r="DJ264" s="211"/>
      <c r="DK264" s="220" t="s">
        <v>32</v>
      </c>
      <c r="DT264" s="222"/>
    </row>
    <row r="265" spans="1:124" s="176" customFormat="1" ht="63" x14ac:dyDescent="0.2">
      <c r="A265" s="195" t="s">
        <v>108</v>
      </c>
      <c r="B265" s="197" t="s">
        <v>756</v>
      </c>
      <c r="C265" s="198">
        <v>1</v>
      </c>
      <c r="D265" s="199">
        <v>990000</v>
      </c>
      <c r="E265" s="198" t="s">
        <v>741</v>
      </c>
      <c r="F265" s="198" t="s">
        <v>241</v>
      </c>
      <c r="G265" s="198" t="s">
        <v>98</v>
      </c>
      <c r="H265" s="200">
        <v>1</v>
      </c>
      <c r="I265" s="199">
        <f t="shared" si="329"/>
        <v>0</v>
      </c>
      <c r="J265" s="199">
        <f t="shared" si="330"/>
        <v>990000</v>
      </c>
      <c r="K265" s="199">
        <f t="shared" si="331"/>
        <v>990000</v>
      </c>
      <c r="L265" s="199"/>
      <c r="M265" s="199">
        <v>990000</v>
      </c>
      <c r="N265" s="199">
        <f t="shared" si="332"/>
        <v>990000</v>
      </c>
      <c r="O265" s="199"/>
      <c r="P265" s="201">
        <v>0</v>
      </c>
      <c r="Q265" s="202">
        <v>14</v>
      </c>
      <c r="R265" s="203">
        <v>45566</v>
      </c>
      <c r="S265" s="199"/>
      <c r="T265" s="199">
        <v>990000</v>
      </c>
      <c r="U265" s="204">
        <f t="shared" si="333"/>
        <v>990000</v>
      </c>
      <c r="V265" s="198"/>
      <c r="W265" s="206"/>
      <c r="X265" s="201"/>
      <c r="Y265" s="201"/>
      <c r="Z265" s="201">
        <f t="shared" si="334"/>
        <v>0</v>
      </c>
      <c r="AA265" s="198"/>
      <c r="AB265" s="206"/>
      <c r="AC265" s="207"/>
      <c r="AD265" s="201"/>
      <c r="AE265" s="204">
        <f t="shared" si="335"/>
        <v>0</v>
      </c>
      <c r="AF265" s="203">
        <f t="shared" si="336"/>
        <v>45566</v>
      </c>
      <c r="AG265" s="201">
        <f t="shared" si="337"/>
        <v>0</v>
      </c>
      <c r="AH265" s="199">
        <f t="shared" si="338"/>
        <v>990000</v>
      </c>
      <c r="AI265" s="199">
        <f t="shared" si="339"/>
        <v>990000</v>
      </c>
      <c r="AJ265" s="201">
        <f t="shared" si="365"/>
        <v>0</v>
      </c>
      <c r="AK265" s="201">
        <f t="shared" si="365"/>
        <v>990000</v>
      </c>
      <c r="AL265" s="201">
        <f t="shared" si="340"/>
        <v>990000</v>
      </c>
      <c r="AM265" s="198"/>
      <c r="AN265" s="203"/>
      <c r="AO265" s="208"/>
      <c r="AP265" s="201">
        <f t="shared" si="341"/>
        <v>0</v>
      </c>
      <c r="AQ265" s="201">
        <f t="shared" si="342"/>
        <v>987601.55</v>
      </c>
      <c r="AR265" s="201">
        <f t="shared" si="343"/>
        <v>987601.55</v>
      </c>
      <c r="AS265" s="201">
        <f t="shared" si="344"/>
        <v>99.757732323232318</v>
      </c>
      <c r="AT265" s="201"/>
      <c r="AU265" s="223">
        <v>987601.55</v>
      </c>
      <c r="AV265" s="201">
        <f t="shared" si="345"/>
        <v>987601.55</v>
      </c>
      <c r="AW265" s="322">
        <f t="shared" si="300"/>
        <v>0</v>
      </c>
      <c r="AX265" s="201">
        <f t="shared" si="346"/>
        <v>99.757732323232318</v>
      </c>
      <c r="AY265" s="208"/>
      <c r="AZ265" s="201">
        <f t="shared" si="347"/>
        <v>0</v>
      </c>
      <c r="BA265" s="201">
        <f t="shared" si="348"/>
        <v>0</v>
      </c>
      <c r="BB265" s="201">
        <f t="shared" si="349"/>
        <v>0</v>
      </c>
      <c r="BC265" s="201"/>
      <c r="BD265" s="223">
        <v>0</v>
      </c>
      <c r="BE265" s="201">
        <f t="shared" si="361"/>
        <v>0</v>
      </c>
      <c r="BF265" s="208"/>
      <c r="BG265" s="201">
        <f t="shared" si="366"/>
        <v>0</v>
      </c>
      <c r="BH265" s="201">
        <f t="shared" si="366"/>
        <v>987601.55</v>
      </c>
      <c r="BI265" s="201">
        <f t="shared" si="351"/>
        <v>987601.55</v>
      </c>
      <c r="BJ265" s="201">
        <f t="shared" si="352"/>
        <v>99.757732323232318</v>
      </c>
      <c r="BK265" s="210">
        <v>89</v>
      </c>
      <c r="BL265" s="224">
        <v>100</v>
      </c>
      <c r="BM265" s="211"/>
      <c r="BN265" s="211"/>
      <c r="BO265" s="212">
        <f t="shared" si="353"/>
        <v>0</v>
      </c>
      <c r="BP265" s="201">
        <f t="shared" si="354"/>
        <v>2398.4499999999534</v>
      </c>
      <c r="BQ265" s="201">
        <f t="shared" si="362"/>
        <v>2398.4499999999534</v>
      </c>
      <c r="BR265" s="201">
        <f t="shared" si="367"/>
        <v>0</v>
      </c>
      <c r="BS265" s="201">
        <f t="shared" si="367"/>
        <v>2398.4499999999534</v>
      </c>
      <c r="BT265" s="201">
        <f t="shared" si="363"/>
        <v>2398.4499999999534</v>
      </c>
      <c r="BU265" s="213">
        <f t="shared" si="313"/>
        <v>0</v>
      </c>
      <c r="BV265" s="201"/>
      <c r="BW265" s="201"/>
      <c r="BX265" s="201">
        <f t="shared" si="364"/>
        <v>0</v>
      </c>
      <c r="BY265" s="199">
        <v>69300</v>
      </c>
      <c r="BZ265" s="199">
        <v>297000</v>
      </c>
      <c r="CA265" s="199">
        <v>514800</v>
      </c>
      <c r="CB265" s="199">
        <v>108900</v>
      </c>
      <c r="CC265" s="199">
        <v>0</v>
      </c>
      <c r="CD265" s="199"/>
      <c r="CE265" s="199"/>
      <c r="CF265" s="199"/>
      <c r="CG265" s="199"/>
      <c r="CH265" s="199"/>
      <c r="CI265" s="199"/>
      <c r="CJ265" s="199"/>
      <c r="CK265" s="214" t="s">
        <v>757</v>
      </c>
      <c r="CL265" s="214" t="s">
        <v>610</v>
      </c>
      <c r="CM265" s="211">
        <v>198</v>
      </c>
      <c r="CN265" s="215"/>
      <c r="CO265" s="215"/>
      <c r="CP265" s="216"/>
      <c r="CQ265" s="217"/>
      <c r="CR265" s="211"/>
      <c r="CS265" s="218"/>
      <c r="CT265" s="218"/>
      <c r="CU265" s="218"/>
      <c r="CV265" s="211"/>
      <c r="CW265" s="211"/>
      <c r="CX265" s="211"/>
      <c r="CY265" s="211"/>
      <c r="CZ265" s="211"/>
      <c r="DA265" s="211"/>
      <c r="DB265" s="211"/>
      <c r="DC265" s="219"/>
      <c r="DD265" s="219"/>
      <c r="DE265" s="219"/>
      <c r="DF265" s="211"/>
      <c r="DG265" s="211"/>
      <c r="DH265" s="211"/>
      <c r="DI265" s="211"/>
      <c r="DJ265" s="211"/>
      <c r="DK265" s="220" t="s">
        <v>32</v>
      </c>
      <c r="DT265" s="222"/>
    </row>
    <row r="266" spans="1:124" s="176" customFormat="1" ht="42" x14ac:dyDescent="0.2">
      <c r="A266" s="195" t="s">
        <v>108</v>
      </c>
      <c r="B266" s="197" t="s">
        <v>758</v>
      </c>
      <c r="C266" s="198">
        <v>1</v>
      </c>
      <c r="D266" s="199">
        <v>850000</v>
      </c>
      <c r="E266" s="198" t="s">
        <v>321</v>
      </c>
      <c r="F266" s="198" t="s">
        <v>98</v>
      </c>
      <c r="G266" s="198" t="s">
        <v>98</v>
      </c>
      <c r="H266" s="200">
        <v>1</v>
      </c>
      <c r="I266" s="199">
        <f t="shared" si="329"/>
        <v>0</v>
      </c>
      <c r="J266" s="199">
        <f t="shared" si="330"/>
        <v>850000</v>
      </c>
      <c r="K266" s="199">
        <f t="shared" si="331"/>
        <v>850000</v>
      </c>
      <c r="L266" s="199"/>
      <c r="M266" s="199">
        <v>850000</v>
      </c>
      <c r="N266" s="199">
        <f t="shared" si="332"/>
        <v>850000</v>
      </c>
      <c r="O266" s="199"/>
      <c r="P266" s="201">
        <v>0</v>
      </c>
      <c r="Q266" s="202">
        <v>14</v>
      </c>
      <c r="R266" s="203">
        <v>45566</v>
      </c>
      <c r="S266" s="199"/>
      <c r="T266" s="199">
        <v>850000</v>
      </c>
      <c r="U266" s="204">
        <f t="shared" si="333"/>
        <v>850000</v>
      </c>
      <c r="V266" s="198"/>
      <c r="W266" s="206"/>
      <c r="X266" s="201"/>
      <c r="Y266" s="201"/>
      <c r="Z266" s="201">
        <f t="shared" si="334"/>
        <v>0</v>
      </c>
      <c r="AA266" s="198"/>
      <c r="AB266" s="206"/>
      <c r="AC266" s="207"/>
      <c r="AD266" s="201"/>
      <c r="AE266" s="204">
        <f t="shared" si="335"/>
        <v>0</v>
      </c>
      <c r="AF266" s="203">
        <f t="shared" si="336"/>
        <v>45566</v>
      </c>
      <c r="AG266" s="201">
        <f t="shared" si="337"/>
        <v>0</v>
      </c>
      <c r="AH266" s="199">
        <f t="shared" si="338"/>
        <v>850000</v>
      </c>
      <c r="AI266" s="199">
        <f t="shared" si="339"/>
        <v>850000</v>
      </c>
      <c r="AJ266" s="201">
        <f t="shared" si="365"/>
        <v>0</v>
      </c>
      <c r="AK266" s="201">
        <f t="shared" si="365"/>
        <v>850000</v>
      </c>
      <c r="AL266" s="201">
        <f t="shared" si="340"/>
        <v>850000</v>
      </c>
      <c r="AM266" s="198"/>
      <c r="AN266" s="203"/>
      <c r="AO266" s="208"/>
      <c r="AP266" s="201">
        <f t="shared" si="341"/>
        <v>0</v>
      </c>
      <c r="AQ266" s="201">
        <f t="shared" si="342"/>
        <v>849886.1</v>
      </c>
      <c r="AR266" s="201">
        <f t="shared" si="343"/>
        <v>849886.1</v>
      </c>
      <c r="AS266" s="201">
        <f t="shared" si="344"/>
        <v>99.986599999999996</v>
      </c>
      <c r="AT266" s="201"/>
      <c r="AU266" s="223">
        <v>849886.1</v>
      </c>
      <c r="AV266" s="201">
        <f t="shared" si="345"/>
        <v>849886.1</v>
      </c>
      <c r="AW266" s="322">
        <f t="shared" ref="AW266:AW357" si="368">+CF266*100/AL266</f>
        <v>0</v>
      </c>
      <c r="AX266" s="201">
        <f t="shared" si="346"/>
        <v>99.986599999999996</v>
      </c>
      <c r="AY266" s="208"/>
      <c r="AZ266" s="201">
        <f t="shared" si="347"/>
        <v>0</v>
      </c>
      <c r="BA266" s="201">
        <f t="shared" si="348"/>
        <v>0</v>
      </c>
      <c r="BB266" s="201">
        <f t="shared" si="349"/>
        <v>0</v>
      </c>
      <c r="BC266" s="201"/>
      <c r="BD266" s="223">
        <v>0</v>
      </c>
      <c r="BE266" s="201">
        <f t="shared" si="361"/>
        <v>0</v>
      </c>
      <c r="BF266" s="208"/>
      <c r="BG266" s="201">
        <f t="shared" si="366"/>
        <v>0</v>
      </c>
      <c r="BH266" s="201">
        <f t="shared" si="366"/>
        <v>849886.1</v>
      </c>
      <c r="BI266" s="201">
        <f t="shared" si="351"/>
        <v>849886.1</v>
      </c>
      <c r="BJ266" s="201">
        <f t="shared" si="352"/>
        <v>99.986599999999996</v>
      </c>
      <c r="BK266" s="210">
        <v>89</v>
      </c>
      <c r="BL266" s="224">
        <v>100</v>
      </c>
      <c r="BM266" s="211"/>
      <c r="BN266" s="211"/>
      <c r="BO266" s="212">
        <f t="shared" si="353"/>
        <v>0</v>
      </c>
      <c r="BP266" s="201">
        <f t="shared" si="354"/>
        <v>113.90000000002328</v>
      </c>
      <c r="BQ266" s="201">
        <f t="shared" si="362"/>
        <v>113.90000000002328</v>
      </c>
      <c r="BR266" s="201">
        <f t="shared" si="367"/>
        <v>0</v>
      </c>
      <c r="BS266" s="201">
        <f t="shared" si="367"/>
        <v>113.90000000002328</v>
      </c>
      <c r="BT266" s="201">
        <f t="shared" si="363"/>
        <v>113.90000000002328</v>
      </c>
      <c r="BU266" s="213">
        <f t="shared" ref="BU266:BU357" si="369">+AO266-AY266</f>
        <v>0</v>
      </c>
      <c r="BV266" s="201"/>
      <c r="BW266" s="201"/>
      <c r="BX266" s="201">
        <f t="shared" si="364"/>
        <v>0</v>
      </c>
      <c r="BY266" s="199">
        <v>59500</v>
      </c>
      <c r="BZ266" s="199">
        <v>255000</v>
      </c>
      <c r="CA266" s="199">
        <v>442000</v>
      </c>
      <c r="CB266" s="199">
        <v>93500</v>
      </c>
      <c r="CC266" s="199">
        <v>0</v>
      </c>
      <c r="CD266" s="199"/>
      <c r="CE266" s="199"/>
      <c r="CF266" s="199"/>
      <c r="CG266" s="199"/>
      <c r="CH266" s="199"/>
      <c r="CI266" s="199"/>
      <c r="CJ266" s="199"/>
      <c r="CK266" s="214" t="s">
        <v>759</v>
      </c>
      <c r="CL266" s="214" t="s">
        <v>610</v>
      </c>
      <c r="CM266" s="211">
        <v>198</v>
      </c>
      <c r="CN266" s="215"/>
      <c r="CO266" s="215"/>
      <c r="CP266" s="216"/>
      <c r="CQ266" s="217"/>
      <c r="CR266" s="211"/>
      <c r="CS266" s="218"/>
      <c r="CT266" s="218"/>
      <c r="CU266" s="218"/>
      <c r="CV266" s="211"/>
      <c r="CW266" s="211"/>
      <c r="CX266" s="211"/>
      <c r="CY266" s="211"/>
      <c r="CZ266" s="211"/>
      <c r="DA266" s="211"/>
      <c r="DB266" s="211"/>
      <c r="DC266" s="219"/>
      <c r="DD266" s="219"/>
      <c r="DE266" s="219"/>
      <c r="DF266" s="211"/>
      <c r="DG266" s="211"/>
      <c r="DH266" s="211"/>
      <c r="DI266" s="211"/>
      <c r="DJ266" s="211"/>
      <c r="DK266" s="220" t="s">
        <v>32</v>
      </c>
      <c r="DT266" s="222"/>
    </row>
    <row r="267" spans="1:124" s="176" customFormat="1" ht="42" x14ac:dyDescent="0.2">
      <c r="A267" s="294" t="s">
        <v>94</v>
      </c>
      <c r="B267" s="197" t="s">
        <v>760</v>
      </c>
      <c r="C267" s="198">
        <v>1</v>
      </c>
      <c r="D267" s="199">
        <v>1450000</v>
      </c>
      <c r="E267" s="198" t="s">
        <v>761</v>
      </c>
      <c r="F267" s="198" t="s">
        <v>97</v>
      </c>
      <c r="G267" s="198" t="s">
        <v>98</v>
      </c>
      <c r="H267" s="200">
        <v>1</v>
      </c>
      <c r="I267" s="199">
        <f t="shared" si="329"/>
        <v>0</v>
      </c>
      <c r="J267" s="199">
        <f t="shared" si="330"/>
        <v>1450000</v>
      </c>
      <c r="K267" s="199">
        <f t="shared" si="331"/>
        <v>1450000</v>
      </c>
      <c r="L267" s="199"/>
      <c r="M267" s="199">
        <v>1450000</v>
      </c>
      <c r="N267" s="199">
        <f t="shared" si="332"/>
        <v>1450000</v>
      </c>
      <c r="O267" s="199"/>
      <c r="P267" s="201">
        <v>0</v>
      </c>
      <c r="Q267" s="202">
        <v>14</v>
      </c>
      <c r="R267" s="203">
        <v>45566</v>
      </c>
      <c r="S267" s="199"/>
      <c r="T267" s="199">
        <v>1450000</v>
      </c>
      <c r="U267" s="204">
        <f t="shared" si="333"/>
        <v>1450000</v>
      </c>
      <c r="V267" s="198"/>
      <c r="W267" s="206"/>
      <c r="X267" s="201"/>
      <c r="Y267" s="201">
        <v>-2844.29000000003</v>
      </c>
      <c r="Z267" s="201">
        <f t="shared" si="334"/>
        <v>-2844.29000000003</v>
      </c>
      <c r="AA267" s="198"/>
      <c r="AB267" s="206"/>
      <c r="AC267" s="207"/>
      <c r="AD267" s="201"/>
      <c r="AE267" s="204">
        <f t="shared" si="335"/>
        <v>0</v>
      </c>
      <c r="AF267" s="203">
        <f t="shared" si="336"/>
        <v>45566</v>
      </c>
      <c r="AG267" s="201">
        <f t="shared" si="337"/>
        <v>0</v>
      </c>
      <c r="AH267" s="199">
        <f t="shared" si="338"/>
        <v>1447155.71</v>
      </c>
      <c r="AI267" s="199">
        <f t="shared" si="339"/>
        <v>1447155.71</v>
      </c>
      <c r="AJ267" s="201">
        <f t="shared" si="365"/>
        <v>0</v>
      </c>
      <c r="AK267" s="201">
        <f t="shared" si="365"/>
        <v>1447155.71</v>
      </c>
      <c r="AL267" s="201">
        <f t="shared" si="340"/>
        <v>1447155.71</v>
      </c>
      <c r="AM267" s="198"/>
      <c r="AN267" s="203"/>
      <c r="AO267" s="208"/>
      <c r="AP267" s="201">
        <f t="shared" si="341"/>
        <v>0</v>
      </c>
      <c r="AQ267" s="201">
        <f t="shared" si="342"/>
        <v>1447155.71</v>
      </c>
      <c r="AR267" s="201">
        <f t="shared" si="343"/>
        <v>1447155.71</v>
      </c>
      <c r="AS267" s="201">
        <f t="shared" si="344"/>
        <v>100</v>
      </c>
      <c r="AT267" s="201"/>
      <c r="AU267" s="209">
        <v>1447155.71</v>
      </c>
      <c r="AV267" s="201">
        <f t="shared" si="345"/>
        <v>1447155.71</v>
      </c>
      <c r="AW267" s="322">
        <f t="shared" si="368"/>
        <v>0</v>
      </c>
      <c r="AX267" s="201">
        <f t="shared" si="346"/>
        <v>100</v>
      </c>
      <c r="AY267" s="208"/>
      <c r="AZ267" s="201">
        <f t="shared" si="347"/>
        <v>0</v>
      </c>
      <c r="BA267" s="201">
        <f t="shared" si="348"/>
        <v>0</v>
      </c>
      <c r="BB267" s="201">
        <f t="shared" si="349"/>
        <v>0</v>
      </c>
      <c r="BC267" s="201"/>
      <c r="BD267" s="209">
        <v>0</v>
      </c>
      <c r="BE267" s="201">
        <f t="shared" si="361"/>
        <v>0</v>
      </c>
      <c r="BF267" s="208"/>
      <c r="BG267" s="201">
        <f t="shared" si="366"/>
        <v>0</v>
      </c>
      <c r="BH267" s="201">
        <f t="shared" si="366"/>
        <v>1447155.71</v>
      </c>
      <c r="BI267" s="201">
        <f t="shared" si="351"/>
        <v>1447155.71</v>
      </c>
      <c r="BJ267" s="201">
        <f t="shared" si="352"/>
        <v>100</v>
      </c>
      <c r="BK267" s="201">
        <v>30</v>
      </c>
      <c r="BL267" s="210">
        <v>100</v>
      </c>
      <c r="BM267" s="211"/>
      <c r="BN267" s="211"/>
      <c r="BO267" s="212">
        <f t="shared" si="353"/>
        <v>0</v>
      </c>
      <c r="BP267" s="201">
        <f t="shared" si="354"/>
        <v>0</v>
      </c>
      <c r="BQ267" s="201">
        <f t="shared" si="362"/>
        <v>0</v>
      </c>
      <c r="BR267" s="201">
        <f t="shared" si="367"/>
        <v>0</v>
      </c>
      <c r="BS267" s="201">
        <f t="shared" si="367"/>
        <v>0</v>
      </c>
      <c r="BT267" s="201">
        <f t="shared" si="363"/>
        <v>0</v>
      </c>
      <c r="BU267" s="213">
        <f t="shared" si="369"/>
        <v>0</v>
      </c>
      <c r="BV267" s="201">
        <v>2844.2900000000373</v>
      </c>
      <c r="BW267" s="201"/>
      <c r="BX267" s="201">
        <f t="shared" si="364"/>
        <v>2844.2900000000373</v>
      </c>
      <c r="BY267" s="199">
        <v>483300</v>
      </c>
      <c r="BZ267" s="199">
        <v>483300</v>
      </c>
      <c r="CA267" s="199">
        <v>483400</v>
      </c>
      <c r="CB267" s="199">
        <v>0</v>
      </c>
      <c r="CC267" s="199">
        <v>0</v>
      </c>
      <c r="CD267" s="199"/>
      <c r="CE267" s="199"/>
      <c r="CF267" s="199"/>
      <c r="CG267" s="199"/>
      <c r="CH267" s="199"/>
      <c r="CI267" s="199"/>
      <c r="CJ267" s="199"/>
      <c r="CK267" s="214" t="s">
        <v>762</v>
      </c>
      <c r="CL267" s="214" t="s">
        <v>610</v>
      </c>
      <c r="CM267" s="211">
        <v>198</v>
      </c>
      <c r="CN267" s="215"/>
      <c r="CO267" s="215"/>
      <c r="CP267" s="216"/>
      <c r="CQ267" s="217"/>
      <c r="CR267" s="211"/>
      <c r="CS267" s="218"/>
      <c r="CT267" s="218"/>
      <c r="CU267" s="218"/>
      <c r="CV267" s="211"/>
      <c r="CW267" s="211"/>
      <c r="CX267" s="211"/>
      <c r="CY267" s="211"/>
      <c r="CZ267" s="211"/>
      <c r="DA267" s="211"/>
      <c r="DB267" s="211"/>
      <c r="DC267" s="219"/>
      <c r="DD267" s="219"/>
      <c r="DE267" s="219"/>
      <c r="DF267" s="211"/>
      <c r="DG267" s="211"/>
      <c r="DH267" s="211"/>
      <c r="DI267" s="211"/>
      <c r="DJ267" s="211"/>
      <c r="DK267" s="220" t="s">
        <v>32</v>
      </c>
      <c r="DT267" s="222"/>
    </row>
    <row r="268" spans="1:124" s="176" customFormat="1" ht="42" x14ac:dyDescent="0.2">
      <c r="A268" s="294" t="s">
        <v>94</v>
      </c>
      <c r="B268" s="197" t="s">
        <v>763</v>
      </c>
      <c r="C268" s="198">
        <v>1</v>
      </c>
      <c r="D268" s="199">
        <v>2100000</v>
      </c>
      <c r="E268" s="198" t="s">
        <v>764</v>
      </c>
      <c r="F268" s="198" t="s">
        <v>111</v>
      </c>
      <c r="G268" s="198" t="s">
        <v>98</v>
      </c>
      <c r="H268" s="200">
        <v>1</v>
      </c>
      <c r="I268" s="199">
        <f t="shared" si="329"/>
        <v>0</v>
      </c>
      <c r="J268" s="199">
        <f t="shared" si="330"/>
        <v>2100000</v>
      </c>
      <c r="K268" s="199">
        <f t="shared" si="331"/>
        <v>2100000</v>
      </c>
      <c r="L268" s="199"/>
      <c r="M268" s="199">
        <v>2100000</v>
      </c>
      <c r="N268" s="199">
        <f t="shared" si="332"/>
        <v>2100000</v>
      </c>
      <c r="O268" s="199"/>
      <c r="P268" s="201">
        <v>0</v>
      </c>
      <c r="Q268" s="202">
        <v>14</v>
      </c>
      <c r="R268" s="203">
        <v>45566</v>
      </c>
      <c r="S268" s="199"/>
      <c r="T268" s="199">
        <v>2100000</v>
      </c>
      <c r="U268" s="204">
        <f t="shared" si="333"/>
        <v>2100000</v>
      </c>
      <c r="V268" s="198"/>
      <c r="W268" s="206"/>
      <c r="X268" s="201"/>
      <c r="Y268" s="201">
        <v>-3577.6399999998898</v>
      </c>
      <c r="Z268" s="201">
        <f t="shared" si="334"/>
        <v>-3577.6399999998898</v>
      </c>
      <c r="AA268" s="198"/>
      <c r="AB268" s="206"/>
      <c r="AC268" s="207"/>
      <c r="AD268" s="201"/>
      <c r="AE268" s="204">
        <f t="shared" si="335"/>
        <v>0</v>
      </c>
      <c r="AF268" s="203">
        <f t="shared" si="336"/>
        <v>45566</v>
      </c>
      <c r="AG268" s="201">
        <f t="shared" si="337"/>
        <v>0</v>
      </c>
      <c r="AH268" s="199">
        <f t="shared" si="338"/>
        <v>2096422.36</v>
      </c>
      <c r="AI268" s="199">
        <f t="shared" si="339"/>
        <v>2096422.36</v>
      </c>
      <c r="AJ268" s="201">
        <f t="shared" si="365"/>
        <v>0</v>
      </c>
      <c r="AK268" s="201">
        <f t="shared" si="365"/>
        <v>2096422.36</v>
      </c>
      <c r="AL268" s="201">
        <f t="shared" si="340"/>
        <v>2096422.36</v>
      </c>
      <c r="AM268" s="198"/>
      <c r="AN268" s="203"/>
      <c r="AO268" s="208"/>
      <c r="AP268" s="201">
        <f t="shared" si="341"/>
        <v>0</v>
      </c>
      <c r="AQ268" s="201">
        <f t="shared" si="342"/>
        <v>2096422.36</v>
      </c>
      <c r="AR268" s="201">
        <f t="shared" si="343"/>
        <v>2096422.36</v>
      </c>
      <c r="AS268" s="201">
        <f t="shared" si="344"/>
        <v>100</v>
      </c>
      <c r="AT268" s="201"/>
      <c r="AU268" s="209">
        <v>2096422.36</v>
      </c>
      <c r="AV268" s="201">
        <f t="shared" si="345"/>
        <v>2096422.36</v>
      </c>
      <c r="AW268" s="322">
        <f t="shared" si="368"/>
        <v>0</v>
      </c>
      <c r="AX268" s="201">
        <f t="shared" si="346"/>
        <v>100</v>
      </c>
      <c r="AY268" s="208"/>
      <c r="AZ268" s="201">
        <f t="shared" si="347"/>
        <v>0</v>
      </c>
      <c r="BA268" s="201">
        <f t="shared" si="348"/>
        <v>0</v>
      </c>
      <c r="BB268" s="201">
        <f t="shared" si="349"/>
        <v>0</v>
      </c>
      <c r="BC268" s="201"/>
      <c r="BD268" s="209">
        <v>0</v>
      </c>
      <c r="BE268" s="201">
        <f t="shared" si="361"/>
        <v>0</v>
      </c>
      <c r="BF268" s="208"/>
      <c r="BG268" s="201">
        <f t="shared" si="366"/>
        <v>0</v>
      </c>
      <c r="BH268" s="201">
        <f t="shared" si="366"/>
        <v>2096422.36</v>
      </c>
      <c r="BI268" s="201">
        <f t="shared" si="351"/>
        <v>2096422.36</v>
      </c>
      <c r="BJ268" s="201">
        <f t="shared" si="352"/>
        <v>100</v>
      </c>
      <c r="BK268" s="201">
        <v>20</v>
      </c>
      <c r="BL268" s="210">
        <v>100</v>
      </c>
      <c r="BM268" s="211"/>
      <c r="BN268" s="211"/>
      <c r="BO268" s="212">
        <f t="shared" si="353"/>
        <v>0</v>
      </c>
      <c r="BP268" s="201">
        <f t="shared" si="354"/>
        <v>0</v>
      </c>
      <c r="BQ268" s="201">
        <f t="shared" si="362"/>
        <v>0</v>
      </c>
      <c r="BR268" s="201">
        <f t="shared" si="367"/>
        <v>0</v>
      </c>
      <c r="BS268" s="201">
        <f t="shared" si="367"/>
        <v>0</v>
      </c>
      <c r="BT268" s="201">
        <f t="shared" si="363"/>
        <v>0</v>
      </c>
      <c r="BU268" s="213">
        <f t="shared" si="369"/>
        <v>0</v>
      </c>
      <c r="BV268" s="201">
        <v>3577.6399999998976</v>
      </c>
      <c r="BW268" s="201"/>
      <c r="BX268" s="201">
        <f t="shared" si="364"/>
        <v>3577.6399999998976</v>
      </c>
      <c r="BY268" s="199">
        <v>700000</v>
      </c>
      <c r="BZ268" s="199">
        <v>700000</v>
      </c>
      <c r="CA268" s="199">
        <v>700000</v>
      </c>
      <c r="CB268" s="199">
        <v>0</v>
      </c>
      <c r="CC268" s="199">
        <v>0</v>
      </c>
      <c r="CD268" s="199"/>
      <c r="CE268" s="199"/>
      <c r="CF268" s="199"/>
      <c r="CG268" s="199"/>
      <c r="CH268" s="199"/>
      <c r="CI268" s="199"/>
      <c r="CJ268" s="199"/>
      <c r="CK268" s="214" t="s">
        <v>765</v>
      </c>
      <c r="CL268" s="214" t="s">
        <v>610</v>
      </c>
      <c r="CM268" s="211">
        <v>198</v>
      </c>
      <c r="CN268" s="215"/>
      <c r="CO268" s="215"/>
      <c r="CP268" s="216"/>
      <c r="CQ268" s="217"/>
      <c r="CR268" s="211"/>
      <c r="CS268" s="218"/>
      <c r="CT268" s="218"/>
      <c r="CU268" s="218"/>
      <c r="CV268" s="211"/>
      <c r="CW268" s="211"/>
      <c r="CX268" s="211"/>
      <c r="CY268" s="211"/>
      <c r="CZ268" s="211"/>
      <c r="DA268" s="211"/>
      <c r="DB268" s="211"/>
      <c r="DC268" s="219"/>
      <c r="DD268" s="219"/>
      <c r="DE268" s="219"/>
      <c r="DF268" s="211"/>
      <c r="DG268" s="211"/>
      <c r="DH268" s="211"/>
      <c r="DI268" s="211"/>
      <c r="DJ268" s="211"/>
      <c r="DK268" s="220" t="s">
        <v>32</v>
      </c>
      <c r="DT268" s="222"/>
    </row>
    <row r="269" spans="1:124" s="176" customFormat="1" ht="42" x14ac:dyDescent="0.2">
      <c r="A269" s="294" t="s">
        <v>94</v>
      </c>
      <c r="B269" s="197" t="s">
        <v>766</v>
      </c>
      <c r="C269" s="198">
        <v>1</v>
      </c>
      <c r="D269" s="199">
        <v>970000</v>
      </c>
      <c r="E269" s="198" t="s">
        <v>767</v>
      </c>
      <c r="F269" s="198" t="s">
        <v>111</v>
      </c>
      <c r="G269" s="198" t="s">
        <v>98</v>
      </c>
      <c r="H269" s="200">
        <v>1</v>
      </c>
      <c r="I269" s="199">
        <f t="shared" si="329"/>
        <v>0</v>
      </c>
      <c r="J269" s="199">
        <f t="shared" si="330"/>
        <v>970000</v>
      </c>
      <c r="K269" s="199">
        <f t="shared" si="331"/>
        <v>970000</v>
      </c>
      <c r="L269" s="199"/>
      <c r="M269" s="199">
        <v>970000</v>
      </c>
      <c r="N269" s="199">
        <f t="shared" si="332"/>
        <v>970000</v>
      </c>
      <c r="O269" s="199"/>
      <c r="P269" s="201">
        <v>0</v>
      </c>
      <c r="Q269" s="202">
        <v>14</v>
      </c>
      <c r="R269" s="203">
        <v>45566</v>
      </c>
      <c r="S269" s="199"/>
      <c r="T269" s="199">
        <v>970000</v>
      </c>
      <c r="U269" s="204">
        <f t="shared" si="333"/>
        <v>970000</v>
      </c>
      <c r="V269" s="198">
        <v>2340</v>
      </c>
      <c r="W269" s="206">
        <v>45779</v>
      </c>
      <c r="X269" s="201"/>
      <c r="Y269" s="201">
        <v>-94653</v>
      </c>
      <c r="Z269" s="201">
        <f t="shared" si="334"/>
        <v>-94653</v>
      </c>
      <c r="AA269" s="198"/>
      <c r="AB269" s="206"/>
      <c r="AC269" s="207"/>
      <c r="AD269" s="201">
        <v>-4969.9000000000196</v>
      </c>
      <c r="AE269" s="204">
        <f t="shared" si="335"/>
        <v>-4969.9000000000196</v>
      </c>
      <c r="AF269" s="203">
        <f t="shared" si="336"/>
        <v>45566</v>
      </c>
      <c r="AG269" s="201">
        <f t="shared" si="337"/>
        <v>0</v>
      </c>
      <c r="AH269" s="199">
        <f t="shared" si="338"/>
        <v>870377.1</v>
      </c>
      <c r="AI269" s="199">
        <f t="shared" si="339"/>
        <v>870377.1</v>
      </c>
      <c r="AJ269" s="201">
        <f t="shared" si="365"/>
        <v>0</v>
      </c>
      <c r="AK269" s="201">
        <f t="shared" si="365"/>
        <v>870377.1</v>
      </c>
      <c r="AL269" s="201">
        <f t="shared" si="340"/>
        <v>870377.1</v>
      </c>
      <c r="AM269" s="198"/>
      <c r="AN269" s="203"/>
      <c r="AO269" s="208"/>
      <c r="AP269" s="201">
        <f t="shared" si="341"/>
        <v>0</v>
      </c>
      <c r="AQ269" s="201">
        <f t="shared" si="342"/>
        <v>870377.1</v>
      </c>
      <c r="AR269" s="201">
        <f t="shared" si="343"/>
        <v>870377.1</v>
      </c>
      <c r="AS269" s="201">
        <f t="shared" si="344"/>
        <v>100</v>
      </c>
      <c r="AT269" s="201"/>
      <c r="AU269" s="209">
        <v>870377.1</v>
      </c>
      <c r="AV269" s="201">
        <f t="shared" si="345"/>
        <v>870377.1</v>
      </c>
      <c r="AW269" s="322">
        <f t="shared" si="368"/>
        <v>0</v>
      </c>
      <c r="AX269" s="201">
        <f t="shared" si="346"/>
        <v>100</v>
      </c>
      <c r="AY269" s="208"/>
      <c r="AZ269" s="201">
        <f t="shared" si="347"/>
        <v>0</v>
      </c>
      <c r="BA269" s="201">
        <f t="shared" si="348"/>
        <v>0</v>
      </c>
      <c r="BB269" s="201">
        <f t="shared" si="349"/>
        <v>0</v>
      </c>
      <c r="BC269" s="201"/>
      <c r="BD269" s="209">
        <v>0</v>
      </c>
      <c r="BE269" s="201">
        <f t="shared" si="361"/>
        <v>0</v>
      </c>
      <c r="BF269" s="208"/>
      <c r="BG269" s="201">
        <f t="shared" si="366"/>
        <v>0</v>
      </c>
      <c r="BH269" s="201">
        <f t="shared" si="366"/>
        <v>870377.1</v>
      </c>
      <c r="BI269" s="201">
        <f t="shared" si="351"/>
        <v>870377.1</v>
      </c>
      <c r="BJ269" s="201">
        <f t="shared" si="352"/>
        <v>100</v>
      </c>
      <c r="BK269" s="201">
        <v>60</v>
      </c>
      <c r="BL269" s="210">
        <v>85</v>
      </c>
      <c r="BM269" s="211"/>
      <c r="BN269" s="211"/>
      <c r="BO269" s="212">
        <f t="shared" si="353"/>
        <v>0</v>
      </c>
      <c r="BP269" s="201">
        <f t="shared" si="354"/>
        <v>0</v>
      </c>
      <c r="BQ269" s="201">
        <f t="shared" si="362"/>
        <v>0</v>
      </c>
      <c r="BR269" s="201">
        <f t="shared" si="367"/>
        <v>0</v>
      </c>
      <c r="BS269" s="201">
        <f t="shared" si="367"/>
        <v>0</v>
      </c>
      <c r="BT269" s="201">
        <f t="shared" si="363"/>
        <v>0</v>
      </c>
      <c r="BU269" s="213">
        <f t="shared" si="369"/>
        <v>0</v>
      </c>
      <c r="BV269" s="201">
        <f>94653+4969.9</f>
        <v>99622.9</v>
      </c>
      <c r="BW269" s="201"/>
      <c r="BX269" s="201">
        <f t="shared" si="364"/>
        <v>99622.9</v>
      </c>
      <c r="BY269" s="199">
        <v>323300</v>
      </c>
      <c r="BZ269" s="199">
        <v>323300</v>
      </c>
      <c r="CA269" s="199">
        <v>323400</v>
      </c>
      <c r="CB269" s="199">
        <v>0</v>
      </c>
      <c r="CC269" s="199">
        <v>0</v>
      </c>
      <c r="CD269" s="199"/>
      <c r="CE269" s="199"/>
      <c r="CF269" s="199"/>
      <c r="CG269" s="199"/>
      <c r="CH269" s="199"/>
      <c r="CI269" s="199"/>
      <c r="CJ269" s="199"/>
      <c r="CK269" s="214" t="s">
        <v>768</v>
      </c>
      <c r="CL269" s="214" t="s">
        <v>610</v>
      </c>
      <c r="CM269" s="211">
        <v>198</v>
      </c>
      <c r="CN269" s="215"/>
      <c r="CO269" s="215"/>
      <c r="CP269" s="216"/>
      <c r="CQ269" s="217"/>
      <c r="CR269" s="211"/>
      <c r="CS269" s="218"/>
      <c r="CT269" s="218"/>
      <c r="CU269" s="218"/>
      <c r="CV269" s="211"/>
      <c r="CW269" s="211"/>
      <c r="CX269" s="211"/>
      <c r="CY269" s="211"/>
      <c r="CZ269" s="211"/>
      <c r="DA269" s="211"/>
      <c r="DB269" s="211"/>
      <c r="DC269" s="219"/>
      <c r="DD269" s="219"/>
      <c r="DE269" s="219"/>
      <c r="DF269" s="211"/>
      <c r="DG269" s="211"/>
      <c r="DH269" s="211"/>
      <c r="DI269" s="211"/>
      <c r="DJ269" s="211"/>
      <c r="DK269" s="220" t="s">
        <v>32</v>
      </c>
      <c r="DT269" s="222"/>
    </row>
    <row r="270" spans="1:124" s="176" customFormat="1" ht="42" x14ac:dyDescent="0.2">
      <c r="A270" s="196" t="s">
        <v>94</v>
      </c>
      <c r="B270" s="197" t="s">
        <v>769</v>
      </c>
      <c r="C270" s="198">
        <v>1</v>
      </c>
      <c r="D270" s="199">
        <v>995000</v>
      </c>
      <c r="E270" s="198" t="s">
        <v>134</v>
      </c>
      <c r="F270" s="198" t="s">
        <v>97</v>
      </c>
      <c r="G270" s="198" t="s">
        <v>98</v>
      </c>
      <c r="H270" s="200">
        <v>1</v>
      </c>
      <c r="I270" s="199">
        <f t="shared" si="329"/>
        <v>979000</v>
      </c>
      <c r="J270" s="199">
        <f t="shared" si="330"/>
        <v>16000</v>
      </c>
      <c r="K270" s="199">
        <f t="shared" si="331"/>
        <v>995000</v>
      </c>
      <c r="L270" s="199">
        <v>979000</v>
      </c>
      <c r="M270" s="199">
        <v>16000</v>
      </c>
      <c r="N270" s="199">
        <f t="shared" si="332"/>
        <v>995000</v>
      </c>
      <c r="O270" s="199"/>
      <c r="P270" s="201">
        <v>0</v>
      </c>
      <c r="Q270" s="202">
        <v>706</v>
      </c>
      <c r="R270" s="203">
        <v>45623</v>
      </c>
      <c r="S270" s="199">
        <v>658111</v>
      </c>
      <c r="T270" s="199">
        <v>11517</v>
      </c>
      <c r="U270" s="204">
        <f t="shared" si="333"/>
        <v>669628</v>
      </c>
      <c r="V270" s="198"/>
      <c r="W270" s="206"/>
      <c r="X270" s="201">
        <v>-0.05</v>
      </c>
      <c r="Y270" s="201">
        <v>-34</v>
      </c>
      <c r="Z270" s="201">
        <f t="shared" si="334"/>
        <v>-34.049999999999997</v>
      </c>
      <c r="AA270" s="198"/>
      <c r="AB270" s="206"/>
      <c r="AC270" s="207"/>
      <c r="AD270" s="201"/>
      <c r="AE270" s="204">
        <f t="shared" si="335"/>
        <v>0</v>
      </c>
      <c r="AF270" s="203">
        <f t="shared" si="336"/>
        <v>45623</v>
      </c>
      <c r="AG270" s="201">
        <f t="shared" si="337"/>
        <v>658110.94999999995</v>
      </c>
      <c r="AH270" s="199">
        <f t="shared" si="338"/>
        <v>11483</v>
      </c>
      <c r="AI270" s="199">
        <f t="shared" si="339"/>
        <v>669593.94999999995</v>
      </c>
      <c r="AJ270" s="201">
        <f t="shared" si="365"/>
        <v>658110.94999999995</v>
      </c>
      <c r="AK270" s="201">
        <f t="shared" si="365"/>
        <v>11483</v>
      </c>
      <c r="AL270" s="201">
        <f t="shared" si="340"/>
        <v>669593.94999999995</v>
      </c>
      <c r="AM270" s="198"/>
      <c r="AN270" s="203"/>
      <c r="AO270" s="208"/>
      <c r="AP270" s="201">
        <f t="shared" si="341"/>
        <v>658110.94999999995</v>
      </c>
      <c r="AQ270" s="201">
        <f t="shared" si="342"/>
        <v>11483</v>
      </c>
      <c r="AR270" s="201">
        <f t="shared" si="343"/>
        <v>669593.94999999995</v>
      </c>
      <c r="AS270" s="201">
        <f t="shared" si="344"/>
        <v>100</v>
      </c>
      <c r="AT270" s="201">
        <v>658110.94999999995</v>
      </c>
      <c r="AU270" s="209">
        <f>669593.95-AT270</f>
        <v>11483</v>
      </c>
      <c r="AV270" s="201">
        <f t="shared" si="345"/>
        <v>669593.94999999995</v>
      </c>
      <c r="AW270" s="322">
        <f t="shared" si="368"/>
        <v>0</v>
      </c>
      <c r="AX270" s="201">
        <f t="shared" si="346"/>
        <v>100</v>
      </c>
      <c r="AY270" s="208"/>
      <c r="AZ270" s="201">
        <f t="shared" si="347"/>
        <v>0</v>
      </c>
      <c r="BA270" s="201">
        <f t="shared" si="348"/>
        <v>0</v>
      </c>
      <c r="BB270" s="201">
        <f t="shared" si="349"/>
        <v>0</v>
      </c>
      <c r="BC270" s="201"/>
      <c r="BD270" s="209">
        <v>0</v>
      </c>
      <c r="BE270" s="201">
        <f t="shared" si="361"/>
        <v>0</v>
      </c>
      <c r="BF270" s="208"/>
      <c r="BG270" s="201">
        <f t="shared" si="366"/>
        <v>658110.94999999995</v>
      </c>
      <c r="BH270" s="201">
        <f t="shared" si="366"/>
        <v>11483</v>
      </c>
      <c r="BI270" s="201">
        <f t="shared" si="351"/>
        <v>669593.94999999995</v>
      </c>
      <c r="BJ270" s="201">
        <f t="shared" si="352"/>
        <v>100</v>
      </c>
      <c r="BK270" s="201">
        <v>20</v>
      </c>
      <c r="BL270" s="210">
        <v>100</v>
      </c>
      <c r="BM270" s="211"/>
      <c r="BN270" s="211"/>
      <c r="BO270" s="212">
        <f t="shared" si="353"/>
        <v>0</v>
      </c>
      <c r="BP270" s="201">
        <f t="shared" si="354"/>
        <v>0</v>
      </c>
      <c r="BQ270" s="201">
        <f t="shared" si="362"/>
        <v>0</v>
      </c>
      <c r="BR270" s="201">
        <f t="shared" si="367"/>
        <v>0</v>
      </c>
      <c r="BS270" s="201">
        <f t="shared" si="367"/>
        <v>0</v>
      </c>
      <c r="BT270" s="201">
        <f t="shared" si="363"/>
        <v>0</v>
      </c>
      <c r="BU270" s="213">
        <f t="shared" si="369"/>
        <v>0</v>
      </c>
      <c r="BV270" s="201">
        <v>34.050000000046566</v>
      </c>
      <c r="BW270" s="201"/>
      <c r="BX270" s="201">
        <f t="shared" si="364"/>
        <v>34.050000000046566</v>
      </c>
      <c r="BY270" s="199"/>
      <c r="BZ270" s="199"/>
      <c r="CA270" s="199">
        <v>995000</v>
      </c>
      <c r="CB270" s="199">
        <v>0</v>
      </c>
      <c r="CC270" s="199">
        <v>0</v>
      </c>
      <c r="CD270" s="199">
        <v>0</v>
      </c>
      <c r="CE270" s="199"/>
      <c r="CF270" s="199"/>
      <c r="CG270" s="199"/>
      <c r="CH270" s="199"/>
      <c r="CI270" s="199"/>
      <c r="CJ270" s="199"/>
      <c r="CK270" s="214"/>
      <c r="CL270" s="214"/>
      <c r="CM270" s="211">
        <v>191</v>
      </c>
      <c r="CN270" s="215"/>
      <c r="CO270" s="215"/>
      <c r="CP270" s="216"/>
      <c r="CQ270" s="217"/>
      <c r="CR270" s="211"/>
      <c r="CS270" s="218"/>
      <c r="CT270" s="218"/>
      <c r="CU270" s="218"/>
      <c r="CV270" s="211"/>
      <c r="CW270" s="211"/>
      <c r="CX270" s="211"/>
      <c r="CY270" s="211"/>
      <c r="CZ270" s="211"/>
      <c r="DA270" s="211"/>
      <c r="DB270" s="211"/>
      <c r="DC270" s="219"/>
      <c r="DD270" s="219"/>
      <c r="DE270" s="219"/>
      <c r="DF270" s="211"/>
      <c r="DG270" s="211"/>
      <c r="DH270" s="211"/>
      <c r="DI270" s="211"/>
      <c r="DJ270" s="211"/>
      <c r="DK270" s="220" t="s">
        <v>70</v>
      </c>
      <c r="DT270" s="222"/>
    </row>
    <row r="271" spans="1:124" s="176" customFormat="1" ht="42" x14ac:dyDescent="0.2">
      <c r="A271" s="195" t="s">
        <v>108</v>
      </c>
      <c r="B271" s="197" t="s">
        <v>770</v>
      </c>
      <c r="C271" s="198">
        <v>1</v>
      </c>
      <c r="D271" s="199">
        <v>980000</v>
      </c>
      <c r="E271" s="198" t="s">
        <v>705</v>
      </c>
      <c r="F271" s="198" t="s">
        <v>106</v>
      </c>
      <c r="G271" s="198" t="s">
        <v>98</v>
      </c>
      <c r="H271" s="200">
        <v>1</v>
      </c>
      <c r="I271" s="199">
        <f t="shared" si="329"/>
        <v>0</v>
      </c>
      <c r="J271" s="199">
        <f t="shared" si="330"/>
        <v>980000</v>
      </c>
      <c r="K271" s="199">
        <f t="shared" si="331"/>
        <v>980000</v>
      </c>
      <c r="L271" s="199"/>
      <c r="M271" s="199">
        <v>980000</v>
      </c>
      <c r="N271" s="199">
        <f t="shared" si="332"/>
        <v>980000</v>
      </c>
      <c r="O271" s="199"/>
      <c r="P271" s="201">
        <v>0</v>
      </c>
      <c r="Q271" s="202">
        <v>14</v>
      </c>
      <c r="R271" s="203">
        <v>45566</v>
      </c>
      <c r="S271" s="199"/>
      <c r="T271" s="199">
        <v>980000</v>
      </c>
      <c r="U271" s="204">
        <f t="shared" si="333"/>
        <v>980000</v>
      </c>
      <c r="V271" s="198"/>
      <c r="W271" s="206"/>
      <c r="X271" s="201"/>
      <c r="Y271" s="201"/>
      <c r="Z271" s="201">
        <f t="shared" si="334"/>
        <v>0</v>
      </c>
      <c r="AA271" s="198"/>
      <c r="AB271" s="206"/>
      <c r="AC271" s="207"/>
      <c r="AD271" s="201"/>
      <c r="AE271" s="204">
        <f t="shared" si="335"/>
        <v>0</v>
      </c>
      <c r="AF271" s="203">
        <f t="shared" si="336"/>
        <v>45566</v>
      </c>
      <c r="AG271" s="201">
        <f t="shared" si="337"/>
        <v>0</v>
      </c>
      <c r="AH271" s="199">
        <f t="shared" si="338"/>
        <v>980000</v>
      </c>
      <c r="AI271" s="199">
        <f t="shared" si="339"/>
        <v>980000</v>
      </c>
      <c r="AJ271" s="201">
        <f t="shared" si="365"/>
        <v>0</v>
      </c>
      <c r="AK271" s="201">
        <f t="shared" si="365"/>
        <v>980000</v>
      </c>
      <c r="AL271" s="201">
        <f t="shared" si="340"/>
        <v>980000</v>
      </c>
      <c r="AM271" s="198"/>
      <c r="AN271" s="203"/>
      <c r="AO271" s="208"/>
      <c r="AP271" s="201">
        <f t="shared" si="341"/>
        <v>0</v>
      </c>
      <c r="AQ271" s="201">
        <f t="shared" si="342"/>
        <v>975862.95</v>
      </c>
      <c r="AR271" s="201">
        <f t="shared" si="343"/>
        <v>975862.95</v>
      </c>
      <c r="AS271" s="201">
        <f t="shared" si="344"/>
        <v>99.577852040816325</v>
      </c>
      <c r="AT271" s="201"/>
      <c r="AU271" s="223">
        <v>975862.95</v>
      </c>
      <c r="AV271" s="201">
        <f t="shared" si="345"/>
        <v>975862.95</v>
      </c>
      <c r="AW271" s="322">
        <f t="shared" si="368"/>
        <v>0</v>
      </c>
      <c r="AX271" s="201">
        <f t="shared" si="346"/>
        <v>99.577852040816325</v>
      </c>
      <c r="AY271" s="208"/>
      <c r="AZ271" s="201">
        <f t="shared" si="347"/>
        <v>0</v>
      </c>
      <c r="BA271" s="201">
        <f t="shared" si="348"/>
        <v>0</v>
      </c>
      <c r="BB271" s="201">
        <f t="shared" si="349"/>
        <v>0</v>
      </c>
      <c r="BC271" s="201"/>
      <c r="BD271" s="223">
        <v>0</v>
      </c>
      <c r="BE271" s="201">
        <f t="shared" si="361"/>
        <v>0</v>
      </c>
      <c r="BF271" s="208"/>
      <c r="BG271" s="201">
        <f t="shared" si="366"/>
        <v>0</v>
      </c>
      <c r="BH271" s="201">
        <f t="shared" si="366"/>
        <v>975862.95</v>
      </c>
      <c r="BI271" s="201">
        <f t="shared" si="351"/>
        <v>975862.95</v>
      </c>
      <c r="BJ271" s="201">
        <f t="shared" si="352"/>
        <v>99.577852040816325</v>
      </c>
      <c r="BK271" s="201">
        <v>89</v>
      </c>
      <c r="BL271" s="224">
        <v>100</v>
      </c>
      <c r="BM271" s="211"/>
      <c r="BN271" s="211"/>
      <c r="BO271" s="212">
        <f t="shared" si="353"/>
        <v>0</v>
      </c>
      <c r="BP271" s="201">
        <f t="shared" si="354"/>
        <v>4137.0500000000466</v>
      </c>
      <c r="BQ271" s="201">
        <f t="shared" si="362"/>
        <v>4137.0500000000466</v>
      </c>
      <c r="BR271" s="201">
        <f t="shared" si="367"/>
        <v>0</v>
      </c>
      <c r="BS271" s="201">
        <f t="shared" si="367"/>
        <v>4137.0500000000466</v>
      </c>
      <c r="BT271" s="201">
        <f t="shared" si="363"/>
        <v>4137.0500000000466</v>
      </c>
      <c r="BU271" s="213">
        <f t="shared" si="369"/>
        <v>0</v>
      </c>
      <c r="BV271" s="201"/>
      <c r="BW271" s="201"/>
      <c r="BX271" s="201">
        <f t="shared" si="364"/>
        <v>0</v>
      </c>
      <c r="BY271" s="199">
        <v>68600</v>
      </c>
      <c r="BZ271" s="199">
        <v>294000</v>
      </c>
      <c r="CA271" s="199">
        <v>509600</v>
      </c>
      <c r="CB271" s="199">
        <v>107800</v>
      </c>
      <c r="CC271" s="199">
        <v>0</v>
      </c>
      <c r="CD271" s="199">
        <v>0</v>
      </c>
      <c r="CE271" s="199"/>
      <c r="CF271" s="199"/>
      <c r="CG271" s="199"/>
      <c r="CH271" s="199"/>
      <c r="CI271" s="199"/>
      <c r="CJ271" s="199"/>
      <c r="CK271" s="214" t="s">
        <v>771</v>
      </c>
      <c r="CL271" s="214" t="s">
        <v>610</v>
      </c>
      <c r="CM271" s="211">
        <v>198</v>
      </c>
      <c r="CN271" s="215"/>
      <c r="CO271" s="215"/>
      <c r="CP271" s="216"/>
      <c r="CQ271" s="217"/>
      <c r="CR271" s="211"/>
      <c r="CS271" s="218"/>
      <c r="CT271" s="218"/>
      <c r="CU271" s="218"/>
      <c r="CV271" s="211"/>
      <c r="CW271" s="211"/>
      <c r="CX271" s="211"/>
      <c r="CY271" s="211"/>
      <c r="CZ271" s="211"/>
      <c r="DA271" s="211"/>
      <c r="DB271" s="211"/>
      <c r="DC271" s="219"/>
      <c r="DD271" s="219"/>
      <c r="DE271" s="219"/>
      <c r="DF271" s="211"/>
      <c r="DG271" s="211"/>
      <c r="DH271" s="211"/>
      <c r="DI271" s="211"/>
      <c r="DJ271" s="211"/>
      <c r="DK271" s="220" t="s">
        <v>32</v>
      </c>
      <c r="DT271" s="222"/>
    </row>
    <row r="272" spans="1:124" s="176" customFormat="1" ht="42" x14ac:dyDescent="0.2">
      <c r="A272" s="195" t="s">
        <v>108</v>
      </c>
      <c r="B272" s="197" t="s">
        <v>772</v>
      </c>
      <c r="C272" s="198">
        <v>1</v>
      </c>
      <c r="D272" s="199">
        <v>800000</v>
      </c>
      <c r="E272" s="198" t="s">
        <v>773</v>
      </c>
      <c r="F272" s="198" t="s">
        <v>106</v>
      </c>
      <c r="G272" s="198" t="s">
        <v>98</v>
      </c>
      <c r="H272" s="200">
        <v>1</v>
      </c>
      <c r="I272" s="199">
        <f t="shared" si="329"/>
        <v>0</v>
      </c>
      <c r="J272" s="199">
        <f t="shared" si="330"/>
        <v>800000</v>
      </c>
      <c r="K272" s="199">
        <f t="shared" si="331"/>
        <v>800000</v>
      </c>
      <c r="L272" s="199"/>
      <c r="M272" s="199">
        <v>800000</v>
      </c>
      <c r="N272" s="199">
        <f t="shared" si="332"/>
        <v>800000</v>
      </c>
      <c r="O272" s="199"/>
      <c r="P272" s="201">
        <v>0</v>
      </c>
      <c r="Q272" s="202">
        <v>14</v>
      </c>
      <c r="R272" s="203">
        <v>45566</v>
      </c>
      <c r="S272" s="199"/>
      <c r="T272" s="199">
        <v>800000</v>
      </c>
      <c r="U272" s="204">
        <f t="shared" si="333"/>
        <v>800000</v>
      </c>
      <c r="V272" s="198"/>
      <c r="W272" s="206"/>
      <c r="X272" s="201"/>
      <c r="Y272" s="201"/>
      <c r="Z272" s="201">
        <f t="shared" si="334"/>
        <v>0</v>
      </c>
      <c r="AA272" s="198"/>
      <c r="AB272" s="206"/>
      <c r="AC272" s="207"/>
      <c r="AD272" s="201"/>
      <c r="AE272" s="204">
        <f t="shared" si="335"/>
        <v>0</v>
      </c>
      <c r="AF272" s="203">
        <f t="shared" si="336"/>
        <v>45566</v>
      </c>
      <c r="AG272" s="201">
        <f t="shared" si="337"/>
        <v>0</v>
      </c>
      <c r="AH272" s="199">
        <f t="shared" si="338"/>
        <v>800000</v>
      </c>
      <c r="AI272" s="199">
        <f t="shared" si="339"/>
        <v>800000</v>
      </c>
      <c r="AJ272" s="201">
        <f t="shared" si="365"/>
        <v>0</v>
      </c>
      <c r="AK272" s="201">
        <f t="shared" si="365"/>
        <v>800000</v>
      </c>
      <c r="AL272" s="201">
        <f t="shared" si="340"/>
        <v>800000</v>
      </c>
      <c r="AM272" s="198"/>
      <c r="AN272" s="203"/>
      <c r="AO272" s="208"/>
      <c r="AP272" s="201">
        <f t="shared" si="341"/>
        <v>0</v>
      </c>
      <c r="AQ272" s="201">
        <f t="shared" si="342"/>
        <v>799462.56</v>
      </c>
      <c r="AR272" s="201">
        <f t="shared" si="343"/>
        <v>799462.56</v>
      </c>
      <c r="AS272" s="201">
        <f t="shared" si="344"/>
        <v>99.932820000000007</v>
      </c>
      <c r="AT272" s="201"/>
      <c r="AU272" s="223">
        <v>799462.56</v>
      </c>
      <c r="AV272" s="201">
        <f t="shared" si="345"/>
        <v>799462.56</v>
      </c>
      <c r="AW272" s="322">
        <f t="shared" si="368"/>
        <v>0</v>
      </c>
      <c r="AX272" s="201">
        <f t="shared" si="346"/>
        <v>99.932820000000007</v>
      </c>
      <c r="AY272" s="208"/>
      <c r="AZ272" s="201">
        <f t="shared" si="347"/>
        <v>0</v>
      </c>
      <c r="BA272" s="201">
        <f t="shared" si="348"/>
        <v>0</v>
      </c>
      <c r="BB272" s="201">
        <f t="shared" si="349"/>
        <v>0</v>
      </c>
      <c r="BC272" s="201"/>
      <c r="BD272" s="223">
        <v>0</v>
      </c>
      <c r="BE272" s="201">
        <f t="shared" si="361"/>
        <v>0</v>
      </c>
      <c r="BF272" s="208"/>
      <c r="BG272" s="201">
        <f t="shared" si="366"/>
        <v>0</v>
      </c>
      <c r="BH272" s="201">
        <f t="shared" si="366"/>
        <v>799462.56</v>
      </c>
      <c r="BI272" s="201">
        <f t="shared" si="351"/>
        <v>799462.56</v>
      </c>
      <c r="BJ272" s="201">
        <f t="shared" si="352"/>
        <v>99.932820000000007</v>
      </c>
      <c r="BK272" s="201">
        <v>89</v>
      </c>
      <c r="BL272" s="224">
        <v>90</v>
      </c>
      <c r="BM272" s="211"/>
      <c r="BN272" s="211"/>
      <c r="BO272" s="212">
        <f t="shared" si="353"/>
        <v>0</v>
      </c>
      <c r="BP272" s="201">
        <f t="shared" si="354"/>
        <v>537.43999999994412</v>
      </c>
      <c r="BQ272" s="201">
        <f t="shared" si="362"/>
        <v>537.43999999994412</v>
      </c>
      <c r="BR272" s="201">
        <f t="shared" si="367"/>
        <v>0</v>
      </c>
      <c r="BS272" s="201">
        <f t="shared" si="367"/>
        <v>537.43999999994412</v>
      </c>
      <c r="BT272" s="201">
        <f t="shared" si="363"/>
        <v>537.43999999994412</v>
      </c>
      <c r="BU272" s="213">
        <f t="shared" si="369"/>
        <v>0</v>
      </c>
      <c r="BV272" s="201"/>
      <c r="BW272" s="201"/>
      <c r="BX272" s="201">
        <f t="shared" si="364"/>
        <v>0</v>
      </c>
      <c r="BY272" s="199">
        <v>56000</v>
      </c>
      <c r="BZ272" s="199">
        <v>240000</v>
      </c>
      <c r="CA272" s="199">
        <v>416000</v>
      </c>
      <c r="CB272" s="199">
        <v>88000</v>
      </c>
      <c r="CC272" s="199">
        <v>0</v>
      </c>
      <c r="CD272" s="199">
        <v>0</v>
      </c>
      <c r="CE272" s="199"/>
      <c r="CF272" s="199"/>
      <c r="CG272" s="199"/>
      <c r="CH272" s="199"/>
      <c r="CI272" s="199"/>
      <c r="CJ272" s="199"/>
      <c r="CK272" s="214" t="s">
        <v>774</v>
      </c>
      <c r="CL272" s="214" t="s">
        <v>610</v>
      </c>
      <c r="CM272" s="211">
        <v>198</v>
      </c>
      <c r="CN272" s="215"/>
      <c r="CO272" s="215"/>
      <c r="CP272" s="216"/>
      <c r="CQ272" s="217"/>
      <c r="CR272" s="211"/>
      <c r="CS272" s="218"/>
      <c r="CT272" s="218"/>
      <c r="CU272" s="218"/>
      <c r="CV272" s="211"/>
      <c r="CW272" s="211"/>
      <c r="CX272" s="211"/>
      <c r="CY272" s="211"/>
      <c r="CZ272" s="211"/>
      <c r="DA272" s="211"/>
      <c r="DB272" s="211"/>
      <c r="DC272" s="219"/>
      <c r="DD272" s="219"/>
      <c r="DE272" s="219"/>
      <c r="DF272" s="211"/>
      <c r="DG272" s="211"/>
      <c r="DH272" s="211"/>
      <c r="DI272" s="211"/>
      <c r="DJ272" s="211"/>
      <c r="DK272" s="220" t="s">
        <v>32</v>
      </c>
      <c r="DT272" s="222"/>
    </row>
    <row r="273" spans="1:124" s="176" customFormat="1" ht="42" x14ac:dyDescent="0.2">
      <c r="A273" s="195" t="s">
        <v>108</v>
      </c>
      <c r="B273" s="197" t="s">
        <v>775</v>
      </c>
      <c r="C273" s="198">
        <v>1</v>
      </c>
      <c r="D273" s="199">
        <v>950000</v>
      </c>
      <c r="E273" s="198" t="s">
        <v>776</v>
      </c>
      <c r="F273" s="198" t="s">
        <v>106</v>
      </c>
      <c r="G273" s="198" t="s">
        <v>98</v>
      </c>
      <c r="H273" s="200">
        <v>1</v>
      </c>
      <c r="I273" s="199">
        <f t="shared" si="329"/>
        <v>0</v>
      </c>
      <c r="J273" s="199">
        <f t="shared" si="330"/>
        <v>950000</v>
      </c>
      <c r="K273" s="199">
        <f t="shared" si="331"/>
        <v>950000</v>
      </c>
      <c r="L273" s="199"/>
      <c r="M273" s="199">
        <v>950000</v>
      </c>
      <c r="N273" s="199">
        <f t="shared" si="332"/>
        <v>950000</v>
      </c>
      <c r="O273" s="199"/>
      <c r="P273" s="201">
        <v>0</v>
      </c>
      <c r="Q273" s="202">
        <v>14</v>
      </c>
      <c r="R273" s="203">
        <v>45566</v>
      </c>
      <c r="S273" s="199"/>
      <c r="T273" s="199">
        <v>950000</v>
      </c>
      <c r="U273" s="204">
        <f t="shared" si="333"/>
        <v>950000</v>
      </c>
      <c r="V273" s="198"/>
      <c r="W273" s="206"/>
      <c r="X273" s="201"/>
      <c r="Y273" s="201"/>
      <c r="Z273" s="201">
        <f t="shared" si="334"/>
        <v>0</v>
      </c>
      <c r="AA273" s="198"/>
      <c r="AB273" s="206"/>
      <c r="AC273" s="207"/>
      <c r="AD273" s="201"/>
      <c r="AE273" s="204">
        <f t="shared" si="335"/>
        <v>0</v>
      </c>
      <c r="AF273" s="203">
        <f t="shared" si="336"/>
        <v>45566</v>
      </c>
      <c r="AG273" s="201">
        <f t="shared" si="337"/>
        <v>0</v>
      </c>
      <c r="AH273" s="199">
        <f t="shared" si="338"/>
        <v>950000</v>
      </c>
      <c r="AI273" s="199">
        <f t="shared" si="339"/>
        <v>950000</v>
      </c>
      <c r="AJ273" s="201">
        <f t="shared" si="365"/>
        <v>0</v>
      </c>
      <c r="AK273" s="201">
        <f t="shared" si="365"/>
        <v>950000</v>
      </c>
      <c r="AL273" s="201">
        <f t="shared" si="340"/>
        <v>950000</v>
      </c>
      <c r="AM273" s="198"/>
      <c r="AN273" s="203"/>
      <c r="AO273" s="208"/>
      <c r="AP273" s="201">
        <f t="shared" si="341"/>
        <v>0</v>
      </c>
      <c r="AQ273" s="201">
        <f t="shared" si="342"/>
        <v>907793.75</v>
      </c>
      <c r="AR273" s="201">
        <f t="shared" si="343"/>
        <v>907793.75</v>
      </c>
      <c r="AS273" s="201">
        <f t="shared" si="344"/>
        <v>95.557236842105269</v>
      </c>
      <c r="AT273" s="201"/>
      <c r="AU273" s="223">
        <v>907793.75</v>
      </c>
      <c r="AV273" s="201">
        <f t="shared" si="345"/>
        <v>907793.75</v>
      </c>
      <c r="AW273" s="322">
        <f t="shared" si="368"/>
        <v>0</v>
      </c>
      <c r="AX273" s="201">
        <f t="shared" si="346"/>
        <v>95.557236842105269</v>
      </c>
      <c r="AY273" s="208"/>
      <c r="AZ273" s="201">
        <f t="shared" si="347"/>
        <v>0</v>
      </c>
      <c r="BA273" s="201">
        <f t="shared" si="348"/>
        <v>0</v>
      </c>
      <c r="BB273" s="201">
        <f t="shared" si="349"/>
        <v>0</v>
      </c>
      <c r="BC273" s="201"/>
      <c r="BD273" s="223">
        <v>0</v>
      </c>
      <c r="BE273" s="201">
        <f t="shared" si="361"/>
        <v>0</v>
      </c>
      <c r="BF273" s="208"/>
      <c r="BG273" s="201">
        <f t="shared" si="366"/>
        <v>0</v>
      </c>
      <c r="BH273" s="201">
        <f t="shared" si="366"/>
        <v>907793.75</v>
      </c>
      <c r="BI273" s="201">
        <f t="shared" si="351"/>
        <v>907793.75</v>
      </c>
      <c r="BJ273" s="201">
        <f t="shared" si="352"/>
        <v>95.557236842105269</v>
      </c>
      <c r="BK273" s="201">
        <v>89</v>
      </c>
      <c r="BL273" s="224">
        <v>95</v>
      </c>
      <c r="BM273" s="211"/>
      <c r="BN273" s="211"/>
      <c r="BO273" s="212">
        <f t="shared" si="353"/>
        <v>0</v>
      </c>
      <c r="BP273" s="201">
        <f t="shared" si="354"/>
        <v>42206.25</v>
      </c>
      <c r="BQ273" s="201">
        <f t="shared" si="362"/>
        <v>42206.25</v>
      </c>
      <c r="BR273" s="201">
        <f t="shared" si="367"/>
        <v>0</v>
      </c>
      <c r="BS273" s="201">
        <f t="shared" si="367"/>
        <v>42206.25</v>
      </c>
      <c r="BT273" s="201">
        <f t="shared" si="363"/>
        <v>42206.25</v>
      </c>
      <c r="BU273" s="213">
        <f t="shared" si="369"/>
        <v>0</v>
      </c>
      <c r="BV273" s="201"/>
      <c r="BW273" s="201"/>
      <c r="BX273" s="201">
        <f t="shared" si="364"/>
        <v>0</v>
      </c>
      <c r="BY273" s="199">
        <v>66500</v>
      </c>
      <c r="BZ273" s="199">
        <v>285000</v>
      </c>
      <c r="CA273" s="199">
        <v>494000</v>
      </c>
      <c r="CB273" s="199">
        <v>104500</v>
      </c>
      <c r="CC273" s="199">
        <v>0</v>
      </c>
      <c r="CD273" s="199">
        <v>0</v>
      </c>
      <c r="CE273" s="199"/>
      <c r="CF273" s="199"/>
      <c r="CG273" s="199"/>
      <c r="CH273" s="199"/>
      <c r="CI273" s="199"/>
      <c r="CJ273" s="199"/>
      <c r="CK273" s="214" t="s">
        <v>777</v>
      </c>
      <c r="CL273" s="214" t="s">
        <v>610</v>
      </c>
      <c r="CM273" s="211">
        <v>198</v>
      </c>
      <c r="CN273" s="215"/>
      <c r="CO273" s="215"/>
      <c r="CP273" s="216"/>
      <c r="CQ273" s="217"/>
      <c r="CR273" s="211"/>
      <c r="CS273" s="218"/>
      <c r="CT273" s="218"/>
      <c r="CU273" s="218"/>
      <c r="CV273" s="211"/>
      <c r="CW273" s="211"/>
      <c r="CX273" s="211"/>
      <c r="CY273" s="211"/>
      <c r="CZ273" s="211"/>
      <c r="DA273" s="211"/>
      <c r="DB273" s="211"/>
      <c r="DC273" s="219"/>
      <c r="DD273" s="219"/>
      <c r="DE273" s="219"/>
      <c r="DF273" s="211"/>
      <c r="DG273" s="211"/>
      <c r="DH273" s="211"/>
      <c r="DI273" s="211"/>
      <c r="DJ273" s="211"/>
      <c r="DK273" s="220" t="s">
        <v>32</v>
      </c>
      <c r="DT273" s="222"/>
    </row>
    <row r="274" spans="1:124" s="176" customFormat="1" ht="42" x14ac:dyDescent="0.2">
      <c r="A274" s="195" t="s">
        <v>108</v>
      </c>
      <c r="B274" s="197" t="s">
        <v>778</v>
      </c>
      <c r="C274" s="198">
        <v>1</v>
      </c>
      <c r="D274" s="199">
        <v>980000</v>
      </c>
      <c r="E274" s="198" t="s">
        <v>779</v>
      </c>
      <c r="F274" s="198" t="s">
        <v>279</v>
      </c>
      <c r="G274" s="198" t="s">
        <v>98</v>
      </c>
      <c r="H274" s="200">
        <v>1</v>
      </c>
      <c r="I274" s="199">
        <f t="shared" si="329"/>
        <v>0</v>
      </c>
      <c r="J274" s="199">
        <f t="shared" si="330"/>
        <v>980000</v>
      </c>
      <c r="K274" s="199">
        <f t="shared" si="331"/>
        <v>980000</v>
      </c>
      <c r="L274" s="199"/>
      <c r="M274" s="199">
        <v>980000</v>
      </c>
      <c r="N274" s="199">
        <f t="shared" si="332"/>
        <v>980000</v>
      </c>
      <c r="O274" s="199"/>
      <c r="P274" s="201">
        <v>0</v>
      </c>
      <c r="Q274" s="202">
        <v>14</v>
      </c>
      <c r="R274" s="203">
        <v>45566</v>
      </c>
      <c r="S274" s="199"/>
      <c r="T274" s="199">
        <v>980000</v>
      </c>
      <c r="U274" s="204">
        <f t="shared" si="333"/>
        <v>980000</v>
      </c>
      <c r="V274" s="198"/>
      <c r="W274" s="206"/>
      <c r="X274" s="201"/>
      <c r="Y274" s="201"/>
      <c r="Z274" s="201">
        <f t="shared" si="334"/>
        <v>0</v>
      </c>
      <c r="AA274" s="198"/>
      <c r="AB274" s="206"/>
      <c r="AC274" s="207"/>
      <c r="AD274" s="201"/>
      <c r="AE274" s="204">
        <f t="shared" si="335"/>
        <v>0</v>
      </c>
      <c r="AF274" s="203">
        <f t="shared" si="336"/>
        <v>45566</v>
      </c>
      <c r="AG274" s="201">
        <f t="shared" si="337"/>
        <v>0</v>
      </c>
      <c r="AH274" s="199">
        <f t="shared" si="338"/>
        <v>980000</v>
      </c>
      <c r="AI274" s="199">
        <f t="shared" si="339"/>
        <v>980000</v>
      </c>
      <c r="AJ274" s="201">
        <f t="shared" si="365"/>
        <v>0</v>
      </c>
      <c r="AK274" s="201">
        <f t="shared" si="365"/>
        <v>980000</v>
      </c>
      <c r="AL274" s="201">
        <f t="shared" si="340"/>
        <v>980000</v>
      </c>
      <c r="AM274" s="198"/>
      <c r="AN274" s="203"/>
      <c r="AO274" s="208"/>
      <c r="AP274" s="201">
        <f t="shared" si="341"/>
        <v>0</v>
      </c>
      <c r="AQ274" s="201">
        <f t="shared" si="342"/>
        <v>850470.47</v>
      </c>
      <c r="AR274" s="201">
        <f t="shared" si="343"/>
        <v>850470.47</v>
      </c>
      <c r="AS274" s="201">
        <f t="shared" si="344"/>
        <v>86.782701020408169</v>
      </c>
      <c r="AT274" s="201"/>
      <c r="AU274" s="223">
        <v>850470.47</v>
      </c>
      <c r="AV274" s="201">
        <f t="shared" si="345"/>
        <v>850470.47</v>
      </c>
      <c r="AW274" s="322">
        <f t="shared" si="368"/>
        <v>0</v>
      </c>
      <c r="AX274" s="201">
        <f t="shared" si="346"/>
        <v>86.782701020408169</v>
      </c>
      <c r="AY274" s="208"/>
      <c r="AZ274" s="201">
        <f t="shared" si="347"/>
        <v>0</v>
      </c>
      <c r="BA274" s="201">
        <f t="shared" si="348"/>
        <v>0</v>
      </c>
      <c r="BB274" s="201">
        <f t="shared" si="349"/>
        <v>0</v>
      </c>
      <c r="BC274" s="201"/>
      <c r="BD274" s="223">
        <v>0</v>
      </c>
      <c r="BE274" s="201">
        <f t="shared" si="361"/>
        <v>0</v>
      </c>
      <c r="BF274" s="208"/>
      <c r="BG274" s="201">
        <f t="shared" si="366"/>
        <v>0</v>
      </c>
      <c r="BH274" s="201">
        <f t="shared" si="366"/>
        <v>850470.47</v>
      </c>
      <c r="BI274" s="201">
        <f t="shared" si="351"/>
        <v>850470.47</v>
      </c>
      <c r="BJ274" s="201">
        <f t="shared" si="352"/>
        <v>86.782701020408169</v>
      </c>
      <c r="BK274" s="201">
        <v>89</v>
      </c>
      <c r="BL274" s="224">
        <v>70</v>
      </c>
      <c r="BM274" s="211"/>
      <c r="BN274" s="211"/>
      <c r="BO274" s="212">
        <f t="shared" si="353"/>
        <v>0</v>
      </c>
      <c r="BP274" s="201">
        <f t="shared" si="354"/>
        <v>129529.53000000003</v>
      </c>
      <c r="BQ274" s="201">
        <f t="shared" si="362"/>
        <v>129529.53000000003</v>
      </c>
      <c r="BR274" s="201">
        <f t="shared" si="367"/>
        <v>0</v>
      </c>
      <c r="BS274" s="201">
        <f t="shared" si="367"/>
        <v>129529.53000000003</v>
      </c>
      <c r="BT274" s="201">
        <f t="shared" si="363"/>
        <v>129529.53000000003</v>
      </c>
      <c r="BU274" s="213">
        <f t="shared" si="369"/>
        <v>0</v>
      </c>
      <c r="BV274" s="201"/>
      <c r="BW274" s="201"/>
      <c r="BX274" s="201">
        <f t="shared" si="364"/>
        <v>0</v>
      </c>
      <c r="BY274" s="199">
        <v>68600</v>
      </c>
      <c r="BZ274" s="199">
        <v>294000</v>
      </c>
      <c r="CA274" s="199">
        <v>509600</v>
      </c>
      <c r="CB274" s="199">
        <v>107800</v>
      </c>
      <c r="CC274" s="199">
        <v>0</v>
      </c>
      <c r="CD274" s="199">
        <v>0</v>
      </c>
      <c r="CE274" s="199"/>
      <c r="CF274" s="199"/>
      <c r="CG274" s="199"/>
      <c r="CH274" s="199"/>
      <c r="CI274" s="199"/>
      <c r="CJ274" s="199"/>
      <c r="CK274" s="214" t="s">
        <v>780</v>
      </c>
      <c r="CL274" s="214" t="s">
        <v>610</v>
      </c>
      <c r="CM274" s="211">
        <v>198</v>
      </c>
      <c r="CN274" s="215"/>
      <c r="CO274" s="215"/>
      <c r="CP274" s="216"/>
      <c r="CQ274" s="217"/>
      <c r="CR274" s="211"/>
      <c r="CS274" s="218"/>
      <c r="CT274" s="218"/>
      <c r="CU274" s="218"/>
      <c r="CV274" s="211"/>
      <c r="CW274" s="211"/>
      <c r="CX274" s="211"/>
      <c r="CY274" s="211"/>
      <c r="CZ274" s="211"/>
      <c r="DA274" s="211"/>
      <c r="DB274" s="211"/>
      <c r="DC274" s="219"/>
      <c r="DD274" s="219"/>
      <c r="DE274" s="219"/>
      <c r="DF274" s="211"/>
      <c r="DG274" s="211"/>
      <c r="DH274" s="211"/>
      <c r="DI274" s="211"/>
      <c r="DJ274" s="211"/>
      <c r="DK274" s="220" t="s">
        <v>32</v>
      </c>
      <c r="DT274" s="222"/>
    </row>
    <row r="275" spans="1:124" s="176" customFormat="1" ht="42" x14ac:dyDescent="0.2">
      <c r="A275" s="195" t="s">
        <v>108</v>
      </c>
      <c r="B275" s="197" t="s">
        <v>781</v>
      </c>
      <c r="C275" s="198">
        <v>1</v>
      </c>
      <c r="D275" s="199">
        <v>900000</v>
      </c>
      <c r="E275" s="198" t="s">
        <v>779</v>
      </c>
      <c r="F275" s="198" t="s">
        <v>279</v>
      </c>
      <c r="G275" s="198" t="s">
        <v>98</v>
      </c>
      <c r="H275" s="200">
        <v>1</v>
      </c>
      <c r="I275" s="199">
        <f t="shared" si="329"/>
        <v>0</v>
      </c>
      <c r="J275" s="199">
        <f t="shared" si="330"/>
        <v>900000</v>
      </c>
      <c r="K275" s="199">
        <f t="shared" si="331"/>
        <v>900000</v>
      </c>
      <c r="L275" s="199"/>
      <c r="M275" s="199">
        <v>900000</v>
      </c>
      <c r="N275" s="199">
        <f t="shared" si="332"/>
        <v>900000</v>
      </c>
      <c r="O275" s="199"/>
      <c r="P275" s="201">
        <v>0</v>
      </c>
      <c r="Q275" s="202">
        <v>14</v>
      </c>
      <c r="R275" s="203">
        <v>45566</v>
      </c>
      <c r="S275" s="199"/>
      <c r="T275" s="199">
        <v>900000</v>
      </c>
      <c r="U275" s="204">
        <f t="shared" si="333"/>
        <v>900000</v>
      </c>
      <c r="V275" s="198"/>
      <c r="W275" s="206"/>
      <c r="X275" s="201"/>
      <c r="Y275" s="201"/>
      <c r="Z275" s="201">
        <f t="shared" si="334"/>
        <v>0</v>
      </c>
      <c r="AA275" s="198"/>
      <c r="AB275" s="206"/>
      <c r="AC275" s="207"/>
      <c r="AD275" s="201"/>
      <c r="AE275" s="204">
        <f t="shared" si="335"/>
        <v>0</v>
      </c>
      <c r="AF275" s="203">
        <f t="shared" si="336"/>
        <v>45566</v>
      </c>
      <c r="AG275" s="201">
        <f t="shared" si="337"/>
        <v>0</v>
      </c>
      <c r="AH275" s="199">
        <f t="shared" si="338"/>
        <v>900000</v>
      </c>
      <c r="AI275" s="199">
        <f t="shared" si="339"/>
        <v>900000</v>
      </c>
      <c r="AJ275" s="201">
        <f t="shared" si="365"/>
        <v>0</v>
      </c>
      <c r="AK275" s="201">
        <f t="shared" si="365"/>
        <v>900000</v>
      </c>
      <c r="AL275" s="201">
        <f t="shared" si="340"/>
        <v>900000</v>
      </c>
      <c r="AM275" s="198"/>
      <c r="AN275" s="203"/>
      <c r="AO275" s="208"/>
      <c r="AP275" s="201">
        <f t="shared" si="341"/>
        <v>0</v>
      </c>
      <c r="AQ275" s="201">
        <f t="shared" si="342"/>
        <v>748872.03</v>
      </c>
      <c r="AR275" s="201">
        <f t="shared" si="343"/>
        <v>748872.03</v>
      </c>
      <c r="AS275" s="201">
        <f t="shared" si="344"/>
        <v>83.208003333333338</v>
      </c>
      <c r="AT275" s="201"/>
      <c r="AU275" s="223">
        <v>748872.03</v>
      </c>
      <c r="AV275" s="201">
        <f t="shared" si="345"/>
        <v>748872.03</v>
      </c>
      <c r="AW275" s="322">
        <f t="shared" si="368"/>
        <v>0</v>
      </c>
      <c r="AX275" s="201">
        <f t="shared" si="346"/>
        <v>83.208003333333338</v>
      </c>
      <c r="AY275" s="208"/>
      <c r="AZ275" s="201">
        <f t="shared" si="347"/>
        <v>0</v>
      </c>
      <c r="BA275" s="201">
        <f t="shared" si="348"/>
        <v>0</v>
      </c>
      <c r="BB275" s="201">
        <f t="shared" si="349"/>
        <v>0</v>
      </c>
      <c r="BC275" s="201"/>
      <c r="BD275" s="223">
        <v>0</v>
      </c>
      <c r="BE275" s="201">
        <f t="shared" si="361"/>
        <v>0</v>
      </c>
      <c r="BF275" s="208"/>
      <c r="BG275" s="201">
        <f t="shared" si="366"/>
        <v>0</v>
      </c>
      <c r="BH275" s="201">
        <f t="shared" si="366"/>
        <v>748872.03</v>
      </c>
      <c r="BI275" s="201">
        <f t="shared" si="351"/>
        <v>748872.03</v>
      </c>
      <c r="BJ275" s="201">
        <f t="shared" si="352"/>
        <v>83.208003333333338</v>
      </c>
      <c r="BK275" s="201">
        <v>89</v>
      </c>
      <c r="BL275" s="224">
        <v>32</v>
      </c>
      <c r="BM275" s="211"/>
      <c r="BN275" s="211"/>
      <c r="BO275" s="212">
        <f t="shared" si="353"/>
        <v>0</v>
      </c>
      <c r="BP275" s="201">
        <f t="shared" si="354"/>
        <v>151127.96999999997</v>
      </c>
      <c r="BQ275" s="201">
        <f t="shared" si="362"/>
        <v>151127.96999999997</v>
      </c>
      <c r="BR275" s="201">
        <f t="shared" si="367"/>
        <v>0</v>
      </c>
      <c r="BS275" s="201">
        <f t="shared" si="367"/>
        <v>151127.96999999997</v>
      </c>
      <c r="BT275" s="201">
        <f t="shared" si="363"/>
        <v>151127.96999999997</v>
      </c>
      <c r="BU275" s="213">
        <f t="shared" si="369"/>
        <v>0</v>
      </c>
      <c r="BV275" s="201"/>
      <c r="BW275" s="201"/>
      <c r="BX275" s="201">
        <f t="shared" si="364"/>
        <v>0</v>
      </c>
      <c r="BY275" s="199">
        <v>63000</v>
      </c>
      <c r="BZ275" s="199">
        <v>270000</v>
      </c>
      <c r="CA275" s="199">
        <v>468000</v>
      </c>
      <c r="CB275" s="199">
        <v>99000</v>
      </c>
      <c r="CC275" s="199">
        <v>0</v>
      </c>
      <c r="CD275" s="199">
        <v>0</v>
      </c>
      <c r="CE275" s="199"/>
      <c r="CF275" s="199"/>
      <c r="CG275" s="199"/>
      <c r="CH275" s="199"/>
      <c r="CI275" s="199"/>
      <c r="CJ275" s="199"/>
      <c r="CK275" s="214" t="s">
        <v>782</v>
      </c>
      <c r="CL275" s="214" t="s">
        <v>610</v>
      </c>
      <c r="CM275" s="211">
        <v>198</v>
      </c>
      <c r="CN275" s="215"/>
      <c r="CO275" s="215"/>
      <c r="CP275" s="216"/>
      <c r="CQ275" s="217"/>
      <c r="CR275" s="211"/>
      <c r="CS275" s="218"/>
      <c r="CT275" s="218"/>
      <c r="CU275" s="218"/>
      <c r="CV275" s="211"/>
      <c r="CW275" s="211"/>
      <c r="CX275" s="211"/>
      <c r="CY275" s="211"/>
      <c r="CZ275" s="211"/>
      <c r="DA275" s="211"/>
      <c r="DB275" s="211"/>
      <c r="DC275" s="219"/>
      <c r="DD275" s="219"/>
      <c r="DE275" s="219"/>
      <c r="DF275" s="211"/>
      <c r="DG275" s="211"/>
      <c r="DH275" s="211"/>
      <c r="DI275" s="211"/>
      <c r="DJ275" s="211"/>
      <c r="DK275" s="220" t="s">
        <v>32</v>
      </c>
      <c r="DT275" s="222"/>
    </row>
    <row r="276" spans="1:124" s="176" customFormat="1" ht="42" x14ac:dyDescent="0.2">
      <c r="A276" s="195" t="s">
        <v>108</v>
      </c>
      <c r="B276" s="197" t="s">
        <v>783</v>
      </c>
      <c r="C276" s="198">
        <v>1</v>
      </c>
      <c r="D276" s="199">
        <v>950000</v>
      </c>
      <c r="E276" s="198" t="s">
        <v>708</v>
      </c>
      <c r="F276" s="198" t="s">
        <v>665</v>
      </c>
      <c r="G276" s="198" t="s">
        <v>98</v>
      </c>
      <c r="H276" s="200">
        <v>1</v>
      </c>
      <c r="I276" s="199">
        <f t="shared" si="329"/>
        <v>0</v>
      </c>
      <c r="J276" s="199">
        <f t="shared" si="330"/>
        <v>950000</v>
      </c>
      <c r="K276" s="199">
        <f t="shared" si="331"/>
        <v>950000</v>
      </c>
      <c r="L276" s="199"/>
      <c r="M276" s="199">
        <v>950000</v>
      </c>
      <c r="N276" s="199">
        <f t="shared" si="332"/>
        <v>950000</v>
      </c>
      <c r="O276" s="199"/>
      <c r="P276" s="201">
        <v>0</v>
      </c>
      <c r="Q276" s="202">
        <v>14</v>
      </c>
      <c r="R276" s="203">
        <v>45566</v>
      </c>
      <c r="S276" s="199"/>
      <c r="T276" s="199">
        <v>950000</v>
      </c>
      <c r="U276" s="204">
        <f t="shared" si="333"/>
        <v>950000</v>
      </c>
      <c r="V276" s="198"/>
      <c r="W276" s="206"/>
      <c r="X276" s="201"/>
      <c r="Y276" s="201"/>
      <c r="Z276" s="201">
        <f t="shared" si="334"/>
        <v>0</v>
      </c>
      <c r="AA276" s="198"/>
      <c r="AB276" s="206"/>
      <c r="AC276" s="207"/>
      <c r="AD276" s="201"/>
      <c r="AE276" s="204">
        <f t="shared" si="335"/>
        <v>0</v>
      </c>
      <c r="AF276" s="203">
        <f t="shared" si="336"/>
        <v>45566</v>
      </c>
      <c r="AG276" s="201">
        <f t="shared" si="337"/>
        <v>0</v>
      </c>
      <c r="AH276" s="199">
        <f t="shared" si="338"/>
        <v>950000</v>
      </c>
      <c r="AI276" s="199">
        <f t="shared" si="339"/>
        <v>950000</v>
      </c>
      <c r="AJ276" s="201">
        <f t="shared" si="365"/>
        <v>0</v>
      </c>
      <c r="AK276" s="201">
        <f t="shared" si="365"/>
        <v>950000</v>
      </c>
      <c r="AL276" s="201">
        <f t="shared" si="340"/>
        <v>950000</v>
      </c>
      <c r="AM276" s="198"/>
      <c r="AN276" s="203"/>
      <c r="AO276" s="208"/>
      <c r="AP276" s="201">
        <f t="shared" si="341"/>
        <v>0</v>
      </c>
      <c r="AQ276" s="201">
        <f t="shared" si="342"/>
        <v>944487.86</v>
      </c>
      <c r="AR276" s="201">
        <f t="shared" si="343"/>
        <v>944487.86</v>
      </c>
      <c r="AS276" s="201">
        <f t="shared" si="344"/>
        <v>99.419774736842101</v>
      </c>
      <c r="AT276" s="201"/>
      <c r="AU276" s="223">
        <v>944487.86</v>
      </c>
      <c r="AV276" s="201">
        <f t="shared" si="345"/>
        <v>944487.86</v>
      </c>
      <c r="AW276" s="322">
        <f t="shared" si="368"/>
        <v>0</v>
      </c>
      <c r="AX276" s="201">
        <f t="shared" si="346"/>
        <v>99.419774736842101</v>
      </c>
      <c r="AY276" s="208"/>
      <c r="AZ276" s="201">
        <f t="shared" si="347"/>
        <v>0</v>
      </c>
      <c r="BA276" s="201">
        <f t="shared" si="348"/>
        <v>0</v>
      </c>
      <c r="BB276" s="201">
        <f t="shared" si="349"/>
        <v>0</v>
      </c>
      <c r="BC276" s="201"/>
      <c r="BD276" s="223">
        <v>0</v>
      </c>
      <c r="BE276" s="201">
        <f t="shared" si="361"/>
        <v>0</v>
      </c>
      <c r="BF276" s="208"/>
      <c r="BG276" s="201">
        <f t="shared" si="366"/>
        <v>0</v>
      </c>
      <c r="BH276" s="201">
        <f t="shared" si="366"/>
        <v>944487.86</v>
      </c>
      <c r="BI276" s="201">
        <f t="shared" si="351"/>
        <v>944487.86</v>
      </c>
      <c r="BJ276" s="201">
        <f t="shared" si="352"/>
        <v>99.419774736842101</v>
      </c>
      <c r="BK276" s="201">
        <v>89</v>
      </c>
      <c r="BL276" s="224">
        <v>80</v>
      </c>
      <c r="BM276" s="211"/>
      <c r="BN276" s="211"/>
      <c r="BO276" s="212">
        <f t="shared" si="353"/>
        <v>0</v>
      </c>
      <c r="BP276" s="201">
        <f t="shared" si="354"/>
        <v>5512.140000000014</v>
      </c>
      <c r="BQ276" s="201">
        <f t="shared" si="362"/>
        <v>5512.140000000014</v>
      </c>
      <c r="BR276" s="201">
        <f t="shared" si="367"/>
        <v>0</v>
      </c>
      <c r="BS276" s="201">
        <f t="shared" si="367"/>
        <v>5512.140000000014</v>
      </c>
      <c r="BT276" s="201">
        <f t="shared" si="363"/>
        <v>5512.140000000014</v>
      </c>
      <c r="BU276" s="213">
        <f t="shared" si="369"/>
        <v>0</v>
      </c>
      <c r="BV276" s="201"/>
      <c r="BW276" s="201"/>
      <c r="BX276" s="201">
        <f t="shared" si="364"/>
        <v>0</v>
      </c>
      <c r="BY276" s="199">
        <v>66500</v>
      </c>
      <c r="BZ276" s="199">
        <v>285000</v>
      </c>
      <c r="CA276" s="199">
        <v>494000</v>
      </c>
      <c r="CB276" s="199">
        <v>104500</v>
      </c>
      <c r="CC276" s="199">
        <v>0</v>
      </c>
      <c r="CD276" s="199">
        <v>0</v>
      </c>
      <c r="CE276" s="199"/>
      <c r="CF276" s="199"/>
      <c r="CG276" s="199"/>
      <c r="CH276" s="199"/>
      <c r="CI276" s="199"/>
      <c r="CJ276" s="199"/>
      <c r="CK276" s="214" t="s">
        <v>784</v>
      </c>
      <c r="CL276" s="214" t="s">
        <v>610</v>
      </c>
      <c r="CM276" s="211">
        <v>198</v>
      </c>
      <c r="CN276" s="215"/>
      <c r="CO276" s="215"/>
      <c r="CP276" s="216"/>
      <c r="CQ276" s="217"/>
      <c r="CR276" s="211"/>
      <c r="CS276" s="218"/>
      <c r="CT276" s="218"/>
      <c r="CU276" s="218"/>
      <c r="CV276" s="211"/>
      <c r="CW276" s="211"/>
      <c r="CX276" s="211"/>
      <c r="CY276" s="211"/>
      <c r="CZ276" s="211"/>
      <c r="DA276" s="211"/>
      <c r="DB276" s="211"/>
      <c r="DC276" s="219"/>
      <c r="DD276" s="219"/>
      <c r="DE276" s="219"/>
      <c r="DF276" s="211"/>
      <c r="DG276" s="211"/>
      <c r="DH276" s="211"/>
      <c r="DI276" s="211"/>
      <c r="DJ276" s="211"/>
      <c r="DK276" s="220" t="s">
        <v>32</v>
      </c>
      <c r="DT276" s="222"/>
    </row>
    <row r="277" spans="1:124" s="176" customFormat="1" ht="42" x14ac:dyDescent="0.2">
      <c r="A277" s="195" t="s">
        <v>108</v>
      </c>
      <c r="B277" s="197" t="s">
        <v>785</v>
      </c>
      <c r="C277" s="198">
        <v>1</v>
      </c>
      <c r="D277" s="199">
        <v>800000</v>
      </c>
      <c r="E277" s="198" t="s">
        <v>714</v>
      </c>
      <c r="F277" s="198" t="s">
        <v>106</v>
      </c>
      <c r="G277" s="198" t="s">
        <v>98</v>
      </c>
      <c r="H277" s="200">
        <v>1</v>
      </c>
      <c r="I277" s="199">
        <f t="shared" si="329"/>
        <v>0</v>
      </c>
      <c r="J277" s="199">
        <f t="shared" si="330"/>
        <v>800000</v>
      </c>
      <c r="K277" s="199">
        <f t="shared" si="331"/>
        <v>800000</v>
      </c>
      <c r="L277" s="199"/>
      <c r="M277" s="199">
        <v>800000</v>
      </c>
      <c r="N277" s="199">
        <f t="shared" si="332"/>
        <v>800000</v>
      </c>
      <c r="O277" s="199"/>
      <c r="P277" s="201">
        <v>0</v>
      </c>
      <c r="Q277" s="202">
        <v>14</v>
      </c>
      <c r="R277" s="203">
        <v>45566</v>
      </c>
      <c r="S277" s="199"/>
      <c r="T277" s="199">
        <v>800000</v>
      </c>
      <c r="U277" s="204">
        <f t="shared" si="333"/>
        <v>800000</v>
      </c>
      <c r="V277" s="198"/>
      <c r="W277" s="206"/>
      <c r="X277" s="201"/>
      <c r="Y277" s="201"/>
      <c r="Z277" s="201">
        <f t="shared" si="334"/>
        <v>0</v>
      </c>
      <c r="AA277" s="198"/>
      <c r="AB277" s="206"/>
      <c r="AC277" s="207"/>
      <c r="AD277" s="201"/>
      <c r="AE277" s="204">
        <f t="shared" si="335"/>
        <v>0</v>
      </c>
      <c r="AF277" s="203">
        <f t="shared" si="336"/>
        <v>45566</v>
      </c>
      <c r="AG277" s="201">
        <f t="shared" si="337"/>
        <v>0</v>
      </c>
      <c r="AH277" s="199">
        <f t="shared" si="338"/>
        <v>800000</v>
      </c>
      <c r="AI277" s="199">
        <f t="shared" si="339"/>
        <v>800000</v>
      </c>
      <c r="AJ277" s="201">
        <f t="shared" si="365"/>
        <v>0</v>
      </c>
      <c r="AK277" s="201">
        <f t="shared" si="365"/>
        <v>800000</v>
      </c>
      <c r="AL277" s="201">
        <f t="shared" si="340"/>
        <v>800000</v>
      </c>
      <c r="AM277" s="198"/>
      <c r="AN277" s="203"/>
      <c r="AO277" s="208"/>
      <c r="AP277" s="201">
        <f t="shared" si="341"/>
        <v>0</v>
      </c>
      <c r="AQ277" s="201">
        <f t="shared" si="342"/>
        <v>788881.68</v>
      </c>
      <c r="AR277" s="201">
        <f t="shared" si="343"/>
        <v>788881.68</v>
      </c>
      <c r="AS277" s="201">
        <f t="shared" si="344"/>
        <v>98.610209999999995</v>
      </c>
      <c r="AT277" s="201"/>
      <c r="AU277" s="223">
        <v>788881.68</v>
      </c>
      <c r="AV277" s="201">
        <f t="shared" si="345"/>
        <v>788881.68</v>
      </c>
      <c r="AW277" s="322">
        <f t="shared" si="368"/>
        <v>0</v>
      </c>
      <c r="AX277" s="201">
        <f t="shared" si="346"/>
        <v>98.610209999999995</v>
      </c>
      <c r="AY277" s="208"/>
      <c r="AZ277" s="201">
        <f t="shared" si="347"/>
        <v>0</v>
      </c>
      <c r="BA277" s="201">
        <f t="shared" si="348"/>
        <v>0</v>
      </c>
      <c r="BB277" s="201">
        <f t="shared" si="349"/>
        <v>0</v>
      </c>
      <c r="BC277" s="201"/>
      <c r="BD277" s="223">
        <v>0</v>
      </c>
      <c r="BE277" s="201">
        <f t="shared" si="361"/>
        <v>0</v>
      </c>
      <c r="BF277" s="208"/>
      <c r="BG277" s="201">
        <f t="shared" si="366"/>
        <v>0</v>
      </c>
      <c r="BH277" s="201">
        <f t="shared" si="366"/>
        <v>788881.68</v>
      </c>
      <c r="BI277" s="201">
        <f t="shared" si="351"/>
        <v>788881.68</v>
      </c>
      <c r="BJ277" s="201">
        <f t="shared" si="352"/>
        <v>98.610209999999995</v>
      </c>
      <c r="BK277" s="201">
        <v>89</v>
      </c>
      <c r="BL277" s="224">
        <v>90</v>
      </c>
      <c r="BM277" s="211"/>
      <c r="BN277" s="211"/>
      <c r="BO277" s="212">
        <f t="shared" si="353"/>
        <v>0</v>
      </c>
      <c r="BP277" s="201">
        <f t="shared" si="354"/>
        <v>11118.319999999949</v>
      </c>
      <c r="BQ277" s="201">
        <f t="shared" si="362"/>
        <v>11118.319999999949</v>
      </c>
      <c r="BR277" s="201">
        <f t="shared" si="367"/>
        <v>0</v>
      </c>
      <c r="BS277" s="201">
        <f t="shared" si="367"/>
        <v>11118.319999999949</v>
      </c>
      <c r="BT277" s="201">
        <f t="shared" si="363"/>
        <v>11118.319999999949</v>
      </c>
      <c r="BU277" s="213">
        <f t="shared" si="369"/>
        <v>0</v>
      </c>
      <c r="BV277" s="201"/>
      <c r="BW277" s="201"/>
      <c r="BX277" s="201">
        <f t="shared" si="364"/>
        <v>0</v>
      </c>
      <c r="BY277" s="199">
        <v>56000</v>
      </c>
      <c r="BZ277" s="199">
        <v>240000</v>
      </c>
      <c r="CA277" s="199">
        <v>416000</v>
      </c>
      <c r="CB277" s="199">
        <v>88000</v>
      </c>
      <c r="CC277" s="199">
        <v>0</v>
      </c>
      <c r="CD277" s="199">
        <v>0</v>
      </c>
      <c r="CE277" s="199"/>
      <c r="CF277" s="199"/>
      <c r="CG277" s="199"/>
      <c r="CH277" s="199"/>
      <c r="CI277" s="199"/>
      <c r="CJ277" s="199"/>
      <c r="CK277" s="214" t="s">
        <v>786</v>
      </c>
      <c r="CL277" s="214" t="s">
        <v>610</v>
      </c>
      <c r="CM277" s="211">
        <v>198</v>
      </c>
      <c r="CN277" s="215"/>
      <c r="CO277" s="215"/>
      <c r="CP277" s="216"/>
      <c r="CQ277" s="217"/>
      <c r="CR277" s="211"/>
      <c r="CS277" s="218"/>
      <c r="CT277" s="218"/>
      <c r="CU277" s="218"/>
      <c r="CV277" s="211"/>
      <c r="CW277" s="211"/>
      <c r="CX277" s="211"/>
      <c r="CY277" s="211"/>
      <c r="CZ277" s="211"/>
      <c r="DA277" s="211"/>
      <c r="DB277" s="211"/>
      <c r="DC277" s="219"/>
      <c r="DD277" s="219"/>
      <c r="DE277" s="219"/>
      <c r="DF277" s="211"/>
      <c r="DG277" s="211"/>
      <c r="DH277" s="211"/>
      <c r="DI277" s="211"/>
      <c r="DJ277" s="211"/>
      <c r="DK277" s="220" t="s">
        <v>32</v>
      </c>
      <c r="DT277" s="222"/>
    </row>
    <row r="278" spans="1:124" s="176" customFormat="1" ht="42" x14ac:dyDescent="0.2">
      <c r="A278" s="196" t="s">
        <v>94</v>
      </c>
      <c r="B278" s="197" t="s">
        <v>787</v>
      </c>
      <c r="C278" s="198">
        <v>1</v>
      </c>
      <c r="D278" s="199">
        <v>496000</v>
      </c>
      <c r="E278" s="198" t="s">
        <v>115</v>
      </c>
      <c r="F278" s="198" t="s">
        <v>115</v>
      </c>
      <c r="G278" s="198" t="s">
        <v>98</v>
      </c>
      <c r="H278" s="200">
        <v>1</v>
      </c>
      <c r="I278" s="199">
        <f t="shared" si="329"/>
        <v>487000</v>
      </c>
      <c r="J278" s="199">
        <f t="shared" si="330"/>
        <v>9000</v>
      </c>
      <c r="K278" s="199">
        <f t="shared" si="331"/>
        <v>496000</v>
      </c>
      <c r="L278" s="199">
        <v>487000</v>
      </c>
      <c r="M278" s="199">
        <v>9000</v>
      </c>
      <c r="N278" s="199">
        <f t="shared" si="332"/>
        <v>496000</v>
      </c>
      <c r="O278" s="199"/>
      <c r="P278" s="201">
        <v>0</v>
      </c>
      <c r="Q278" s="202">
        <v>203</v>
      </c>
      <c r="R278" s="203">
        <v>45583</v>
      </c>
      <c r="S278" s="199">
        <v>486920</v>
      </c>
      <c r="T278" s="199">
        <v>8521</v>
      </c>
      <c r="U278" s="204">
        <f t="shared" si="333"/>
        <v>495441</v>
      </c>
      <c r="V278" s="198"/>
      <c r="W278" s="206"/>
      <c r="X278" s="201"/>
      <c r="Y278" s="201"/>
      <c r="Z278" s="201">
        <f t="shared" si="334"/>
        <v>0</v>
      </c>
      <c r="AA278" s="198"/>
      <c r="AB278" s="206"/>
      <c r="AC278" s="207"/>
      <c r="AD278" s="201"/>
      <c r="AE278" s="204">
        <f t="shared" si="335"/>
        <v>0</v>
      </c>
      <c r="AF278" s="203">
        <f t="shared" si="336"/>
        <v>45583</v>
      </c>
      <c r="AG278" s="201">
        <f t="shared" si="337"/>
        <v>486920</v>
      </c>
      <c r="AH278" s="199">
        <f t="shared" si="338"/>
        <v>8521</v>
      </c>
      <c r="AI278" s="199">
        <f t="shared" si="339"/>
        <v>495441</v>
      </c>
      <c r="AJ278" s="201">
        <f t="shared" si="365"/>
        <v>486920</v>
      </c>
      <c r="AK278" s="201">
        <f t="shared" si="365"/>
        <v>8521</v>
      </c>
      <c r="AL278" s="201">
        <f t="shared" si="340"/>
        <v>495441</v>
      </c>
      <c r="AM278" s="198"/>
      <c r="AN278" s="203"/>
      <c r="AO278" s="208"/>
      <c r="AP278" s="201">
        <f t="shared" si="341"/>
        <v>486920</v>
      </c>
      <c r="AQ278" s="201">
        <f t="shared" si="342"/>
        <v>5340</v>
      </c>
      <c r="AR278" s="201">
        <f t="shared" si="343"/>
        <v>492260</v>
      </c>
      <c r="AS278" s="201">
        <f t="shared" si="344"/>
        <v>99.357945749342505</v>
      </c>
      <c r="AT278" s="201">
        <v>486920</v>
      </c>
      <c r="AU278" s="209">
        <f>492260-AT278</f>
        <v>5340</v>
      </c>
      <c r="AV278" s="201">
        <f t="shared" si="345"/>
        <v>492260</v>
      </c>
      <c r="AW278" s="322">
        <f t="shared" si="368"/>
        <v>0</v>
      </c>
      <c r="AX278" s="201">
        <f t="shared" si="346"/>
        <v>99.357945749342505</v>
      </c>
      <c r="AY278" s="208"/>
      <c r="AZ278" s="201">
        <f t="shared" si="347"/>
        <v>0</v>
      </c>
      <c r="BA278" s="201">
        <f t="shared" si="348"/>
        <v>0</v>
      </c>
      <c r="BB278" s="201">
        <f t="shared" si="349"/>
        <v>0</v>
      </c>
      <c r="BC278" s="201"/>
      <c r="BD278" s="209">
        <v>0</v>
      </c>
      <c r="BE278" s="201">
        <f t="shared" si="361"/>
        <v>0</v>
      </c>
      <c r="BF278" s="208"/>
      <c r="BG278" s="201">
        <f t="shared" si="366"/>
        <v>486920</v>
      </c>
      <c r="BH278" s="201">
        <f t="shared" si="366"/>
        <v>5340</v>
      </c>
      <c r="BI278" s="201">
        <f t="shared" si="351"/>
        <v>492260</v>
      </c>
      <c r="BJ278" s="201">
        <f t="shared" si="352"/>
        <v>99.357945749342505</v>
      </c>
      <c r="BK278" s="201">
        <v>30</v>
      </c>
      <c r="BL278" s="210">
        <v>100</v>
      </c>
      <c r="BM278" s="211"/>
      <c r="BN278" s="211"/>
      <c r="BO278" s="212">
        <f t="shared" si="353"/>
        <v>0</v>
      </c>
      <c r="BP278" s="201">
        <f t="shared" si="354"/>
        <v>3181</v>
      </c>
      <c r="BQ278" s="201">
        <f t="shared" si="362"/>
        <v>3181</v>
      </c>
      <c r="BR278" s="201">
        <f t="shared" si="367"/>
        <v>0</v>
      </c>
      <c r="BS278" s="201">
        <f t="shared" si="367"/>
        <v>3181</v>
      </c>
      <c r="BT278" s="201">
        <f t="shared" si="363"/>
        <v>3181</v>
      </c>
      <c r="BU278" s="213">
        <f t="shared" si="369"/>
        <v>0</v>
      </c>
      <c r="BV278" s="201"/>
      <c r="BW278" s="201"/>
      <c r="BX278" s="201">
        <f t="shared" si="364"/>
        <v>0</v>
      </c>
      <c r="BY278" s="199"/>
      <c r="BZ278" s="199"/>
      <c r="CA278" s="199">
        <v>496000</v>
      </c>
      <c r="CB278" s="199">
        <v>0</v>
      </c>
      <c r="CC278" s="199">
        <v>0</v>
      </c>
      <c r="CD278" s="199">
        <v>0</v>
      </c>
      <c r="CE278" s="199"/>
      <c r="CF278" s="199"/>
      <c r="CG278" s="199"/>
      <c r="CH278" s="199"/>
      <c r="CI278" s="199"/>
      <c r="CJ278" s="199"/>
      <c r="CK278" s="214"/>
      <c r="CL278" s="214"/>
      <c r="CM278" s="211">
        <v>191</v>
      </c>
      <c r="CN278" s="215"/>
      <c r="CO278" s="215"/>
      <c r="CP278" s="216"/>
      <c r="CQ278" s="217"/>
      <c r="CR278" s="211"/>
      <c r="CS278" s="218"/>
      <c r="CT278" s="218"/>
      <c r="CU278" s="218"/>
      <c r="CV278" s="211"/>
      <c r="CW278" s="211"/>
      <c r="CX278" s="211"/>
      <c r="CY278" s="211"/>
      <c r="CZ278" s="211"/>
      <c r="DA278" s="211"/>
      <c r="DB278" s="211"/>
      <c r="DC278" s="219"/>
      <c r="DD278" s="219"/>
      <c r="DE278" s="219"/>
      <c r="DF278" s="211"/>
      <c r="DG278" s="211"/>
      <c r="DH278" s="211"/>
      <c r="DI278" s="211"/>
      <c r="DJ278" s="211"/>
      <c r="DK278" s="220" t="s">
        <v>70</v>
      </c>
      <c r="DT278" s="222"/>
    </row>
    <row r="279" spans="1:124" s="176" customFormat="1" ht="42" x14ac:dyDescent="0.2">
      <c r="A279" s="195" t="s">
        <v>108</v>
      </c>
      <c r="B279" s="197" t="s">
        <v>788</v>
      </c>
      <c r="C279" s="198">
        <v>1</v>
      </c>
      <c r="D279" s="199">
        <v>980000</v>
      </c>
      <c r="E279" s="198" t="s">
        <v>789</v>
      </c>
      <c r="F279" s="198" t="s">
        <v>106</v>
      </c>
      <c r="G279" s="198" t="s">
        <v>98</v>
      </c>
      <c r="H279" s="200">
        <v>1</v>
      </c>
      <c r="I279" s="199">
        <f t="shared" si="329"/>
        <v>0</v>
      </c>
      <c r="J279" s="199">
        <f t="shared" si="330"/>
        <v>980000</v>
      </c>
      <c r="K279" s="199">
        <f t="shared" si="331"/>
        <v>980000</v>
      </c>
      <c r="L279" s="199"/>
      <c r="M279" s="199">
        <v>980000</v>
      </c>
      <c r="N279" s="199">
        <f t="shared" si="332"/>
        <v>980000</v>
      </c>
      <c r="O279" s="199"/>
      <c r="P279" s="201">
        <v>0</v>
      </c>
      <c r="Q279" s="202">
        <v>14</v>
      </c>
      <c r="R279" s="203">
        <v>45566</v>
      </c>
      <c r="S279" s="199"/>
      <c r="T279" s="199">
        <v>980000</v>
      </c>
      <c r="U279" s="204">
        <f t="shared" si="333"/>
        <v>980000</v>
      </c>
      <c r="V279" s="198"/>
      <c r="W279" s="206"/>
      <c r="X279" s="201"/>
      <c r="Y279" s="201"/>
      <c r="Z279" s="201">
        <f t="shared" si="334"/>
        <v>0</v>
      </c>
      <c r="AA279" s="198"/>
      <c r="AB279" s="206"/>
      <c r="AC279" s="207"/>
      <c r="AD279" s="201"/>
      <c r="AE279" s="204">
        <f t="shared" si="335"/>
        <v>0</v>
      </c>
      <c r="AF279" s="203">
        <f t="shared" si="336"/>
        <v>45566</v>
      </c>
      <c r="AG279" s="201">
        <f t="shared" si="337"/>
        <v>0</v>
      </c>
      <c r="AH279" s="199">
        <f t="shared" si="338"/>
        <v>980000</v>
      </c>
      <c r="AI279" s="199">
        <f t="shared" si="339"/>
        <v>980000</v>
      </c>
      <c r="AJ279" s="201">
        <f t="shared" si="365"/>
        <v>0</v>
      </c>
      <c r="AK279" s="201">
        <f t="shared" si="365"/>
        <v>980000</v>
      </c>
      <c r="AL279" s="201">
        <f t="shared" si="340"/>
        <v>980000</v>
      </c>
      <c r="AM279" s="198"/>
      <c r="AN279" s="203"/>
      <c r="AO279" s="208"/>
      <c r="AP279" s="201">
        <f t="shared" si="341"/>
        <v>0</v>
      </c>
      <c r="AQ279" s="201">
        <f t="shared" si="342"/>
        <v>797251.43</v>
      </c>
      <c r="AR279" s="201">
        <f t="shared" si="343"/>
        <v>797251.43</v>
      </c>
      <c r="AS279" s="201">
        <f t="shared" si="344"/>
        <v>81.352186734693873</v>
      </c>
      <c r="AT279" s="201"/>
      <c r="AU279" s="223">
        <v>797251.43</v>
      </c>
      <c r="AV279" s="201">
        <f t="shared" si="345"/>
        <v>797251.43</v>
      </c>
      <c r="AW279" s="322">
        <f t="shared" si="368"/>
        <v>0</v>
      </c>
      <c r="AX279" s="201">
        <f t="shared" si="346"/>
        <v>81.352186734693873</v>
      </c>
      <c r="AY279" s="208"/>
      <c r="AZ279" s="201">
        <f t="shared" si="347"/>
        <v>0</v>
      </c>
      <c r="BA279" s="201">
        <f t="shared" si="348"/>
        <v>0</v>
      </c>
      <c r="BB279" s="201">
        <f t="shared" si="349"/>
        <v>0</v>
      </c>
      <c r="BC279" s="201"/>
      <c r="BD279" s="223">
        <v>0</v>
      </c>
      <c r="BE279" s="201">
        <f t="shared" si="361"/>
        <v>0</v>
      </c>
      <c r="BF279" s="208"/>
      <c r="BG279" s="201">
        <f t="shared" si="366"/>
        <v>0</v>
      </c>
      <c r="BH279" s="201">
        <f t="shared" si="366"/>
        <v>797251.43</v>
      </c>
      <c r="BI279" s="201">
        <f t="shared" si="351"/>
        <v>797251.43</v>
      </c>
      <c r="BJ279" s="201">
        <f t="shared" si="352"/>
        <v>81.352186734693873</v>
      </c>
      <c r="BK279" s="201">
        <v>89</v>
      </c>
      <c r="BL279" s="224">
        <v>75</v>
      </c>
      <c r="BM279" s="211"/>
      <c r="BN279" s="211"/>
      <c r="BO279" s="212">
        <f t="shared" si="353"/>
        <v>0</v>
      </c>
      <c r="BP279" s="201">
        <f t="shared" si="354"/>
        <v>182748.56999999995</v>
      </c>
      <c r="BQ279" s="201">
        <f t="shared" si="362"/>
        <v>182748.56999999995</v>
      </c>
      <c r="BR279" s="201">
        <f t="shared" si="367"/>
        <v>0</v>
      </c>
      <c r="BS279" s="201">
        <f t="shared" si="367"/>
        <v>182748.56999999995</v>
      </c>
      <c r="BT279" s="201">
        <f t="shared" si="363"/>
        <v>182748.56999999995</v>
      </c>
      <c r="BU279" s="213">
        <f t="shared" si="369"/>
        <v>0</v>
      </c>
      <c r="BV279" s="201"/>
      <c r="BW279" s="201"/>
      <c r="BX279" s="201">
        <f t="shared" si="364"/>
        <v>0</v>
      </c>
      <c r="BY279" s="199">
        <v>68600</v>
      </c>
      <c r="BZ279" s="199">
        <v>294000</v>
      </c>
      <c r="CA279" s="199">
        <v>509600</v>
      </c>
      <c r="CB279" s="199">
        <v>107800</v>
      </c>
      <c r="CC279" s="199">
        <v>0</v>
      </c>
      <c r="CD279" s="199">
        <v>0</v>
      </c>
      <c r="CE279" s="199"/>
      <c r="CF279" s="199"/>
      <c r="CG279" s="199"/>
      <c r="CH279" s="199"/>
      <c r="CI279" s="199"/>
      <c r="CJ279" s="199"/>
      <c r="CK279" s="214" t="s">
        <v>790</v>
      </c>
      <c r="CL279" s="214" t="s">
        <v>610</v>
      </c>
      <c r="CM279" s="211">
        <v>198</v>
      </c>
      <c r="CN279" s="215"/>
      <c r="CO279" s="215"/>
      <c r="CP279" s="216"/>
      <c r="CQ279" s="217"/>
      <c r="CR279" s="211"/>
      <c r="CS279" s="218"/>
      <c r="CT279" s="218"/>
      <c r="CU279" s="218"/>
      <c r="CV279" s="211"/>
      <c r="CW279" s="211"/>
      <c r="CX279" s="211"/>
      <c r="CY279" s="211"/>
      <c r="CZ279" s="211"/>
      <c r="DA279" s="211"/>
      <c r="DB279" s="211"/>
      <c r="DC279" s="219"/>
      <c r="DD279" s="219"/>
      <c r="DE279" s="219"/>
      <c r="DF279" s="211"/>
      <c r="DG279" s="211"/>
      <c r="DH279" s="211"/>
      <c r="DI279" s="211"/>
      <c r="DJ279" s="211"/>
      <c r="DK279" s="220" t="s">
        <v>32</v>
      </c>
      <c r="DT279" s="222"/>
    </row>
    <row r="280" spans="1:124" s="176" customFormat="1" ht="42" x14ac:dyDescent="0.2">
      <c r="A280" s="195" t="s">
        <v>108</v>
      </c>
      <c r="B280" s="197" t="s">
        <v>791</v>
      </c>
      <c r="C280" s="198">
        <v>1</v>
      </c>
      <c r="D280" s="199">
        <v>550000</v>
      </c>
      <c r="E280" s="198" t="s">
        <v>326</v>
      </c>
      <c r="F280" s="198" t="s">
        <v>327</v>
      </c>
      <c r="G280" s="198" t="s">
        <v>98</v>
      </c>
      <c r="H280" s="200">
        <v>1</v>
      </c>
      <c r="I280" s="199">
        <f t="shared" si="329"/>
        <v>0</v>
      </c>
      <c r="J280" s="199">
        <f t="shared" si="330"/>
        <v>550000</v>
      </c>
      <c r="K280" s="199">
        <f t="shared" si="331"/>
        <v>550000</v>
      </c>
      <c r="L280" s="199"/>
      <c r="M280" s="199">
        <v>550000</v>
      </c>
      <c r="N280" s="199">
        <f t="shared" si="332"/>
        <v>550000</v>
      </c>
      <c r="O280" s="199"/>
      <c r="P280" s="201">
        <v>0</v>
      </c>
      <c r="Q280" s="202">
        <v>14</v>
      </c>
      <c r="R280" s="203">
        <v>45566</v>
      </c>
      <c r="S280" s="199"/>
      <c r="T280" s="199">
        <v>550000</v>
      </c>
      <c r="U280" s="204">
        <f t="shared" si="333"/>
        <v>550000</v>
      </c>
      <c r="V280" s="198"/>
      <c r="W280" s="206"/>
      <c r="X280" s="201"/>
      <c r="Y280" s="201"/>
      <c r="Z280" s="201">
        <f t="shared" si="334"/>
        <v>0</v>
      </c>
      <c r="AA280" s="198"/>
      <c r="AB280" s="206"/>
      <c r="AC280" s="207"/>
      <c r="AD280" s="201"/>
      <c r="AE280" s="204">
        <f t="shared" si="335"/>
        <v>0</v>
      </c>
      <c r="AF280" s="203">
        <f t="shared" si="336"/>
        <v>45566</v>
      </c>
      <c r="AG280" s="201">
        <f t="shared" si="337"/>
        <v>0</v>
      </c>
      <c r="AH280" s="199">
        <f t="shared" si="338"/>
        <v>550000</v>
      </c>
      <c r="AI280" s="199">
        <f t="shared" si="339"/>
        <v>550000</v>
      </c>
      <c r="AJ280" s="201">
        <f t="shared" si="365"/>
        <v>0</v>
      </c>
      <c r="AK280" s="201">
        <f t="shared" si="365"/>
        <v>550000</v>
      </c>
      <c r="AL280" s="201">
        <f t="shared" si="340"/>
        <v>550000</v>
      </c>
      <c r="AM280" s="198"/>
      <c r="AN280" s="203"/>
      <c r="AO280" s="208"/>
      <c r="AP280" s="201">
        <f t="shared" si="341"/>
        <v>0</v>
      </c>
      <c r="AQ280" s="201">
        <f t="shared" si="342"/>
        <v>549441.34</v>
      </c>
      <c r="AR280" s="201">
        <f t="shared" si="343"/>
        <v>549441.34</v>
      </c>
      <c r="AS280" s="201">
        <f t="shared" si="344"/>
        <v>99.89842545454546</v>
      </c>
      <c r="AT280" s="201"/>
      <c r="AU280" s="223">
        <v>549441.34</v>
      </c>
      <c r="AV280" s="201">
        <f t="shared" si="345"/>
        <v>549441.34</v>
      </c>
      <c r="AW280" s="322">
        <f t="shared" si="368"/>
        <v>0</v>
      </c>
      <c r="AX280" s="201">
        <f t="shared" si="346"/>
        <v>99.89842545454546</v>
      </c>
      <c r="AY280" s="208"/>
      <c r="AZ280" s="201">
        <f t="shared" si="347"/>
        <v>0</v>
      </c>
      <c r="BA280" s="201">
        <f t="shared" si="348"/>
        <v>0</v>
      </c>
      <c r="BB280" s="201">
        <f t="shared" si="349"/>
        <v>0</v>
      </c>
      <c r="BC280" s="201"/>
      <c r="BD280" s="223">
        <v>0</v>
      </c>
      <c r="BE280" s="201">
        <f t="shared" si="361"/>
        <v>0</v>
      </c>
      <c r="BF280" s="208"/>
      <c r="BG280" s="201">
        <f t="shared" si="366"/>
        <v>0</v>
      </c>
      <c r="BH280" s="201">
        <f t="shared" si="366"/>
        <v>549441.34</v>
      </c>
      <c r="BI280" s="201">
        <f t="shared" si="351"/>
        <v>549441.34</v>
      </c>
      <c r="BJ280" s="201">
        <f t="shared" si="352"/>
        <v>99.89842545454546</v>
      </c>
      <c r="BK280" s="201">
        <v>89</v>
      </c>
      <c r="BL280" s="224">
        <v>100</v>
      </c>
      <c r="BM280" s="211"/>
      <c r="BN280" s="211"/>
      <c r="BO280" s="212">
        <f t="shared" si="353"/>
        <v>0</v>
      </c>
      <c r="BP280" s="201">
        <f t="shared" si="354"/>
        <v>558.6600000000326</v>
      </c>
      <c r="BQ280" s="201">
        <f t="shared" si="362"/>
        <v>558.6600000000326</v>
      </c>
      <c r="BR280" s="201">
        <f t="shared" si="367"/>
        <v>0</v>
      </c>
      <c r="BS280" s="201">
        <f t="shared" si="367"/>
        <v>558.6600000000326</v>
      </c>
      <c r="BT280" s="201">
        <f t="shared" si="363"/>
        <v>558.6600000000326</v>
      </c>
      <c r="BU280" s="213">
        <f t="shared" si="369"/>
        <v>0</v>
      </c>
      <c r="BV280" s="201"/>
      <c r="BW280" s="201"/>
      <c r="BX280" s="201">
        <f t="shared" si="364"/>
        <v>0</v>
      </c>
      <c r="BY280" s="199">
        <v>38500</v>
      </c>
      <c r="BZ280" s="199">
        <v>165000</v>
      </c>
      <c r="CA280" s="199">
        <v>286000</v>
      </c>
      <c r="CB280" s="199">
        <v>60500</v>
      </c>
      <c r="CC280" s="199">
        <v>0</v>
      </c>
      <c r="CD280" s="199">
        <v>0</v>
      </c>
      <c r="CE280" s="199"/>
      <c r="CF280" s="199"/>
      <c r="CG280" s="199"/>
      <c r="CH280" s="199"/>
      <c r="CI280" s="199"/>
      <c r="CJ280" s="199"/>
      <c r="CK280" s="214" t="s">
        <v>792</v>
      </c>
      <c r="CL280" s="214" t="s">
        <v>610</v>
      </c>
      <c r="CM280" s="211">
        <v>198</v>
      </c>
      <c r="CN280" s="215"/>
      <c r="CO280" s="215"/>
      <c r="CP280" s="216"/>
      <c r="CQ280" s="217"/>
      <c r="CR280" s="211"/>
      <c r="CS280" s="218"/>
      <c r="CT280" s="218"/>
      <c r="CU280" s="218"/>
      <c r="CV280" s="211"/>
      <c r="CW280" s="211"/>
      <c r="CX280" s="211"/>
      <c r="CY280" s="211"/>
      <c r="CZ280" s="211"/>
      <c r="DA280" s="211"/>
      <c r="DB280" s="211"/>
      <c r="DC280" s="219"/>
      <c r="DD280" s="219"/>
      <c r="DE280" s="219"/>
      <c r="DF280" s="211"/>
      <c r="DG280" s="211"/>
      <c r="DH280" s="211"/>
      <c r="DI280" s="211"/>
      <c r="DJ280" s="211"/>
      <c r="DK280" s="220" t="s">
        <v>32</v>
      </c>
      <c r="DT280" s="222"/>
    </row>
    <row r="281" spans="1:124" s="176" customFormat="1" ht="42" x14ac:dyDescent="0.2">
      <c r="A281" s="294" t="s">
        <v>94</v>
      </c>
      <c r="B281" s="197" t="s">
        <v>793</v>
      </c>
      <c r="C281" s="198">
        <v>1</v>
      </c>
      <c r="D281" s="199">
        <v>535000</v>
      </c>
      <c r="E281" s="198" t="s">
        <v>102</v>
      </c>
      <c r="F281" s="198" t="s">
        <v>97</v>
      </c>
      <c r="G281" s="198" t="s">
        <v>98</v>
      </c>
      <c r="H281" s="200">
        <v>1</v>
      </c>
      <c r="I281" s="199">
        <f t="shared" si="329"/>
        <v>0</v>
      </c>
      <c r="J281" s="199">
        <f t="shared" si="330"/>
        <v>535000</v>
      </c>
      <c r="K281" s="199">
        <f t="shared" si="331"/>
        <v>535000</v>
      </c>
      <c r="L281" s="199"/>
      <c r="M281" s="199">
        <v>535000</v>
      </c>
      <c r="N281" s="199">
        <f t="shared" si="332"/>
        <v>535000</v>
      </c>
      <c r="O281" s="199"/>
      <c r="P281" s="201">
        <v>0</v>
      </c>
      <c r="Q281" s="202">
        <v>14</v>
      </c>
      <c r="R281" s="203">
        <v>45566</v>
      </c>
      <c r="S281" s="199"/>
      <c r="T281" s="199">
        <v>535000</v>
      </c>
      <c r="U281" s="204">
        <f t="shared" si="333"/>
        <v>535000</v>
      </c>
      <c r="V281" s="198"/>
      <c r="W281" s="206"/>
      <c r="X281" s="201"/>
      <c r="Y281" s="201">
        <v>-552.08999999996695</v>
      </c>
      <c r="Z281" s="201">
        <f t="shared" si="334"/>
        <v>-552.08999999996695</v>
      </c>
      <c r="AA281" s="198"/>
      <c r="AB281" s="206"/>
      <c r="AC281" s="207"/>
      <c r="AD281" s="201"/>
      <c r="AE281" s="204">
        <f t="shared" si="335"/>
        <v>0</v>
      </c>
      <c r="AF281" s="203">
        <f t="shared" si="336"/>
        <v>45566</v>
      </c>
      <c r="AG281" s="201">
        <f t="shared" si="337"/>
        <v>0</v>
      </c>
      <c r="AH281" s="199">
        <f t="shared" si="338"/>
        <v>534447.91</v>
      </c>
      <c r="AI281" s="199">
        <f t="shared" si="339"/>
        <v>534447.91</v>
      </c>
      <c r="AJ281" s="201">
        <f t="shared" si="365"/>
        <v>0</v>
      </c>
      <c r="AK281" s="201">
        <f t="shared" si="365"/>
        <v>534447.91</v>
      </c>
      <c r="AL281" s="201">
        <f t="shared" si="340"/>
        <v>534447.91</v>
      </c>
      <c r="AM281" s="198"/>
      <c r="AN281" s="203"/>
      <c r="AO281" s="208"/>
      <c r="AP281" s="201">
        <f t="shared" si="341"/>
        <v>0</v>
      </c>
      <c r="AQ281" s="201">
        <f t="shared" si="342"/>
        <v>534447.91</v>
      </c>
      <c r="AR281" s="201">
        <f t="shared" si="343"/>
        <v>534447.91</v>
      </c>
      <c r="AS281" s="201">
        <f t="shared" si="344"/>
        <v>100</v>
      </c>
      <c r="AT281" s="201"/>
      <c r="AU281" s="209">
        <v>534447.91</v>
      </c>
      <c r="AV281" s="201">
        <f t="shared" si="345"/>
        <v>534447.91</v>
      </c>
      <c r="AW281" s="322">
        <f t="shared" si="368"/>
        <v>0</v>
      </c>
      <c r="AX281" s="201">
        <f t="shared" si="346"/>
        <v>100</v>
      </c>
      <c r="AY281" s="208"/>
      <c r="AZ281" s="201">
        <f t="shared" si="347"/>
        <v>0</v>
      </c>
      <c r="BA281" s="201">
        <f t="shared" si="348"/>
        <v>0</v>
      </c>
      <c r="BB281" s="201">
        <f t="shared" si="349"/>
        <v>0</v>
      </c>
      <c r="BC281" s="201"/>
      <c r="BD281" s="209">
        <v>0</v>
      </c>
      <c r="BE281" s="201">
        <f t="shared" si="361"/>
        <v>0</v>
      </c>
      <c r="BF281" s="208"/>
      <c r="BG281" s="201">
        <f t="shared" si="366"/>
        <v>0</v>
      </c>
      <c r="BH281" s="201">
        <f t="shared" si="366"/>
        <v>534447.91</v>
      </c>
      <c r="BI281" s="201">
        <f t="shared" si="351"/>
        <v>534447.91</v>
      </c>
      <c r="BJ281" s="201">
        <f t="shared" si="352"/>
        <v>100</v>
      </c>
      <c r="BK281" s="201">
        <v>45</v>
      </c>
      <c r="BL281" s="210">
        <v>100</v>
      </c>
      <c r="BM281" s="211"/>
      <c r="BN281" s="211"/>
      <c r="BO281" s="212">
        <f t="shared" si="353"/>
        <v>0</v>
      </c>
      <c r="BP281" s="201">
        <f t="shared" si="354"/>
        <v>0</v>
      </c>
      <c r="BQ281" s="201">
        <f t="shared" si="362"/>
        <v>0</v>
      </c>
      <c r="BR281" s="201">
        <f t="shared" si="367"/>
        <v>0</v>
      </c>
      <c r="BS281" s="201">
        <f t="shared" si="367"/>
        <v>0</v>
      </c>
      <c r="BT281" s="201">
        <f t="shared" si="363"/>
        <v>0</v>
      </c>
      <c r="BU281" s="213">
        <f t="shared" si="369"/>
        <v>0</v>
      </c>
      <c r="BV281" s="201">
        <v>552.0899999999674</v>
      </c>
      <c r="BW281" s="201"/>
      <c r="BX281" s="201">
        <f t="shared" si="364"/>
        <v>552.0899999999674</v>
      </c>
      <c r="BY281" s="199">
        <v>178300</v>
      </c>
      <c r="BZ281" s="199">
        <v>178300</v>
      </c>
      <c r="CA281" s="199">
        <v>178400</v>
      </c>
      <c r="CB281" s="199">
        <v>0</v>
      </c>
      <c r="CC281" s="199">
        <v>0</v>
      </c>
      <c r="CD281" s="199">
        <v>0</v>
      </c>
      <c r="CE281" s="199"/>
      <c r="CF281" s="199"/>
      <c r="CG281" s="199"/>
      <c r="CH281" s="199"/>
      <c r="CI281" s="199"/>
      <c r="CJ281" s="199"/>
      <c r="CK281" s="214" t="s">
        <v>794</v>
      </c>
      <c r="CL281" s="214" t="s">
        <v>610</v>
      </c>
      <c r="CM281" s="211">
        <v>198</v>
      </c>
      <c r="CN281" s="215"/>
      <c r="CO281" s="215"/>
      <c r="CP281" s="216"/>
      <c r="CQ281" s="217"/>
      <c r="CR281" s="211"/>
      <c r="CS281" s="218"/>
      <c r="CT281" s="218"/>
      <c r="CU281" s="218"/>
      <c r="CV281" s="211"/>
      <c r="CW281" s="211"/>
      <c r="CX281" s="211"/>
      <c r="CY281" s="211"/>
      <c r="CZ281" s="211"/>
      <c r="DA281" s="211"/>
      <c r="DB281" s="211"/>
      <c r="DC281" s="219"/>
      <c r="DD281" s="219"/>
      <c r="DE281" s="219"/>
      <c r="DF281" s="211"/>
      <c r="DG281" s="211"/>
      <c r="DH281" s="211"/>
      <c r="DI281" s="211"/>
      <c r="DJ281" s="211"/>
      <c r="DK281" s="220" t="s">
        <v>32</v>
      </c>
      <c r="DT281" s="222"/>
    </row>
    <row r="282" spans="1:124" s="176" customFormat="1" ht="42" x14ac:dyDescent="0.2">
      <c r="A282" s="294" t="s">
        <v>94</v>
      </c>
      <c r="B282" s="197" t="s">
        <v>795</v>
      </c>
      <c r="C282" s="198">
        <v>1</v>
      </c>
      <c r="D282" s="199">
        <v>463000</v>
      </c>
      <c r="E282" s="198" t="s">
        <v>134</v>
      </c>
      <c r="F282" s="198" t="s">
        <v>97</v>
      </c>
      <c r="G282" s="198" t="s">
        <v>98</v>
      </c>
      <c r="H282" s="200">
        <v>1</v>
      </c>
      <c r="I282" s="199">
        <f t="shared" si="329"/>
        <v>0</v>
      </c>
      <c r="J282" s="199">
        <f t="shared" si="330"/>
        <v>463000</v>
      </c>
      <c r="K282" s="199">
        <f t="shared" si="331"/>
        <v>463000</v>
      </c>
      <c r="L282" s="199"/>
      <c r="M282" s="199">
        <v>463000</v>
      </c>
      <c r="N282" s="199">
        <f t="shared" si="332"/>
        <v>463000</v>
      </c>
      <c r="O282" s="199"/>
      <c r="P282" s="201">
        <v>0</v>
      </c>
      <c r="Q282" s="202">
        <v>14</v>
      </c>
      <c r="R282" s="203">
        <v>45566</v>
      </c>
      <c r="S282" s="199"/>
      <c r="T282" s="199">
        <v>463000</v>
      </c>
      <c r="U282" s="204">
        <f t="shared" si="333"/>
        <v>463000</v>
      </c>
      <c r="V282" s="198"/>
      <c r="W282" s="206"/>
      <c r="X282" s="201"/>
      <c r="Y282" s="201">
        <v>-511.150000000023</v>
      </c>
      <c r="Z282" s="201">
        <f t="shared" si="334"/>
        <v>-511.150000000023</v>
      </c>
      <c r="AA282" s="198"/>
      <c r="AB282" s="206"/>
      <c r="AC282" s="207"/>
      <c r="AD282" s="201"/>
      <c r="AE282" s="204">
        <f t="shared" si="335"/>
        <v>0</v>
      </c>
      <c r="AF282" s="203">
        <f t="shared" si="336"/>
        <v>45566</v>
      </c>
      <c r="AG282" s="201">
        <f t="shared" si="337"/>
        <v>0</v>
      </c>
      <c r="AH282" s="199">
        <f t="shared" si="338"/>
        <v>462488.85</v>
      </c>
      <c r="AI282" s="199">
        <f t="shared" si="339"/>
        <v>462488.85</v>
      </c>
      <c r="AJ282" s="201">
        <f t="shared" si="365"/>
        <v>0</v>
      </c>
      <c r="AK282" s="201">
        <f t="shared" si="365"/>
        <v>462488.85</v>
      </c>
      <c r="AL282" s="201">
        <f t="shared" si="340"/>
        <v>462488.85</v>
      </c>
      <c r="AM282" s="198"/>
      <c r="AN282" s="203"/>
      <c r="AO282" s="208"/>
      <c r="AP282" s="201">
        <f t="shared" si="341"/>
        <v>0</v>
      </c>
      <c r="AQ282" s="201">
        <f t="shared" si="342"/>
        <v>462488.85</v>
      </c>
      <c r="AR282" s="201">
        <f t="shared" si="343"/>
        <v>462488.85</v>
      </c>
      <c r="AS282" s="201">
        <f t="shared" si="344"/>
        <v>100</v>
      </c>
      <c r="AT282" s="201"/>
      <c r="AU282" s="209">
        <v>462488.85</v>
      </c>
      <c r="AV282" s="201">
        <f t="shared" si="345"/>
        <v>462488.85</v>
      </c>
      <c r="AW282" s="322">
        <f t="shared" si="368"/>
        <v>0</v>
      </c>
      <c r="AX282" s="201">
        <f t="shared" si="346"/>
        <v>100</v>
      </c>
      <c r="AY282" s="208"/>
      <c r="AZ282" s="201">
        <f t="shared" si="347"/>
        <v>0</v>
      </c>
      <c r="BA282" s="201">
        <f t="shared" si="348"/>
        <v>0</v>
      </c>
      <c r="BB282" s="201">
        <f t="shared" si="349"/>
        <v>0</v>
      </c>
      <c r="BC282" s="201"/>
      <c r="BD282" s="209">
        <v>0</v>
      </c>
      <c r="BE282" s="201">
        <f t="shared" ref="BE282:BE336" si="370">SUM(BC282:BD282)</f>
        <v>0</v>
      </c>
      <c r="BF282" s="208"/>
      <c r="BG282" s="201">
        <f t="shared" si="366"/>
        <v>0</v>
      </c>
      <c r="BH282" s="201">
        <f t="shared" si="366"/>
        <v>462488.85</v>
      </c>
      <c r="BI282" s="201">
        <f t="shared" si="351"/>
        <v>462488.85</v>
      </c>
      <c r="BJ282" s="201">
        <f t="shared" si="352"/>
        <v>100</v>
      </c>
      <c r="BK282" s="201">
        <v>40</v>
      </c>
      <c r="BL282" s="210">
        <v>100</v>
      </c>
      <c r="BM282" s="211"/>
      <c r="BN282" s="211"/>
      <c r="BO282" s="212">
        <f t="shared" si="353"/>
        <v>0</v>
      </c>
      <c r="BP282" s="201">
        <f t="shared" si="354"/>
        <v>0</v>
      </c>
      <c r="BQ282" s="201">
        <f t="shared" ref="BQ282:BQ336" si="371">SUM(BO282:BP282)</f>
        <v>0</v>
      </c>
      <c r="BR282" s="201">
        <f t="shared" si="367"/>
        <v>0</v>
      </c>
      <c r="BS282" s="201">
        <f t="shared" si="367"/>
        <v>0</v>
      </c>
      <c r="BT282" s="201">
        <f t="shared" ref="BT282:BT336" si="372">SUM(BR282:BS282)</f>
        <v>0</v>
      </c>
      <c r="BU282" s="213">
        <f t="shared" si="369"/>
        <v>0</v>
      </c>
      <c r="BV282" s="201">
        <v>511.15000000002328</v>
      </c>
      <c r="BW282" s="201"/>
      <c r="BX282" s="201">
        <f t="shared" ref="BX282:BX336" si="373">SUM(BV282:BW282)</f>
        <v>511.15000000002328</v>
      </c>
      <c r="BY282" s="199">
        <v>154300</v>
      </c>
      <c r="BZ282" s="199">
        <v>154300</v>
      </c>
      <c r="CA282" s="199">
        <v>154400</v>
      </c>
      <c r="CB282" s="199">
        <v>0</v>
      </c>
      <c r="CC282" s="199">
        <v>0</v>
      </c>
      <c r="CD282" s="199">
        <v>0</v>
      </c>
      <c r="CE282" s="199"/>
      <c r="CF282" s="199"/>
      <c r="CG282" s="199"/>
      <c r="CH282" s="199"/>
      <c r="CI282" s="199"/>
      <c r="CJ282" s="199"/>
      <c r="CK282" s="214" t="s">
        <v>796</v>
      </c>
      <c r="CL282" s="214" t="s">
        <v>610</v>
      </c>
      <c r="CM282" s="211">
        <v>198</v>
      </c>
      <c r="CN282" s="215"/>
      <c r="CO282" s="215"/>
      <c r="CP282" s="216"/>
      <c r="CQ282" s="217"/>
      <c r="CR282" s="211"/>
      <c r="CS282" s="218"/>
      <c r="CT282" s="218"/>
      <c r="CU282" s="218"/>
      <c r="CV282" s="211"/>
      <c r="CW282" s="211"/>
      <c r="CX282" s="211"/>
      <c r="CY282" s="211"/>
      <c r="CZ282" s="211"/>
      <c r="DA282" s="211"/>
      <c r="DB282" s="211"/>
      <c r="DC282" s="219"/>
      <c r="DD282" s="219"/>
      <c r="DE282" s="219"/>
      <c r="DF282" s="211"/>
      <c r="DG282" s="211"/>
      <c r="DH282" s="211"/>
      <c r="DI282" s="211"/>
      <c r="DJ282" s="211"/>
      <c r="DK282" s="220" t="s">
        <v>32</v>
      </c>
      <c r="DT282" s="222"/>
    </row>
    <row r="283" spans="1:124" s="176" customFormat="1" ht="42" x14ac:dyDescent="0.2">
      <c r="A283" s="195" t="s">
        <v>108</v>
      </c>
      <c r="B283" s="197" t="s">
        <v>797</v>
      </c>
      <c r="C283" s="198">
        <v>1</v>
      </c>
      <c r="D283" s="199">
        <v>950000</v>
      </c>
      <c r="E283" s="198" t="s">
        <v>326</v>
      </c>
      <c r="F283" s="198" t="s">
        <v>327</v>
      </c>
      <c r="G283" s="198" t="s">
        <v>98</v>
      </c>
      <c r="H283" s="200">
        <v>1</v>
      </c>
      <c r="I283" s="199">
        <f t="shared" si="329"/>
        <v>0</v>
      </c>
      <c r="J283" s="199">
        <f t="shared" si="330"/>
        <v>950000</v>
      </c>
      <c r="K283" s="199">
        <f t="shared" si="331"/>
        <v>950000</v>
      </c>
      <c r="L283" s="199"/>
      <c r="M283" s="199">
        <v>950000</v>
      </c>
      <c r="N283" s="199">
        <f t="shared" si="332"/>
        <v>950000</v>
      </c>
      <c r="O283" s="199"/>
      <c r="P283" s="201">
        <v>0</v>
      </c>
      <c r="Q283" s="202">
        <v>14</v>
      </c>
      <c r="R283" s="203">
        <v>45566</v>
      </c>
      <c r="S283" s="199"/>
      <c r="T283" s="199">
        <v>950000</v>
      </c>
      <c r="U283" s="204">
        <f t="shared" si="333"/>
        <v>950000</v>
      </c>
      <c r="V283" s="198"/>
      <c r="W283" s="206"/>
      <c r="X283" s="201"/>
      <c r="Y283" s="201"/>
      <c r="Z283" s="201">
        <f t="shared" si="334"/>
        <v>0</v>
      </c>
      <c r="AA283" s="198"/>
      <c r="AB283" s="206"/>
      <c r="AC283" s="207"/>
      <c r="AD283" s="201"/>
      <c r="AE283" s="204">
        <f t="shared" si="335"/>
        <v>0</v>
      </c>
      <c r="AF283" s="203">
        <f t="shared" si="336"/>
        <v>45566</v>
      </c>
      <c r="AG283" s="201">
        <f t="shared" si="337"/>
        <v>0</v>
      </c>
      <c r="AH283" s="199">
        <f t="shared" si="338"/>
        <v>950000</v>
      </c>
      <c r="AI283" s="199">
        <f t="shared" si="339"/>
        <v>950000</v>
      </c>
      <c r="AJ283" s="201">
        <f t="shared" si="365"/>
        <v>0</v>
      </c>
      <c r="AK283" s="201">
        <f t="shared" si="365"/>
        <v>950000</v>
      </c>
      <c r="AL283" s="201">
        <f t="shared" si="340"/>
        <v>950000</v>
      </c>
      <c r="AM283" s="198"/>
      <c r="AN283" s="203"/>
      <c r="AO283" s="208"/>
      <c r="AP283" s="201">
        <f t="shared" si="341"/>
        <v>0</v>
      </c>
      <c r="AQ283" s="201">
        <f t="shared" si="342"/>
        <v>949692.75</v>
      </c>
      <c r="AR283" s="201">
        <f t="shared" si="343"/>
        <v>949692.75</v>
      </c>
      <c r="AS283" s="201">
        <f t="shared" si="344"/>
        <v>99.967657894736845</v>
      </c>
      <c r="AT283" s="201"/>
      <c r="AU283" s="223">
        <v>949692.75</v>
      </c>
      <c r="AV283" s="201">
        <f t="shared" si="345"/>
        <v>949692.75</v>
      </c>
      <c r="AW283" s="322">
        <f t="shared" si="368"/>
        <v>0</v>
      </c>
      <c r="AX283" s="201">
        <f t="shared" si="346"/>
        <v>99.967657894736845</v>
      </c>
      <c r="AY283" s="208"/>
      <c r="AZ283" s="201">
        <f t="shared" si="347"/>
        <v>0</v>
      </c>
      <c r="BA283" s="201">
        <f t="shared" si="348"/>
        <v>0</v>
      </c>
      <c r="BB283" s="201">
        <f t="shared" si="349"/>
        <v>0</v>
      </c>
      <c r="BC283" s="201"/>
      <c r="BD283" s="223">
        <v>0</v>
      </c>
      <c r="BE283" s="201">
        <f t="shared" si="370"/>
        <v>0</v>
      </c>
      <c r="BF283" s="208"/>
      <c r="BG283" s="201">
        <f t="shared" si="366"/>
        <v>0</v>
      </c>
      <c r="BH283" s="201">
        <f t="shared" si="366"/>
        <v>949692.75</v>
      </c>
      <c r="BI283" s="201">
        <f t="shared" si="351"/>
        <v>949692.75</v>
      </c>
      <c r="BJ283" s="201">
        <f t="shared" si="352"/>
        <v>99.967657894736845</v>
      </c>
      <c r="BK283" s="201">
        <v>89</v>
      </c>
      <c r="BL283" s="224">
        <v>100</v>
      </c>
      <c r="BM283" s="211"/>
      <c r="BN283" s="211"/>
      <c r="BO283" s="212">
        <f t="shared" si="353"/>
        <v>0</v>
      </c>
      <c r="BP283" s="201">
        <f t="shared" si="354"/>
        <v>307.25</v>
      </c>
      <c r="BQ283" s="201">
        <f t="shared" si="371"/>
        <v>307.25</v>
      </c>
      <c r="BR283" s="201">
        <f t="shared" si="367"/>
        <v>0</v>
      </c>
      <c r="BS283" s="201">
        <f t="shared" si="367"/>
        <v>307.25</v>
      </c>
      <c r="BT283" s="201">
        <f t="shared" si="372"/>
        <v>307.25</v>
      </c>
      <c r="BU283" s="213">
        <f t="shared" si="369"/>
        <v>0</v>
      </c>
      <c r="BV283" s="201"/>
      <c r="BW283" s="201"/>
      <c r="BX283" s="201">
        <f t="shared" si="373"/>
        <v>0</v>
      </c>
      <c r="BY283" s="199">
        <v>66500</v>
      </c>
      <c r="BZ283" s="199">
        <v>285000</v>
      </c>
      <c r="CA283" s="199">
        <v>494000</v>
      </c>
      <c r="CB283" s="199">
        <v>104500</v>
      </c>
      <c r="CC283" s="199">
        <v>0</v>
      </c>
      <c r="CD283" s="199">
        <v>0</v>
      </c>
      <c r="CE283" s="199"/>
      <c r="CF283" s="199"/>
      <c r="CG283" s="199"/>
      <c r="CH283" s="199"/>
      <c r="CI283" s="199"/>
      <c r="CJ283" s="199"/>
      <c r="CK283" s="214" t="s">
        <v>798</v>
      </c>
      <c r="CL283" s="214" t="s">
        <v>610</v>
      </c>
      <c r="CM283" s="211">
        <v>198</v>
      </c>
      <c r="CN283" s="215"/>
      <c r="CO283" s="215"/>
      <c r="CP283" s="216"/>
      <c r="CQ283" s="217"/>
      <c r="CR283" s="211"/>
      <c r="CS283" s="218"/>
      <c r="CT283" s="218"/>
      <c r="CU283" s="218"/>
      <c r="CV283" s="211"/>
      <c r="CW283" s="211"/>
      <c r="CX283" s="211"/>
      <c r="CY283" s="211"/>
      <c r="CZ283" s="211"/>
      <c r="DA283" s="211"/>
      <c r="DB283" s="211"/>
      <c r="DC283" s="219"/>
      <c r="DD283" s="219"/>
      <c r="DE283" s="219"/>
      <c r="DF283" s="211"/>
      <c r="DG283" s="211"/>
      <c r="DH283" s="211"/>
      <c r="DI283" s="211"/>
      <c r="DJ283" s="211"/>
      <c r="DK283" s="220" t="s">
        <v>32</v>
      </c>
      <c r="DT283" s="222"/>
    </row>
    <row r="284" spans="1:124" s="176" customFormat="1" ht="42" x14ac:dyDescent="0.2">
      <c r="A284" s="195" t="s">
        <v>108</v>
      </c>
      <c r="B284" s="197" t="s">
        <v>799</v>
      </c>
      <c r="C284" s="198">
        <v>1</v>
      </c>
      <c r="D284" s="199">
        <v>500000</v>
      </c>
      <c r="E284" s="198" t="s">
        <v>278</v>
      </c>
      <c r="F284" s="198" t="s">
        <v>327</v>
      </c>
      <c r="G284" s="198" t="s">
        <v>98</v>
      </c>
      <c r="H284" s="200">
        <v>1</v>
      </c>
      <c r="I284" s="199">
        <f t="shared" si="329"/>
        <v>0</v>
      </c>
      <c r="J284" s="199">
        <f t="shared" si="330"/>
        <v>500000</v>
      </c>
      <c r="K284" s="199">
        <f t="shared" si="331"/>
        <v>500000</v>
      </c>
      <c r="L284" s="199"/>
      <c r="M284" s="199">
        <v>500000</v>
      </c>
      <c r="N284" s="199">
        <f t="shared" si="332"/>
        <v>500000</v>
      </c>
      <c r="O284" s="199"/>
      <c r="P284" s="201">
        <v>0</v>
      </c>
      <c r="Q284" s="202">
        <v>14</v>
      </c>
      <c r="R284" s="203">
        <v>45566</v>
      </c>
      <c r="S284" s="199"/>
      <c r="T284" s="199">
        <v>500000</v>
      </c>
      <c r="U284" s="204">
        <f t="shared" si="333"/>
        <v>500000</v>
      </c>
      <c r="V284" s="198"/>
      <c r="W284" s="206"/>
      <c r="X284" s="201"/>
      <c r="Y284" s="201"/>
      <c r="Z284" s="201">
        <f t="shared" si="334"/>
        <v>0</v>
      </c>
      <c r="AA284" s="198"/>
      <c r="AB284" s="206"/>
      <c r="AC284" s="207"/>
      <c r="AD284" s="201"/>
      <c r="AE284" s="204">
        <f t="shared" si="335"/>
        <v>0</v>
      </c>
      <c r="AF284" s="203">
        <f t="shared" si="336"/>
        <v>45566</v>
      </c>
      <c r="AG284" s="201">
        <f t="shared" si="337"/>
        <v>0</v>
      </c>
      <c r="AH284" s="199">
        <f t="shared" si="338"/>
        <v>500000</v>
      </c>
      <c r="AI284" s="199">
        <f t="shared" si="339"/>
        <v>500000</v>
      </c>
      <c r="AJ284" s="201">
        <f t="shared" si="365"/>
        <v>0</v>
      </c>
      <c r="AK284" s="201">
        <f t="shared" si="365"/>
        <v>500000</v>
      </c>
      <c r="AL284" s="201">
        <f t="shared" si="340"/>
        <v>500000</v>
      </c>
      <c r="AM284" s="198"/>
      <c r="AN284" s="203"/>
      <c r="AO284" s="208"/>
      <c r="AP284" s="201">
        <f t="shared" si="341"/>
        <v>0</v>
      </c>
      <c r="AQ284" s="201">
        <f t="shared" si="342"/>
        <v>499473.9</v>
      </c>
      <c r="AR284" s="201">
        <f t="shared" si="343"/>
        <v>499473.9</v>
      </c>
      <c r="AS284" s="201">
        <f t="shared" si="344"/>
        <v>99.894779999999997</v>
      </c>
      <c r="AT284" s="201"/>
      <c r="AU284" s="223">
        <v>499473.9</v>
      </c>
      <c r="AV284" s="201">
        <f t="shared" si="345"/>
        <v>499473.9</v>
      </c>
      <c r="AW284" s="322">
        <f t="shared" si="368"/>
        <v>0</v>
      </c>
      <c r="AX284" s="201">
        <f t="shared" si="346"/>
        <v>99.894779999999997</v>
      </c>
      <c r="AY284" s="208"/>
      <c r="AZ284" s="201">
        <f t="shared" si="347"/>
        <v>0</v>
      </c>
      <c r="BA284" s="201">
        <f t="shared" si="348"/>
        <v>0</v>
      </c>
      <c r="BB284" s="201">
        <f t="shared" si="349"/>
        <v>0</v>
      </c>
      <c r="BC284" s="201"/>
      <c r="BD284" s="223">
        <v>0</v>
      </c>
      <c r="BE284" s="201">
        <f t="shared" si="370"/>
        <v>0</v>
      </c>
      <c r="BF284" s="208"/>
      <c r="BG284" s="201">
        <f t="shared" si="366"/>
        <v>0</v>
      </c>
      <c r="BH284" s="201">
        <f t="shared" si="366"/>
        <v>499473.9</v>
      </c>
      <c r="BI284" s="201">
        <f t="shared" si="351"/>
        <v>499473.9</v>
      </c>
      <c r="BJ284" s="201">
        <f t="shared" si="352"/>
        <v>99.894779999999997</v>
      </c>
      <c r="BK284" s="201">
        <v>89</v>
      </c>
      <c r="BL284" s="224">
        <v>100</v>
      </c>
      <c r="BM284" s="211"/>
      <c r="BN284" s="211"/>
      <c r="BO284" s="212">
        <f t="shared" si="353"/>
        <v>0</v>
      </c>
      <c r="BP284" s="201">
        <f t="shared" si="354"/>
        <v>526.09999999997672</v>
      </c>
      <c r="BQ284" s="201">
        <f t="shared" si="371"/>
        <v>526.09999999997672</v>
      </c>
      <c r="BR284" s="201">
        <f t="shared" si="367"/>
        <v>0</v>
      </c>
      <c r="BS284" s="201">
        <f t="shared" si="367"/>
        <v>526.09999999997672</v>
      </c>
      <c r="BT284" s="201">
        <f t="shared" si="372"/>
        <v>526.09999999997672</v>
      </c>
      <c r="BU284" s="213">
        <f t="shared" si="369"/>
        <v>0</v>
      </c>
      <c r="BV284" s="201"/>
      <c r="BW284" s="201"/>
      <c r="BX284" s="201">
        <f t="shared" si="373"/>
        <v>0</v>
      </c>
      <c r="BY284" s="199">
        <v>35000</v>
      </c>
      <c r="BZ284" s="199">
        <v>150000</v>
      </c>
      <c r="CA284" s="199">
        <v>260000</v>
      </c>
      <c r="CB284" s="199">
        <v>55000</v>
      </c>
      <c r="CC284" s="199">
        <v>0</v>
      </c>
      <c r="CD284" s="199">
        <v>0</v>
      </c>
      <c r="CE284" s="199"/>
      <c r="CF284" s="199"/>
      <c r="CG284" s="199"/>
      <c r="CH284" s="199"/>
      <c r="CI284" s="199"/>
      <c r="CJ284" s="199"/>
      <c r="CK284" s="214" t="s">
        <v>800</v>
      </c>
      <c r="CL284" s="214" t="s">
        <v>610</v>
      </c>
      <c r="CM284" s="211">
        <v>198</v>
      </c>
      <c r="CN284" s="215"/>
      <c r="CO284" s="215"/>
      <c r="CP284" s="216"/>
      <c r="CQ284" s="217"/>
      <c r="CR284" s="211"/>
      <c r="CS284" s="218"/>
      <c r="CT284" s="218"/>
      <c r="CU284" s="218"/>
      <c r="CV284" s="211"/>
      <c r="CW284" s="211"/>
      <c r="CX284" s="211"/>
      <c r="CY284" s="211"/>
      <c r="CZ284" s="211"/>
      <c r="DA284" s="211"/>
      <c r="DB284" s="211"/>
      <c r="DC284" s="219"/>
      <c r="DD284" s="219"/>
      <c r="DE284" s="219"/>
      <c r="DF284" s="211"/>
      <c r="DG284" s="211"/>
      <c r="DH284" s="211"/>
      <c r="DI284" s="211"/>
      <c r="DJ284" s="211"/>
      <c r="DK284" s="220" t="s">
        <v>32</v>
      </c>
      <c r="DT284" s="222"/>
    </row>
    <row r="285" spans="1:124" s="176" customFormat="1" ht="42" x14ac:dyDescent="0.2">
      <c r="A285" s="195" t="s">
        <v>108</v>
      </c>
      <c r="B285" s="197" t="s">
        <v>801</v>
      </c>
      <c r="C285" s="198">
        <v>1</v>
      </c>
      <c r="D285" s="199">
        <v>550000</v>
      </c>
      <c r="E285" s="198" t="s">
        <v>326</v>
      </c>
      <c r="F285" s="198" t="s">
        <v>327</v>
      </c>
      <c r="G285" s="198" t="s">
        <v>98</v>
      </c>
      <c r="H285" s="200">
        <v>1</v>
      </c>
      <c r="I285" s="199">
        <f t="shared" si="329"/>
        <v>0</v>
      </c>
      <c r="J285" s="199">
        <f t="shared" si="330"/>
        <v>550000</v>
      </c>
      <c r="K285" s="199">
        <f t="shared" si="331"/>
        <v>550000</v>
      </c>
      <c r="L285" s="199"/>
      <c r="M285" s="199">
        <v>550000</v>
      </c>
      <c r="N285" s="199">
        <f t="shared" si="332"/>
        <v>550000</v>
      </c>
      <c r="O285" s="199"/>
      <c r="P285" s="201">
        <v>0</v>
      </c>
      <c r="Q285" s="202">
        <v>14</v>
      </c>
      <c r="R285" s="203">
        <v>45566</v>
      </c>
      <c r="S285" s="199"/>
      <c r="T285" s="199">
        <v>550000</v>
      </c>
      <c r="U285" s="204">
        <f t="shared" si="333"/>
        <v>550000</v>
      </c>
      <c r="V285" s="198"/>
      <c r="W285" s="206"/>
      <c r="X285" s="201"/>
      <c r="Y285" s="201"/>
      <c r="Z285" s="201">
        <f t="shared" si="334"/>
        <v>0</v>
      </c>
      <c r="AA285" s="198"/>
      <c r="AB285" s="206"/>
      <c r="AC285" s="207"/>
      <c r="AD285" s="201"/>
      <c r="AE285" s="204">
        <f t="shared" si="335"/>
        <v>0</v>
      </c>
      <c r="AF285" s="203">
        <f t="shared" si="336"/>
        <v>45566</v>
      </c>
      <c r="AG285" s="201">
        <f t="shared" si="337"/>
        <v>0</v>
      </c>
      <c r="AH285" s="199">
        <f t="shared" si="338"/>
        <v>550000</v>
      </c>
      <c r="AI285" s="199">
        <f t="shared" si="339"/>
        <v>550000</v>
      </c>
      <c r="AJ285" s="201">
        <f t="shared" si="365"/>
        <v>0</v>
      </c>
      <c r="AK285" s="201">
        <f t="shared" si="365"/>
        <v>550000</v>
      </c>
      <c r="AL285" s="201">
        <f t="shared" si="340"/>
        <v>550000</v>
      </c>
      <c r="AM285" s="198"/>
      <c r="AN285" s="203"/>
      <c r="AO285" s="208"/>
      <c r="AP285" s="201">
        <f t="shared" si="341"/>
        <v>0</v>
      </c>
      <c r="AQ285" s="201">
        <f t="shared" si="342"/>
        <v>547490.73</v>
      </c>
      <c r="AR285" s="201">
        <f t="shared" si="343"/>
        <v>547490.73</v>
      </c>
      <c r="AS285" s="201">
        <f t="shared" si="344"/>
        <v>99.543769090909095</v>
      </c>
      <c r="AT285" s="201"/>
      <c r="AU285" s="223">
        <v>547490.73</v>
      </c>
      <c r="AV285" s="201">
        <f t="shared" si="345"/>
        <v>547490.73</v>
      </c>
      <c r="AW285" s="322">
        <f t="shared" si="368"/>
        <v>0</v>
      </c>
      <c r="AX285" s="201">
        <f t="shared" si="346"/>
        <v>99.543769090909095</v>
      </c>
      <c r="AY285" s="208"/>
      <c r="AZ285" s="201">
        <f t="shared" si="347"/>
        <v>0</v>
      </c>
      <c r="BA285" s="201">
        <f t="shared" si="348"/>
        <v>0</v>
      </c>
      <c r="BB285" s="201">
        <f t="shared" si="349"/>
        <v>0</v>
      </c>
      <c r="BC285" s="201"/>
      <c r="BD285" s="223">
        <v>0</v>
      </c>
      <c r="BE285" s="201">
        <f t="shared" si="370"/>
        <v>0</v>
      </c>
      <c r="BF285" s="208"/>
      <c r="BG285" s="201">
        <f t="shared" si="366"/>
        <v>0</v>
      </c>
      <c r="BH285" s="201">
        <f t="shared" si="366"/>
        <v>547490.73</v>
      </c>
      <c r="BI285" s="201">
        <f t="shared" si="351"/>
        <v>547490.73</v>
      </c>
      <c r="BJ285" s="201">
        <f t="shared" si="352"/>
        <v>99.543769090909095</v>
      </c>
      <c r="BK285" s="201">
        <v>89</v>
      </c>
      <c r="BL285" s="224">
        <v>100</v>
      </c>
      <c r="BM285" s="211"/>
      <c r="BN285" s="211"/>
      <c r="BO285" s="212">
        <f t="shared" si="353"/>
        <v>0</v>
      </c>
      <c r="BP285" s="201">
        <f t="shared" si="354"/>
        <v>2509.2700000000186</v>
      </c>
      <c r="BQ285" s="201">
        <f t="shared" si="371"/>
        <v>2509.2700000000186</v>
      </c>
      <c r="BR285" s="201">
        <f t="shared" si="367"/>
        <v>0</v>
      </c>
      <c r="BS285" s="201">
        <f t="shared" si="367"/>
        <v>2509.2700000000186</v>
      </c>
      <c r="BT285" s="201">
        <f t="shared" si="372"/>
        <v>2509.2700000000186</v>
      </c>
      <c r="BU285" s="213">
        <f t="shared" si="369"/>
        <v>0</v>
      </c>
      <c r="BV285" s="201"/>
      <c r="BW285" s="201"/>
      <c r="BX285" s="201">
        <f t="shared" si="373"/>
        <v>0</v>
      </c>
      <c r="BY285" s="199">
        <v>38500</v>
      </c>
      <c r="BZ285" s="199">
        <v>165000</v>
      </c>
      <c r="CA285" s="199">
        <v>286000</v>
      </c>
      <c r="CB285" s="199">
        <v>60500</v>
      </c>
      <c r="CC285" s="199">
        <v>0</v>
      </c>
      <c r="CD285" s="199">
        <v>0</v>
      </c>
      <c r="CE285" s="199"/>
      <c r="CF285" s="199"/>
      <c r="CG285" s="199"/>
      <c r="CH285" s="199"/>
      <c r="CI285" s="199"/>
      <c r="CJ285" s="199"/>
      <c r="CK285" s="214" t="s">
        <v>802</v>
      </c>
      <c r="CL285" s="214" t="s">
        <v>610</v>
      </c>
      <c r="CM285" s="211">
        <v>198</v>
      </c>
      <c r="CN285" s="215"/>
      <c r="CO285" s="215"/>
      <c r="CP285" s="216"/>
      <c r="CQ285" s="217"/>
      <c r="CR285" s="211"/>
      <c r="CS285" s="218"/>
      <c r="CT285" s="218"/>
      <c r="CU285" s="218"/>
      <c r="CV285" s="211"/>
      <c r="CW285" s="211"/>
      <c r="CX285" s="211"/>
      <c r="CY285" s="211"/>
      <c r="CZ285" s="211"/>
      <c r="DA285" s="211"/>
      <c r="DB285" s="211"/>
      <c r="DC285" s="219"/>
      <c r="DD285" s="219"/>
      <c r="DE285" s="219"/>
      <c r="DF285" s="211"/>
      <c r="DG285" s="211"/>
      <c r="DH285" s="211"/>
      <c r="DI285" s="211"/>
      <c r="DJ285" s="211"/>
      <c r="DK285" s="220" t="s">
        <v>32</v>
      </c>
      <c r="DT285" s="222"/>
    </row>
    <row r="286" spans="1:124" s="176" customFormat="1" ht="42" x14ac:dyDescent="0.2">
      <c r="A286" s="195" t="s">
        <v>108</v>
      </c>
      <c r="B286" s="197" t="s">
        <v>803</v>
      </c>
      <c r="C286" s="198">
        <v>1</v>
      </c>
      <c r="D286" s="199">
        <v>980000</v>
      </c>
      <c r="E286" s="198" t="s">
        <v>714</v>
      </c>
      <c r="F286" s="198" t="s">
        <v>106</v>
      </c>
      <c r="G286" s="198" t="s">
        <v>98</v>
      </c>
      <c r="H286" s="200">
        <v>1</v>
      </c>
      <c r="I286" s="199">
        <f t="shared" si="329"/>
        <v>0</v>
      </c>
      <c r="J286" s="199">
        <f t="shared" si="330"/>
        <v>980000</v>
      </c>
      <c r="K286" s="199">
        <f t="shared" si="331"/>
        <v>980000</v>
      </c>
      <c r="L286" s="298"/>
      <c r="M286" s="298">
        <v>980000</v>
      </c>
      <c r="N286" s="298">
        <f t="shared" si="332"/>
        <v>980000</v>
      </c>
      <c r="O286" s="298"/>
      <c r="P286" s="299">
        <v>0</v>
      </c>
      <c r="Q286" s="202">
        <v>1018</v>
      </c>
      <c r="R286" s="203">
        <v>45651</v>
      </c>
      <c r="S286" s="199"/>
      <c r="T286" s="199">
        <v>980000</v>
      </c>
      <c r="U286" s="204">
        <f t="shared" si="333"/>
        <v>980000</v>
      </c>
      <c r="V286" s="198"/>
      <c r="W286" s="206"/>
      <c r="X286" s="201"/>
      <c r="Y286" s="201"/>
      <c r="Z286" s="201">
        <f t="shared" si="334"/>
        <v>0</v>
      </c>
      <c r="AA286" s="198"/>
      <c r="AB286" s="206"/>
      <c r="AC286" s="207"/>
      <c r="AD286" s="201"/>
      <c r="AE286" s="204">
        <f t="shared" si="335"/>
        <v>0</v>
      </c>
      <c r="AF286" s="203">
        <f t="shared" si="336"/>
        <v>45651</v>
      </c>
      <c r="AG286" s="201">
        <f t="shared" si="337"/>
        <v>0</v>
      </c>
      <c r="AH286" s="199">
        <f t="shared" si="338"/>
        <v>980000</v>
      </c>
      <c r="AI286" s="199">
        <f t="shared" si="339"/>
        <v>980000</v>
      </c>
      <c r="AJ286" s="201">
        <f t="shared" si="365"/>
        <v>0</v>
      </c>
      <c r="AK286" s="201">
        <f t="shared" si="365"/>
        <v>980000</v>
      </c>
      <c r="AL286" s="201">
        <f t="shared" si="340"/>
        <v>980000</v>
      </c>
      <c r="AM286" s="198"/>
      <c r="AN286" s="203"/>
      <c r="AO286" s="208"/>
      <c r="AP286" s="201">
        <f t="shared" si="341"/>
        <v>0</v>
      </c>
      <c r="AQ286" s="201">
        <f t="shared" si="342"/>
        <v>444282.22</v>
      </c>
      <c r="AR286" s="201">
        <f t="shared" si="343"/>
        <v>444282.22</v>
      </c>
      <c r="AS286" s="201">
        <f t="shared" si="344"/>
        <v>45.334920408163264</v>
      </c>
      <c r="AT286" s="201"/>
      <c r="AU286" s="223">
        <v>444282.22</v>
      </c>
      <c r="AV286" s="201">
        <f t="shared" si="345"/>
        <v>444282.22</v>
      </c>
      <c r="AW286" s="201">
        <f t="shared" si="368"/>
        <v>0</v>
      </c>
      <c r="AX286" s="201">
        <f t="shared" si="346"/>
        <v>45.334920408163264</v>
      </c>
      <c r="AY286" s="208"/>
      <c r="AZ286" s="201">
        <f t="shared" si="347"/>
        <v>0</v>
      </c>
      <c r="BA286" s="201">
        <f t="shared" si="348"/>
        <v>0</v>
      </c>
      <c r="BB286" s="201">
        <f t="shared" si="349"/>
        <v>0</v>
      </c>
      <c r="BC286" s="201"/>
      <c r="BD286" s="223">
        <v>0</v>
      </c>
      <c r="BE286" s="201">
        <f t="shared" si="370"/>
        <v>0</v>
      </c>
      <c r="BF286" s="208"/>
      <c r="BG286" s="201">
        <f t="shared" si="366"/>
        <v>0</v>
      </c>
      <c r="BH286" s="201">
        <f t="shared" si="366"/>
        <v>444282.22</v>
      </c>
      <c r="BI286" s="201">
        <f t="shared" si="351"/>
        <v>444282.22</v>
      </c>
      <c r="BJ286" s="201">
        <f t="shared" si="352"/>
        <v>45.334920408163264</v>
      </c>
      <c r="BK286" s="201">
        <v>89</v>
      </c>
      <c r="BL286" s="210">
        <v>40</v>
      </c>
      <c r="BM286" s="211"/>
      <c r="BN286" s="211"/>
      <c r="BO286" s="212">
        <f t="shared" si="353"/>
        <v>0</v>
      </c>
      <c r="BP286" s="201">
        <f t="shared" si="354"/>
        <v>535717.78</v>
      </c>
      <c r="BQ286" s="201">
        <f t="shared" si="371"/>
        <v>535717.78</v>
      </c>
      <c r="BR286" s="201">
        <f t="shared" si="367"/>
        <v>0</v>
      </c>
      <c r="BS286" s="201">
        <f t="shared" si="367"/>
        <v>535717.78</v>
      </c>
      <c r="BT286" s="201">
        <f t="shared" si="372"/>
        <v>535717.78</v>
      </c>
      <c r="BU286" s="213">
        <f t="shared" si="369"/>
        <v>0</v>
      </c>
      <c r="BV286" s="201"/>
      <c r="BW286" s="201"/>
      <c r="BX286" s="201">
        <f t="shared" si="373"/>
        <v>0</v>
      </c>
      <c r="BY286" s="199">
        <v>68600</v>
      </c>
      <c r="BZ286" s="199">
        <v>294000</v>
      </c>
      <c r="CA286" s="199">
        <v>509600</v>
      </c>
      <c r="CB286" s="199">
        <v>107800</v>
      </c>
      <c r="CC286" s="199">
        <v>0</v>
      </c>
      <c r="CD286" s="199">
        <v>0</v>
      </c>
      <c r="CE286" s="199"/>
      <c r="CF286" s="199"/>
      <c r="CG286" s="199"/>
      <c r="CH286" s="199"/>
      <c r="CI286" s="199"/>
      <c r="CJ286" s="199"/>
      <c r="CK286" s="214"/>
      <c r="CL286" s="214"/>
      <c r="CM286" s="211">
        <v>191</v>
      </c>
      <c r="CN286" s="215"/>
      <c r="CO286" s="215"/>
      <c r="CP286" s="216"/>
      <c r="CQ286" s="217"/>
      <c r="CR286" s="211"/>
      <c r="CS286" s="218"/>
      <c r="CT286" s="218"/>
      <c r="CU286" s="218"/>
      <c r="CV286" s="211"/>
      <c r="CW286" s="211"/>
      <c r="CX286" s="211"/>
      <c r="CY286" s="211"/>
      <c r="CZ286" s="211"/>
      <c r="DA286" s="211"/>
      <c r="DB286" s="211"/>
      <c r="DC286" s="219"/>
      <c r="DD286" s="219"/>
      <c r="DE286" s="219"/>
      <c r="DF286" s="211"/>
      <c r="DG286" s="211"/>
      <c r="DH286" s="211"/>
      <c r="DI286" s="211"/>
      <c r="DJ286" s="211"/>
      <c r="DK286" s="220" t="s">
        <v>32</v>
      </c>
      <c r="DT286" s="222"/>
    </row>
    <row r="287" spans="1:124" s="176" customFormat="1" ht="42" x14ac:dyDescent="0.2">
      <c r="A287" s="195" t="s">
        <v>108</v>
      </c>
      <c r="B287" s="197" t="s">
        <v>804</v>
      </c>
      <c r="C287" s="198">
        <v>1</v>
      </c>
      <c r="D287" s="199">
        <v>980000</v>
      </c>
      <c r="E287" s="198" t="s">
        <v>714</v>
      </c>
      <c r="F287" s="198" t="s">
        <v>106</v>
      </c>
      <c r="G287" s="198" t="s">
        <v>98</v>
      </c>
      <c r="H287" s="200">
        <v>1</v>
      </c>
      <c r="I287" s="199">
        <f t="shared" ref="I287:I350" si="374">+L287</f>
        <v>0</v>
      </c>
      <c r="J287" s="199">
        <f t="shared" ref="J287:J350" si="375">+O287+M287+P287</f>
        <v>980000</v>
      </c>
      <c r="K287" s="199">
        <f t="shared" ref="K287:K350" si="376">I287+J287</f>
        <v>980000</v>
      </c>
      <c r="L287" s="199"/>
      <c r="M287" s="199">
        <v>980000</v>
      </c>
      <c r="N287" s="199">
        <f t="shared" ref="N287:N350" si="377">L287+M287</f>
        <v>980000</v>
      </c>
      <c r="O287" s="199"/>
      <c r="P287" s="201">
        <v>0</v>
      </c>
      <c r="Q287" s="202">
        <v>14</v>
      </c>
      <c r="R287" s="203">
        <v>45566</v>
      </c>
      <c r="S287" s="199"/>
      <c r="T287" s="199">
        <v>980000</v>
      </c>
      <c r="U287" s="204">
        <f t="shared" ref="U287:U350" si="378">S287+T287</f>
        <v>980000</v>
      </c>
      <c r="V287" s="198"/>
      <c r="W287" s="206"/>
      <c r="X287" s="201"/>
      <c r="Y287" s="201"/>
      <c r="Z287" s="201">
        <f t="shared" ref="Z287:Z350" si="379">X287+Y287</f>
        <v>0</v>
      </c>
      <c r="AA287" s="198"/>
      <c r="AB287" s="206"/>
      <c r="AC287" s="207"/>
      <c r="AD287" s="201"/>
      <c r="AE287" s="204">
        <f t="shared" ref="AE287:AE350" si="380">AC287+AD287</f>
        <v>0</v>
      </c>
      <c r="AF287" s="203">
        <f t="shared" ref="AF287:AF350" si="381">+R287</f>
        <v>45566</v>
      </c>
      <c r="AG287" s="201">
        <f t="shared" ref="AG287:AG350" si="382">+AJ287</f>
        <v>0</v>
      </c>
      <c r="AH287" s="199">
        <f t="shared" ref="AH287:AH350" si="383">+AK287+AO287</f>
        <v>980000</v>
      </c>
      <c r="AI287" s="199">
        <f t="shared" ref="AI287:AI350" si="384">AG287+AH287</f>
        <v>980000</v>
      </c>
      <c r="AJ287" s="201">
        <f t="shared" si="365"/>
        <v>0</v>
      </c>
      <c r="AK287" s="201">
        <f t="shared" si="365"/>
        <v>980000</v>
      </c>
      <c r="AL287" s="201">
        <f t="shared" ref="AL287:AL350" si="385">SUM(AJ287:AK287)</f>
        <v>980000</v>
      </c>
      <c r="AM287" s="198"/>
      <c r="AN287" s="203"/>
      <c r="AO287" s="208"/>
      <c r="AP287" s="201">
        <f t="shared" ref="AP287:AP350" si="386">+AT287</f>
        <v>0</v>
      </c>
      <c r="AQ287" s="201">
        <f t="shared" ref="AQ287:AQ350" si="387">+AU287+AY287</f>
        <v>979813.25</v>
      </c>
      <c r="AR287" s="201">
        <f t="shared" ref="AR287:AR350" si="388">SUM(AP287:AQ287)</f>
        <v>979813.25</v>
      </c>
      <c r="AS287" s="201">
        <f t="shared" ref="AS287:AS350" si="389">IF(AI287= 0,0,(AR287*100/AI287))</f>
        <v>99.980943877551027</v>
      </c>
      <c r="AT287" s="201"/>
      <c r="AU287" s="223">
        <v>979813.25</v>
      </c>
      <c r="AV287" s="201">
        <f t="shared" ref="AV287:AV350" si="390">SUM(AT287:AU287)</f>
        <v>979813.25</v>
      </c>
      <c r="AW287" s="322">
        <f t="shared" si="368"/>
        <v>0</v>
      </c>
      <c r="AX287" s="201">
        <f t="shared" ref="AX287:AX350" si="391">IF(AL287= 0,0,(AV287*100/AL287))</f>
        <v>99.980943877551027</v>
      </c>
      <c r="AY287" s="208"/>
      <c r="AZ287" s="201">
        <f t="shared" ref="AZ287:AZ350" si="392">+BC287</f>
        <v>0</v>
      </c>
      <c r="BA287" s="201">
        <f t="shared" ref="BA287:BA350" si="393">+BD287+BF287</f>
        <v>0</v>
      </c>
      <c r="BB287" s="201">
        <f t="shared" ref="BB287:BB350" si="394">SUM(AZ287:BA287)</f>
        <v>0</v>
      </c>
      <c r="BC287" s="201"/>
      <c r="BD287" s="223">
        <v>0</v>
      </c>
      <c r="BE287" s="201">
        <f t="shared" si="370"/>
        <v>0</v>
      </c>
      <c r="BF287" s="208"/>
      <c r="BG287" s="201">
        <f t="shared" si="366"/>
        <v>0</v>
      </c>
      <c r="BH287" s="201">
        <f t="shared" si="366"/>
        <v>979813.25</v>
      </c>
      <c r="BI287" s="201">
        <f t="shared" ref="BI287:BI350" si="395">SUM(BG287:BH287)</f>
        <v>979813.25</v>
      </c>
      <c r="BJ287" s="201">
        <f t="shared" ref="BJ287:BJ350" si="396">+BI287*100/AI287</f>
        <v>99.980943877551027</v>
      </c>
      <c r="BK287" s="201">
        <v>89</v>
      </c>
      <c r="BL287" s="224">
        <v>95</v>
      </c>
      <c r="BM287" s="211"/>
      <c r="BN287" s="211"/>
      <c r="BO287" s="212">
        <f t="shared" ref="BO287:BO350" si="397">+BR287</f>
        <v>0</v>
      </c>
      <c r="BP287" s="201">
        <f t="shared" ref="BP287:BP350" si="398">+BS287+BU287</f>
        <v>186.75</v>
      </c>
      <c r="BQ287" s="201">
        <f t="shared" si="371"/>
        <v>186.75</v>
      </c>
      <c r="BR287" s="201">
        <f t="shared" si="367"/>
        <v>0</v>
      </c>
      <c r="BS287" s="201">
        <f t="shared" si="367"/>
        <v>186.75</v>
      </c>
      <c r="BT287" s="201">
        <f t="shared" si="372"/>
        <v>186.75</v>
      </c>
      <c r="BU287" s="213">
        <f t="shared" si="369"/>
        <v>0</v>
      </c>
      <c r="BV287" s="201"/>
      <c r="BW287" s="201"/>
      <c r="BX287" s="201">
        <f t="shared" si="373"/>
        <v>0</v>
      </c>
      <c r="BY287" s="199">
        <v>68600</v>
      </c>
      <c r="BZ287" s="199">
        <v>294000</v>
      </c>
      <c r="CA287" s="199">
        <v>509600</v>
      </c>
      <c r="CB287" s="199">
        <v>107800</v>
      </c>
      <c r="CC287" s="199">
        <v>0</v>
      </c>
      <c r="CD287" s="199">
        <v>0</v>
      </c>
      <c r="CE287" s="199"/>
      <c r="CF287" s="199"/>
      <c r="CG287" s="199"/>
      <c r="CH287" s="199"/>
      <c r="CI287" s="199"/>
      <c r="CJ287" s="199"/>
      <c r="CK287" s="214" t="s">
        <v>805</v>
      </c>
      <c r="CL287" s="214" t="s">
        <v>610</v>
      </c>
      <c r="CM287" s="211">
        <v>198</v>
      </c>
      <c r="CN287" s="215"/>
      <c r="CO287" s="215"/>
      <c r="CP287" s="216"/>
      <c r="CQ287" s="217"/>
      <c r="CR287" s="211"/>
      <c r="CS287" s="218"/>
      <c r="CT287" s="218"/>
      <c r="CU287" s="218"/>
      <c r="CV287" s="211"/>
      <c r="CW287" s="211"/>
      <c r="CX287" s="211"/>
      <c r="CY287" s="211"/>
      <c r="CZ287" s="211"/>
      <c r="DA287" s="211"/>
      <c r="DB287" s="211"/>
      <c r="DC287" s="219"/>
      <c r="DD287" s="219"/>
      <c r="DE287" s="219"/>
      <c r="DF287" s="211"/>
      <c r="DG287" s="211"/>
      <c r="DH287" s="211"/>
      <c r="DI287" s="211"/>
      <c r="DJ287" s="211"/>
      <c r="DK287" s="220" t="s">
        <v>32</v>
      </c>
      <c r="DT287" s="222"/>
    </row>
    <row r="288" spans="1:124" s="176" customFormat="1" ht="42" x14ac:dyDescent="0.2">
      <c r="A288" s="195" t="s">
        <v>108</v>
      </c>
      <c r="B288" s="197" t="s">
        <v>806</v>
      </c>
      <c r="C288" s="198">
        <v>1</v>
      </c>
      <c r="D288" s="199">
        <v>900000</v>
      </c>
      <c r="E288" s="198" t="s">
        <v>653</v>
      </c>
      <c r="F288" s="198" t="s">
        <v>106</v>
      </c>
      <c r="G288" s="198" t="s">
        <v>98</v>
      </c>
      <c r="H288" s="200">
        <v>1</v>
      </c>
      <c r="I288" s="199">
        <f t="shared" si="374"/>
        <v>0</v>
      </c>
      <c r="J288" s="199">
        <f t="shared" si="375"/>
        <v>900000</v>
      </c>
      <c r="K288" s="199">
        <f t="shared" si="376"/>
        <v>900000</v>
      </c>
      <c r="L288" s="199"/>
      <c r="M288" s="199">
        <v>900000</v>
      </c>
      <c r="N288" s="199">
        <f t="shared" si="377"/>
        <v>900000</v>
      </c>
      <c r="O288" s="199"/>
      <c r="P288" s="201">
        <v>0</v>
      </c>
      <c r="Q288" s="202">
        <v>14</v>
      </c>
      <c r="R288" s="203">
        <v>45566</v>
      </c>
      <c r="S288" s="199"/>
      <c r="T288" s="199">
        <v>900000</v>
      </c>
      <c r="U288" s="204">
        <f t="shared" si="378"/>
        <v>900000</v>
      </c>
      <c r="V288" s="198"/>
      <c r="W288" s="206"/>
      <c r="X288" s="201"/>
      <c r="Y288" s="201"/>
      <c r="Z288" s="201">
        <f t="shared" si="379"/>
        <v>0</v>
      </c>
      <c r="AA288" s="198"/>
      <c r="AB288" s="206"/>
      <c r="AC288" s="207"/>
      <c r="AD288" s="201"/>
      <c r="AE288" s="204">
        <f t="shared" si="380"/>
        <v>0</v>
      </c>
      <c r="AF288" s="203">
        <f t="shared" si="381"/>
        <v>45566</v>
      </c>
      <c r="AG288" s="201">
        <f t="shared" si="382"/>
        <v>0</v>
      </c>
      <c r="AH288" s="199">
        <f t="shared" si="383"/>
        <v>900000</v>
      </c>
      <c r="AI288" s="199">
        <f t="shared" si="384"/>
        <v>900000</v>
      </c>
      <c r="AJ288" s="201">
        <f t="shared" si="365"/>
        <v>0</v>
      </c>
      <c r="AK288" s="201">
        <f t="shared" si="365"/>
        <v>900000</v>
      </c>
      <c r="AL288" s="201">
        <f t="shared" si="385"/>
        <v>900000</v>
      </c>
      <c r="AM288" s="198"/>
      <c r="AN288" s="203"/>
      <c r="AO288" s="208"/>
      <c r="AP288" s="201">
        <f t="shared" si="386"/>
        <v>0</v>
      </c>
      <c r="AQ288" s="201">
        <f t="shared" si="387"/>
        <v>899909.11</v>
      </c>
      <c r="AR288" s="201">
        <f t="shared" si="388"/>
        <v>899909.11</v>
      </c>
      <c r="AS288" s="201">
        <f t="shared" si="389"/>
        <v>99.989901111111109</v>
      </c>
      <c r="AT288" s="201"/>
      <c r="AU288" s="223">
        <v>899909.11</v>
      </c>
      <c r="AV288" s="201">
        <f t="shared" si="390"/>
        <v>899909.11</v>
      </c>
      <c r="AW288" s="322">
        <f t="shared" si="368"/>
        <v>0</v>
      </c>
      <c r="AX288" s="201">
        <f t="shared" si="391"/>
        <v>99.989901111111109</v>
      </c>
      <c r="AY288" s="208"/>
      <c r="AZ288" s="201">
        <f t="shared" si="392"/>
        <v>0</v>
      </c>
      <c r="BA288" s="201">
        <f t="shared" si="393"/>
        <v>0</v>
      </c>
      <c r="BB288" s="201">
        <f t="shared" si="394"/>
        <v>0</v>
      </c>
      <c r="BC288" s="201"/>
      <c r="BD288" s="223">
        <v>0</v>
      </c>
      <c r="BE288" s="201">
        <f t="shared" si="370"/>
        <v>0</v>
      </c>
      <c r="BF288" s="208"/>
      <c r="BG288" s="201">
        <f t="shared" si="366"/>
        <v>0</v>
      </c>
      <c r="BH288" s="201">
        <f t="shared" si="366"/>
        <v>899909.11</v>
      </c>
      <c r="BI288" s="201">
        <f t="shared" si="395"/>
        <v>899909.11</v>
      </c>
      <c r="BJ288" s="201">
        <f t="shared" si="396"/>
        <v>99.989901111111109</v>
      </c>
      <c r="BK288" s="201">
        <v>89</v>
      </c>
      <c r="BL288" s="224">
        <v>95</v>
      </c>
      <c r="BM288" s="211"/>
      <c r="BN288" s="211"/>
      <c r="BO288" s="212">
        <f t="shared" si="397"/>
        <v>0</v>
      </c>
      <c r="BP288" s="201">
        <f t="shared" si="398"/>
        <v>90.89000000001397</v>
      </c>
      <c r="BQ288" s="201">
        <f t="shared" si="371"/>
        <v>90.89000000001397</v>
      </c>
      <c r="BR288" s="201">
        <f t="shared" si="367"/>
        <v>0</v>
      </c>
      <c r="BS288" s="201">
        <f t="shared" si="367"/>
        <v>90.89000000001397</v>
      </c>
      <c r="BT288" s="201">
        <f t="shared" si="372"/>
        <v>90.89000000001397</v>
      </c>
      <c r="BU288" s="213">
        <f t="shared" si="369"/>
        <v>0</v>
      </c>
      <c r="BV288" s="201"/>
      <c r="BW288" s="201"/>
      <c r="BX288" s="201">
        <f t="shared" si="373"/>
        <v>0</v>
      </c>
      <c r="BY288" s="199">
        <v>63000</v>
      </c>
      <c r="BZ288" s="199">
        <v>270000</v>
      </c>
      <c r="CA288" s="199">
        <v>468000</v>
      </c>
      <c r="CB288" s="199">
        <v>99000</v>
      </c>
      <c r="CC288" s="199">
        <v>0</v>
      </c>
      <c r="CD288" s="199">
        <v>0</v>
      </c>
      <c r="CE288" s="199"/>
      <c r="CF288" s="199"/>
      <c r="CG288" s="199"/>
      <c r="CH288" s="199"/>
      <c r="CI288" s="199"/>
      <c r="CJ288" s="199"/>
      <c r="CK288" s="214" t="s">
        <v>807</v>
      </c>
      <c r="CL288" s="214" t="s">
        <v>610</v>
      </c>
      <c r="CM288" s="211">
        <v>198</v>
      </c>
      <c r="CN288" s="215"/>
      <c r="CO288" s="215"/>
      <c r="CP288" s="216"/>
      <c r="CQ288" s="217"/>
      <c r="CR288" s="211"/>
      <c r="CS288" s="218"/>
      <c r="CT288" s="218"/>
      <c r="CU288" s="218"/>
      <c r="CV288" s="211"/>
      <c r="CW288" s="211"/>
      <c r="CX288" s="211"/>
      <c r="CY288" s="211"/>
      <c r="CZ288" s="211"/>
      <c r="DA288" s="211"/>
      <c r="DB288" s="211"/>
      <c r="DC288" s="219"/>
      <c r="DD288" s="219"/>
      <c r="DE288" s="219"/>
      <c r="DF288" s="211"/>
      <c r="DG288" s="211"/>
      <c r="DH288" s="211"/>
      <c r="DI288" s="211"/>
      <c r="DJ288" s="211"/>
      <c r="DK288" s="220" t="s">
        <v>32</v>
      </c>
      <c r="DT288" s="222"/>
    </row>
    <row r="289" spans="1:124" s="176" customFormat="1" ht="42" x14ac:dyDescent="0.2">
      <c r="A289" s="195" t="s">
        <v>108</v>
      </c>
      <c r="B289" s="197" t="s">
        <v>808</v>
      </c>
      <c r="C289" s="198">
        <v>1</v>
      </c>
      <c r="D289" s="199">
        <v>990000</v>
      </c>
      <c r="E289" s="198" t="s">
        <v>241</v>
      </c>
      <c r="F289" s="198" t="s">
        <v>241</v>
      </c>
      <c r="G289" s="198" t="s">
        <v>98</v>
      </c>
      <c r="H289" s="200">
        <v>1</v>
      </c>
      <c r="I289" s="199">
        <f t="shared" si="374"/>
        <v>0</v>
      </c>
      <c r="J289" s="199">
        <f t="shared" si="375"/>
        <v>990000</v>
      </c>
      <c r="K289" s="199">
        <f t="shared" si="376"/>
        <v>990000</v>
      </c>
      <c r="L289" s="199"/>
      <c r="M289" s="199">
        <v>990000</v>
      </c>
      <c r="N289" s="199">
        <f t="shared" si="377"/>
        <v>990000</v>
      </c>
      <c r="O289" s="199"/>
      <c r="P289" s="201">
        <v>0</v>
      </c>
      <c r="Q289" s="202">
        <v>14</v>
      </c>
      <c r="R289" s="203">
        <v>45566</v>
      </c>
      <c r="S289" s="199"/>
      <c r="T289" s="199">
        <v>990000</v>
      </c>
      <c r="U289" s="204">
        <f t="shared" si="378"/>
        <v>990000</v>
      </c>
      <c r="V289" s="198"/>
      <c r="W289" s="206"/>
      <c r="X289" s="201"/>
      <c r="Y289" s="201"/>
      <c r="Z289" s="201">
        <f t="shared" si="379"/>
        <v>0</v>
      </c>
      <c r="AA289" s="198"/>
      <c r="AB289" s="206"/>
      <c r="AC289" s="207"/>
      <c r="AD289" s="201"/>
      <c r="AE289" s="204">
        <f t="shared" si="380"/>
        <v>0</v>
      </c>
      <c r="AF289" s="203">
        <f t="shared" si="381"/>
        <v>45566</v>
      </c>
      <c r="AG289" s="201">
        <f t="shared" si="382"/>
        <v>0</v>
      </c>
      <c r="AH289" s="199">
        <f t="shared" si="383"/>
        <v>990000</v>
      </c>
      <c r="AI289" s="199">
        <f t="shared" si="384"/>
        <v>990000</v>
      </c>
      <c r="AJ289" s="201">
        <f t="shared" si="365"/>
        <v>0</v>
      </c>
      <c r="AK289" s="201">
        <f t="shared" si="365"/>
        <v>990000</v>
      </c>
      <c r="AL289" s="201">
        <f t="shared" si="385"/>
        <v>990000</v>
      </c>
      <c r="AM289" s="198"/>
      <c r="AN289" s="203"/>
      <c r="AO289" s="208"/>
      <c r="AP289" s="201">
        <f t="shared" si="386"/>
        <v>0</v>
      </c>
      <c r="AQ289" s="201">
        <f t="shared" si="387"/>
        <v>989227.73</v>
      </c>
      <c r="AR289" s="201">
        <f t="shared" si="388"/>
        <v>989227.73</v>
      </c>
      <c r="AS289" s="201">
        <f t="shared" si="389"/>
        <v>99.921992929292927</v>
      </c>
      <c r="AT289" s="201"/>
      <c r="AU289" s="223">
        <v>989227.73</v>
      </c>
      <c r="AV289" s="201">
        <f t="shared" si="390"/>
        <v>989227.73</v>
      </c>
      <c r="AW289" s="322">
        <f t="shared" si="368"/>
        <v>0</v>
      </c>
      <c r="AX289" s="201">
        <f t="shared" si="391"/>
        <v>99.921992929292927</v>
      </c>
      <c r="AY289" s="208"/>
      <c r="AZ289" s="201">
        <f t="shared" si="392"/>
        <v>0</v>
      </c>
      <c r="BA289" s="201">
        <f t="shared" si="393"/>
        <v>0</v>
      </c>
      <c r="BB289" s="201">
        <f t="shared" si="394"/>
        <v>0</v>
      </c>
      <c r="BC289" s="201"/>
      <c r="BD289" s="223">
        <v>0</v>
      </c>
      <c r="BE289" s="201">
        <f t="shared" si="370"/>
        <v>0</v>
      </c>
      <c r="BF289" s="208"/>
      <c r="BG289" s="201">
        <f t="shared" si="366"/>
        <v>0</v>
      </c>
      <c r="BH289" s="201">
        <f t="shared" si="366"/>
        <v>989227.73</v>
      </c>
      <c r="BI289" s="201">
        <f t="shared" si="395"/>
        <v>989227.73</v>
      </c>
      <c r="BJ289" s="201">
        <f t="shared" si="396"/>
        <v>99.921992929292927</v>
      </c>
      <c r="BK289" s="201">
        <v>89</v>
      </c>
      <c r="BL289" s="224">
        <v>94</v>
      </c>
      <c r="BM289" s="211"/>
      <c r="BN289" s="211"/>
      <c r="BO289" s="212">
        <f t="shared" si="397"/>
        <v>0</v>
      </c>
      <c r="BP289" s="201">
        <f t="shared" si="398"/>
        <v>772.27000000001863</v>
      </c>
      <c r="BQ289" s="201">
        <f t="shared" si="371"/>
        <v>772.27000000001863</v>
      </c>
      <c r="BR289" s="201">
        <f t="shared" si="367"/>
        <v>0</v>
      </c>
      <c r="BS289" s="201">
        <f t="shared" si="367"/>
        <v>772.27000000001863</v>
      </c>
      <c r="BT289" s="201">
        <f t="shared" si="372"/>
        <v>772.27000000001863</v>
      </c>
      <c r="BU289" s="213">
        <f t="shared" si="369"/>
        <v>0</v>
      </c>
      <c r="BV289" s="201"/>
      <c r="BW289" s="201"/>
      <c r="BX289" s="201">
        <f t="shared" si="373"/>
        <v>0</v>
      </c>
      <c r="BY289" s="199">
        <v>69300</v>
      </c>
      <c r="BZ289" s="199">
        <v>297000</v>
      </c>
      <c r="CA289" s="199">
        <v>514800</v>
      </c>
      <c r="CB289" s="199">
        <v>108900</v>
      </c>
      <c r="CC289" s="199">
        <v>0</v>
      </c>
      <c r="CD289" s="199">
        <v>0</v>
      </c>
      <c r="CE289" s="199"/>
      <c r="CF289" s="199"/>
      <c r="CG289" s="199"/>
      <c r="CH289" s="199"/>
      <c r="CI289" s="199"/>
      <c r="CJ289" s="199"/>
      <c r="CK289" s="214" t="s">
        <v>809</v>
      </c>
      <c r="CL289" s="214" t="s">
        <v>610</v>
      </c>
      <c r="CM289" s="211">
        <v>198</v>
      </c>
      <c r="CN289" s="215"/>
      <c r="CO289" s="215"/>
      <c r="CP289" s="216"/>
      <c r="CQ289" s="217"/>
      <c r="CR289" s="211"/>
      <c r="CS289" s="218"/>
      <c r="CT289" s="218"/>
      <c r="CU289" s="218"/>
      <c r="CV289" s="211"/>
      <c r="CW289" s="211"/>
      <c r="CX289" s="211"/>
      <c r="CY289" s="211"/>
      <c r="CZ289" s="211"/>
      <c r="DA289" s="211"/>
      <c r="DB289" s="211"/>
      <c r="DC289" s="219"/>
      <c r="DD289" s="219"/>
      <c r="DE289" s="219"/>
      <c r="DF289" s="211"/>
      <c r="DG289" s="211"/>
      <c r="DH289" s="211"/>
      <c r="DI289" s="211"/>
      <c r="DJ289" s="211"/>
      <c r="DK289" s="220" t="s">
        <v>32</v>
      </c>
      <c r="DT289" s="222"/>
    </row>
    <row r="290" spans="1:124" s="176" customFormat="1" ht="42" x14ac:dyDescent="0.2">
      <c r="A290" s="195" t="s">
        <v>108</v>
      </c>
      <c r="B290" s="197" t="s">
        <v>810</v>
      </c>
      <c r="C290" s="198">
        <v>1</v>
      </c>
      <c r="D290" s="199">
        <v>600000</v>
      </c>
      <c r="E290" s="198" t="s">
        <v>241</v>
      </c>
      <c r="F290" s="198" t="s">
        <v>241</v>
      </c>
      <c r="G290" s="198" t="s">
        <v>98</v>
      </c>
      <c r="H290" s="200">
        <v>1</v>
      </c>
      <c r="I290" s="199">
        <f t="shared" si="374"/>
        <v>0</v>
      </c>
      <c r="J290" s="199">
        <f t="shared" si="375"/>
        <v>600000</v>
      </c>
      <c r="K290" s="199">
        <f t="shared" si="376"/>
        <v>600000</v>
      </c>
      <c r="L290" s="199"/>
      <c r="M290" s="199">
        <v>600000</v>
      </c>
      <c r="N290" s="199">
        <f t="shared" si="377"/>
        <v>600000</v>
      </c>
      <c r="O290" s="199"/>
      <c r="P290" s="201">
        <v>0</v>
      </c>
      <c r="Q290" s="202">
        <v>14</v>
      </c>
      <c r="R290" s="203">
        <v>45566</v>
      </c>
      <c r="S290" s="199"/>
      <c r="T290" s="199">
        <v>600000</v>
      </c>
      <c r="U290" s="204">
        <f t="shared" si="378"/>
        <v>600000</v>
      </c>
      <c r="V290" s="198"/>
      <c r="W290" s="206"/>
      <c r="X290" s="201"/>
      <c r="Y290" s="201"/>
      <c r="Z290" s="201">
        <f t="shared" si="379"/>
        <v>0</v>
      </c>
      <c r="AA290" s="198"/>
      <c r="AB290" s="206"/>
      <c r="AC290" s="207"/>
      <c r="AD290" s="201"/>
      <c r="AE290" s="204">
        <f t="shared" si="380"/>
        <v>0</v>
      </c>
      <c r="AF290" s="203">
        <f t="shared" si="381"/>
        <v>45566</v>
      </c>
      <c r="AG290" s="201">
        <f t="shared" si="382"/>
        <v>0</v>
      </c>
      <c r="AH290" s="199">
        <f t="shared" si="383"/>
        <v>600000</v>
      </c>
      <c r="AI290" s="199">
        <f t="shared" si="384"/>
        <v>600000</v>
      </c>
      <c r="AJ290" s="201">
        <f t="shared" si="365"/>
        <v>0</v>
      </c>
      <c r="AK290" s="201">
        <f t="shared" si="365"/>
        <v>600000</v>
      </c>
      <c r="AL290" s="201">
        <f t="shared" si="385"/>
        <v>600000</v>
      </c>
      <c r="AM290" s="198"/>
      <c r="AN290" s="203"/>
      <c r="AO290" s="208"/>
      <c r="AP290" s="201">
        <f t="shared" si="386"/>
        <v>0</v>
      </c>
      <c r="AQ290" s="201">
        <f t="shared" si="387"/>
        <v>599360.18000000005</v>
      </c>
      <c r="AR290" s="201">
        <f t="shared" si="388"/>
        <v>599360.18000000005</v>
      </c>
      <c r="AS290" s="201">
        <f t="shared" si="389"/>
        <v>99.89336333333334</v>
      </c>
      <c r="AT290" s="201"/>
      <c r="AU290" s="223">
        <v>599360.18000000005</v>
      </c>
      <c r="AV290" s="201">
        <f t="shared" si="390"/>
        <v>599360.18000000005</v>
      </c>
      <c r="AW290" s="322">
        <f t="shared" si="368"/>
        <v>0</v>
      </c>
      <c r="AX290" s="201">
        <f t="shared" si="391"/>
        <v>99.89336333333334</v>
      </c>
      <c r="AY290" s="208"/>
      <c r="AZ290" s="201">
        <f t="shared" si="392"/>
        <v>0</v>
      </c>
      <c r="BA290" s="201">
        <f t="shared" si="393"/>
        <v>0</v>
      </c>
      <c r="BB290" s="201">
        <f t="shared" si="394"/>
        <v>0</v>
      </c>
      <c r="BC290" s="201"/>
      <c r="BD290" s="223">
        <v>0</v>
      </c>
      <c r="BE290" s="201">
        <f t="shared" si="370"/>
        <v>0</v>
      </c>
      <c r="BF290" s="208"/>
      <c r="BG290" s="201">
        <f t="shared" si="366"/>
        <v>0</v>
      </c>
      <c r="BH290" s="201">
        <f t="shared" si="366"/>
        <v>599360.18000000005</v>
      </c>
      <c r="BI290" s="201">
        <f t="shared" si="395"/>
        <v>599360.18000000005</v>
      </c>
      <c r="BJ290" s="201">
        <f t="shared" si="396"/>
        <v>99.89336333333334</v>
      </c>
      <c r="BK290" s="201">
        <v>89</v>
      </c>
      <c r="BL290" s="224">
        <v>90</v>
      </c>
      <c r="BM290" s="211"/>
      <c r="BN290" s="211"/>
      <c r="BO290" s="212">
        <f t="shared" si="397"/>
        <v>0</v>
      </c>
      <c r="BP290" s="201">
        <f t="shared" si="398"/>
        <v>639.81999999994878</v>
      </c>
      <c r="BQ290" s="201">
        <f t="shared" si="371"/>
        <v>639.81999999994878</v>
      </c>
      <c r="BR290" s="201">
        <f t="shared" si="367"/>
        <v>0</v>
      </c>
      <c r="BS290" s="201">
        <f t="shared" si="367"/>
        <v>639.81999999994878</v>
      </c>
      <c r="BT290" s="201">
        <f t="shared" si="372"/>
        <v>639.81999999994878</v>
      </c>
      <c r="BU290" s="213">
        <f t="shared" si="369"/>
        <v>0</v>
      </c>
      <c r="BV290" s="201"/>
      <c r="BW290" s="201"/>
      <c r="BX290" s="201">
        <f t="shared" si="373"/>
        <v>0</v>
      </c>
      <c r="BY290" s="199">
        <v>42000</v>
      </c>
      <c r="BZ290" s="199">
        <v>180000</v>
      </c>
      <c r="CA290" s="199">
        <v>312000</v>
      </c>
      <c r="CB290" s="199">
        <v>66000</v>
      </c>
      <c r="CC290" s="199">
        <v>0</v>
      </c>
      <c r="CD290" s="199">
        <v>0</v>
      </c>
      <c r="CE290" s="199"/>
      <c r="CF290" s="199"/>
      <c r="CG290" s="199"/>
      <c r="CH290" s="199"/>
      <c r="CI290" s="199"/>
      <c r="CJ290" s="199"/>
      <c r="CK290" s="214" t="s">
        <v>811</v>
      </c>
      <c r="CL290" s="214" t="s">
        <v>610</v>
      </c>
      <c r="CM290" s="211">
        <v>198</v>
      </c>
      <c r="CN290" s="215"/>
      <c r="CO290" s="215"/>
      <c r="CP290" s="216"/>
      <c r="CQ290" s="217"/>
      <c r="CR290" s="211"/>
      <c r="CS290" s="218"/>
      <c r="CT290" s="218"/>
      <c r="CU290" s="218"/>
      <c r="CV290" s="211"/>
      <c r="CW290" s="211"/>
      <c r="CX290" s="211"/>
      <c r="CY290" s="211"/>
      <c r="CZ290" s="211"/>
      <c r="DA290" s="211"/>
      <c r="DB290" s="211"/>
      <c r="DC290" s="219"/>
      <c r="DD290" s="219"/>
      <c r="DE290" s="219"/>
      <c r="DF290" s="211"/>
      <c r="DG290" s="211"/>
      <c r="DH290" s="211"/>
      <c r="DI290" s="211"/>
      <c r="DJ290" s="211"/>
      <c r="DK290" s="220" t="s">
        <v>32</v>
      </c>
      <c r="DT290" s="222"/>
    </row>
    <row r="291" spans="1:124" s="176" customFormat="1" ht="63" x14ac:dyDescent="0.2">
      <c r="A291" s="195" t="s">
        <v>108</v>
      </c>
      <c r="B291" s="197" t="s">
        <v>812</v>
      </c>
      <c r="C291" s="198">
        <v>1</v>
      </c>
      <c r="D291" s="199">
        <v>800000</v>
      </c>
      <c r="E291" s="198" t="s">
        <v>241</v>
      </c>
      <c r="F291" s="198" t="s">
        <v>241</v>
      </c>
      <c r="G291" s="198" t="s">
        <v>98</v>
      </c>
      <c r="H291" s="200">
        <v>1</v>
      </c>
      <c r="I291" s="199">
        <f t="shared" si="374"/>
        <v>0</v>
      </c>
      <c r="J291" s="199">
        <f t="shared" si="375"/>
        <v>800000</v>
      </c>
      <c r="K291" s="199">
        <f t="shared" si="376"/>
        <v>800000</v>
      </c>
      <c r="L291" s="199"/>
      <c r="M291" s="199">
        <v>800000</v>
      </c>
      <c r="N291" s="199">
        <f t="shared" si="377"/>
        <v>800000</v>
      </c>
      <c r="O291" s="199"/>
      <c r="P291" s="201">
        <v>0</v>
      </c>
      <c r="Q291" s="202">
        <v>14</v>
      </c>
      <c r="R291" s="203">
        <v>45566</v>
      </c>
      <c r="S291" s="199"/>
      <c r="T291" s="199">
        <v>800000</v>
      </c>
      <c r="U291" s="204">
        <f t="shared" si="378"/>
        <v>800000</v>
      </c>
      <c r="V291" s="198"/>
      <c r="W291" s="206"/>
      <c r="X291" s="201"/>
      <c r="Y291" s="201"/>
      <c r="Z291" s="201">
        <f t="shared" si="379"/>
        <v>0</v>
      </c>
      <c r="AA291" s="198"/>
      <c r="AB291" s="206"/>
      <c r="AC291" s="207"/>
      <c r="AD291" s="201"/>
      <c r="AE291" s="204">
        <f t="shared" si="380"/>
        <v>0</v>
      </c>
      <c r="AF291" s="203">
        <f t="shared" si="381"/>
        <v>45566</v>
      </c>
      <c r="AG291" s="201">
        <f t="shared" si="382"/>
        <v>0</v>
      </c>
      <c r="AH291" s="199">
        <f t="shared" si="383"/>
        <v>800000</v>
      </c>
      <c r="AI291" s="199">
        <f t="shared" si="384"/>
        <v>800000</v>
      </c>
      <c r="AJ291" s="201">
        <f t="shared" si="365"/>
        <v>0</v>
      </c>
      <c r="AK291" s="201">
        <f t="shared" si="365"/>
        <v>800000</v>
      </c>
      <c r="AL291" s="201">
        <f t="shared" si="385"/>
        <v>800000</v>
      </c>
      <c r="AM291" s="198"/>
      <c r="AN291" s="203"/>
      <c r="AO291" s="208"/>
      <c r="AP291" s="201">
        <f t="shared" si="386"/>
        <v>0</v>
      </c>
      <c r="AQ291" s="201">
        <f t="shared" si="387"/>
        <v>798895.61</v>
      </c>
      <c r="AR291" s="201">
        <f t="shared" si="388"/>
        <v>798895.61</v>
      </c>
      <c r="AS291" s="201">
        <f t="shared" si="389"/>
        <v>99.861951250000004</v>
      </c>
      <c r="AT291" s="201"/>
      <c r="AU291" s="223">
        <v>798895.61</v>
      </c>
      <c r="AV291" s="201">
        <f t="shared" si="390"/>
        <v>798895.61</v>
      </c>
      <c r="AW291" s="322">
        <f t="shared" si="368"/>
        <v>0</v>
      </c>
      <c r="AX291" s="201">
        <f t="shared" si="391"/>
        <v>99.861951250000004</v>
      </c>
      <c r="AY291" s="208"/>
      <c r="AZ291" s="201">
        <f t="shared" si="392"/>
        <v>0</v>
      </c>
      <c r="BA291" s="201">
        <f t="shared" si="393"/>
        <v>0</v>
      </c>
      <c r="BB291" s="201">
        <f t="shared" si="394"/>
        <v>0</v>
      </c>
      <c r="BC291" s="201"/>
      <c r="BD291" s="223">
        <v>0</v>
      </c>
      <c r="BE291" s="201">
        <f t="shared" si="370"/>
        <v>0</v>
      </c>
      <c r="BF291" s="208"/>
      <c r="BG291" s="201">
        <f t="shared" si="366"/>
        <v>0</v>
      </c>
      <c r="BH291" s="201">
        <f t="shared" si="366"/>
        <v>798895.61</v>
      </c>
      <c r="BI291" s="201">
        <f t="shared" si="395"/>
        <v>798895.61</v>
      </c>
      <c r="BJ291" s="201">
        <f t="shared" si="396"/>
        <v>99.861951250000004</v>
      </c>
      <c r="BK291" s="201">
        <v>89</v>
      </c>
      <c r="BL291" s="224">
        <v>90</v>
      </c>
      <c r="BM291" s="211"/>
      <c r="BN291" s="211"/>
      <c r="BO291" s="212">
        <f t="shared" si="397"/>
        <v>0</v>
      </c>
      <c r="BP291" s="201">
        <f t="shared" si="398"/>
        <v>1104.390000000014</v>
      </c>
      <c r="BQ291" s="201">
        <f t="shared" si="371"/>
        <v>1104.390000000014</v>
      </c>
      <c r="BR291" s="201">
        <f t="shared" si="367"/>
        <v>0</v>
      </c>
      <c r="BS291" s="201">
        <f t="shared" si="367"/>
        <v>1104.390000000014</v>
      </c>
      <c r="BT291" s="201">
        <f t="shared" si="372"/>
        <v>1104.390000000014</v>
      </c>
      <c r="BU291" s="213">
        <f t="shared" si="369"/>
        <v>0</v>
      </c>
      <c r="BV291" s="201"/>
      <c r="BW291" s="201"/>
      <c r="BX291" s="201">
        <f t="shared" si="373"/>
        <v>0</v>
      </c>
      <c r="BY291" s="199">
        <v>56000</v>
      </c>
      <c r="BZ291" s="199">
        <v>240000</v>
      </c>
      <c r="CA291" s="199">
        <v>416000</v>
      </c>
      <c r="CB291" s="199">
        <v>88000</v>
      </c>
      <c r="CC291" s="199">
        <v>0</v>
      </c>
      <c r="CD291" s="199">
        <v>0</v>
      </c>
      <c r="CE291" s="199"/>
      <c r="CF291" s="199"/>
      <c r="CG291" s="199"/>
      <c r="CH291" s="199"/>
      <c r="CI291" s="199"/>
      <c r="CJ291" s="199"/>
      <c r="CK291" s="214" t="s">
        <v>813</v>
      </c>
      <c r="CL291" s="214" t="s">
        <v>610</v>
      </c>
      <c r="CM291" s="211">
        <v>198</v>
      </c>
      <c r="CN291" s="215"/>
      <c r="CO291" s="215"/>
      <c r="CP291" s="216"/>
      <c r="CQ291" s="217"/>
      <c r="CR291" s="211"/>
      <c r="CS291" s="218"/>
      <c r="CT291" s="218"/>
      <c r="CU291" s="218"/>
      <c r="CV291" s="211"/>
      <c r="CW291" s="211"/>
      <c r="CX291" s="211"/>
      <c r="CY291" s="211"/>
      <c r="CZ291" s="211"/>
      <c r="DA291" s="211"/>
      <c r="DB291" s="211"/>
      <c r="DC291" s="219"/>
      <c r="DD291" s="219"/>
      <c r="DE291" s="219"/>
      <c r="DF291" s="211"/>
      <c r="DG291" s="211"/>
      <c r="DH291" s="211"/>
      <c r="DI291" s="211"/>
      <c r="DJ291" s="211"/>
      <c r="DK291" s="220" t="s">
        <v>32</v>
      </c>
      <c r="DT291" s="222"/>
    </row>
    <row r="292" spans="1:124" s="176" customFormat="1" ht="63" x14ac:dyDescent="0.2">
      <c r="A292" s="195" t="s">
        <v>108</v>
      </c>
      <c r="B292" s="197" t="s">
        <v>814</v>
      </c>
      <c r="C292" s="198">
        <v>1</v>
      </c>
      <c r="D292" s="199">
        <v>990000</v>
      </c>
      <c r="E292" s="198" t="s">
        <v>815</v>
      </c>
      <c r="F292" s="198" t="s">
        <v>241</v>
      </c>
      <c r="G292" s="198" t="s">
        <v>98</v>
      </c>
      <c r="H292" s="200">
        <v>1</v>
      </c>
      <c r="I292" s="199">
        <f t="shared" si="374"/>
        <v>0</v>
      </c>
      <c r="J292" s="199">
        <f t="shared" si="375"/>
        <v>990000</v>
      </c>
      <c r="K292" s="199">
        <f t="shared" si="376"/>
        <v>990000</v>
      </c>
      <c r="L292" s="199"/>
      <c r="M292" s="199">
        <v>990000</v>
      </c>
      <c r="N292" s="199">
        <f t="shared" si="377"/>
        <v>990000</v>
      </c>
      <c r="O292" s="199"/>
      <c r="P292" s="201">
        <v>0</v>
      </c>
      <c r="Q292" s="202">
        <v>14</v>
      </c>
      <c r="R292" s="203">
        <v>45566</v>
      </c>
      <c r="S292" s="199"/>
      <c r="T292" s="199">
        <v>990000</v>
      </c>
      <c r="U292" s="204">
        <f t="shared" si="378"/>
        <v>990000</v>
      </c>
      <c r="V292" s="198"/>
      <c r="W292" s="206"/>
      <c r="X292" s="201"/>
      <c r="Y292" s="201"/>
      <c r="Z292" s="201">
        <f t="shared" si="379"/>
        <v>0</v>
      </c>
      <c r="AA292" s="198"/>
      <c r="AB292" s="206"/>
      <c r="AC292" s="207"/>
      <c r="AD292" s="201"/>
      <c r="AE292" s="204">
        <f t="shared" si="380"/>
        <v>0</v>
      </c>
      <c r="AF292" s="203">
        <f t="shared" si="381"/>
        <v>45566</v>
      </c>
      <c r="AG292" s="201">
        <f t="shared" si="382"/>
        <v>0</v>
      </c>
      <c r="AH292" s="199">
        <f t="shared" si="383"/>
        <v>990000</v>
      </c>
      <c r="AI292" s="199">
        <f t="shared" si="384"/>
        <v>990000</v>
      </c>
      <c r="AJ292" s="201">
        <f t="shared" si="365"/>
        <v>0</v>
      </c>
      <c r="AK292" s="201">
        <f t="shared" si="365"/>
        <v>990000</v>
      </c>
      <c r="AL292" s="201">
        <f t="shared" si="385"/>
        <v>990000</v>
      </c>
      <c r="AM292" s="198"/>
      <c r="AN292" s="203"/>
      <c r="AO292" s="208"/>
      <c r="AP292" s="201">
        <f t="shared" si="386"/>
        <v>0</v>
      </c>
      <c r="AQ292" s="201">
        <f t="shared" si="387"/>
        <v>989130.2</v>
      </c>
      <c r="AR292" s="201">
        <f t="shared" si="388"/>
        <v>989130.2</v>
      </c>
      <c r="AS292" s="201">
        <f t="shared" si="389"/>
        <v>99.912141414141416</v>
      </c>
      <c r="AT292" s="201"/>
      <c r="AU292" s="223">
        <v>989130.2</v>
      </c>
      <c r="AV292" s="201">
        <f t="shared" si="390"/>
        <v>989130.2</v>
      </c>
      <c r="AW292" s="322">
        <f t="shared" si="368"/>
        <v>0</v>
      </c>
      <c r="AX292" s="201">
        <f t="shared" si="391"/>
        <v>99.912141414141416</v>
      </c>
      <c r="AY292" s="208"/>
      <c r="AZ292" s="201">
        <f t="shared" si="392"/>
        <v>0</v>
      </c>
      <c r="BA292" s="201">
        <f t="shared" si="393"/>
        <v>0</v>
      </c>
      <c r="BB292" s="201">
        <f t="shared" si="394"/>
        <v>0</v>
      </c>
      <c r="BC292" s="201"/>
      <c r="BD292" s="223">
        <v>0</v>
      </c>
      <c r="BE292" s="201">
        <f t="shared" si="370"/>
        <v>0</v>
      </c>
      <c r="BF292" s="208"/>
      <c r="BG292" s="201">
        <f t="shared" si="366"/>
        <v>0</v>
      </c>
      <c r="BH292" s="201">
        <f t="shared" si="366"/>
        <v>989130.2</v>
      </c>
      <c r="BI292" s="201">
        <f t="shared" si="395"/>
        <v>989130.2</v>
      </c>
      <c r="BJ292" s="201">
        <f t="shared" si="396"/>
        <v>99.912141414141416</v>
      </c>
      <c r="BK292" s="201">
        <v>89</v>
      </c>
      <c r="BL292" s="224">
        <v>90</v>
      </c>
      <c r="BM292" s="211"/>
      <c r="BN292" s="211"/>
      <c r="BO292" s="212">
        <f t="shared" si="397"/>
        <v>0</v>
      </c>
      <c r="BP292" s="201">
        <f t="shared" si="398"/>
        <v>869.80000000004657</v>
      </c>
      <c r="BQ292" s="201">
        <f t="shared" si="371"/>
        <v>869.80000000004657</v>
      </c>
      <c r="BR292" s="201">
        <f t="shared" si="367"/>
        <v>0</v>
      </c>
      <c r="BS292" s="201">
        <f t="shared" si="367"/>
        <v>869.80000000004657</v>
      </c>
      <c r="BT292" s="201">
        <f t="shared" si="372"/>
        <v>869.80000000004657</v>
      </c>
      <c r="BU292" s="213">
        <f t="shared" si="369"/>
        <v>0</v>
      </c>
      <c r="BV292" s="201"/>
      <c r="BW292" s="201"/>
      <c r="BX292" s="201">
        <f t="shared" si="373"/>
        <v>0</v>
      </c>
      <c r="BY292" s="199">
        <v>69300</v>
      </c>
      <c r="BZ292" s="199">
        <v>297000</v>
      </c>
      <c r="CA292" s="199">
        <v>514800</v>
      </c>
      <c r="CB292" s="199">
        <v>108900</v>
      </c>
      <c r="CC292" s="199">
        <v>0</v>
      </c>
      <c r="CD292" s="199">
        <v>0</v>
      </c>
      <c r="CE292" s="199"/>
      <c r="CF292" s="199"/>
      <c r="CG292" s="199"/>
      <c r="CH292" s="199"/>
      <c r="CI292" s="199"/>
      <c r="CJ292" s="199"/>
      <c r="CK292" s="214" t="s">
        <v>816</v>
      </c>
      <c r="CL292" s="214" t="s">
        <v>610</v>
      </c>
      <c r="CM292" s="211">
        <v>198</v>
      </c>
      <c r="CN292" s="215"/>
      <c r="CO292" s="215"/>
      <c r="CP292" s="216"/>
      <c r="CQ292" s="217"/>
      <c r="CR292" s="211"/>
      <c r="CS292" s="218"/>
      <c r="CT292" s="218"/>
      <c r="CU292" s="218"/>
      <c r="CV292" s="211"/>
      <c r="CW292" s="211"/>
      <c r="CX292" s="211"/>
      <c r="CY292" s="211"/>
      <c r="CZ292" s="211"/>
      <c r="DA292" s="211"/>
      <c r="DB292" s="211"/>
      <c r="DC292" s="219"/>
      <c r="DD292" s="219"/>
      <c r="DE292" s="219"/>
      <c r="DF292" s="211"/>
      <c r="DG292" s="211"/>
      <c r="DH292" s="211"/>
      <c r="DI292" s="211"/>
      <c r="DJ292" s="211"/>
      <c r="DK292" s="220" t="s">
        <v>32</v>
      </c>
      <c r="DT292" s="222"/>
    </row>
    <row r="293" spans="1:124" s="176" customFormat="1" ht="63" x14ac:dyDescent="0.2">
      <c r="A293" s="195" t="s">
        <v>108</v>
      </c>
      <c r="B293" s="197" t="s">
        <v>817</v>
      </c>
      <c r="C293" s="198">
        <v>1</v>
      </c>
      <c r="D293" s="199">
        <v>990000</v>
      </c>
      <c r="E293" s="198" t="s">
        <v>241</v>
      </c>
      <c r="F293" s="198" t="s">
        <v>241</v>
      </c>
      <c r="G293" s="198" t="s">
        <v>98</v>
      </c>
      <c r="H293" s="200">
        <v>1</v>
      </c>
      <c r="I293" s="199">
        <f t="shared" si="374"/>
        <v>0</v>
      </c>
      <c r="J293" s="199">
        <f t="shared" si="375"/>
        <v>990000</v>
      </c>
      <c r="K293" s="199">
        <f t="shared" si="376"/>
        <v>990000</v>
      </c>
      <c r="L293" s="199"/>
      <c r="M293" s="199">
        <v>990000</v>
      </c>
      <c r="N293" s="199">
        <f t="shared" si="377"/>
        <v>990000</v>
      </c>
      <c r="O293" s="199"/>
      <c r="P293" s="201">
        <v>0</v>
      </c>
      <c r="Q293" s="202">
        <v>14</v>
      </c>
      <c r="R293" s="203">
        <v>45566</v>
      </c>
      <c r="S293" s="199"/>
      <c r="T293" s="199">
        <v>990000</v>
      </c>
      <c r="U293" s="204">
        <f t="shared" si="378"/>
        <v>990000</v>
      </c>
      <c r="V293" s="198"/>
      <c r="W293" s="206"/>
      <c r="X293" s="201"/>
      <c r="Y293" s="201"/>
      <c r="Z293" s="201">
        <f t="shared" si="379"/>
        <v>0</v>
      </c>
      <c r="AA293" s="198"/>
      <c r="AB293" s="206"/>
      <c r="AC293" s="207"/>
      <c r="AD293" s="201"/>
      <c r="AE293" s="204">
        <f t="shared" si="380"/>
        <v>0</v>
      </c>
      <c r="AF293" s="203">
        <f t="shared" si="381"/>
        <v>45566</v>
      </c>
      <c r="AG293" s="201">
        <f t="shared" si="382"/>
        <v>0</v>
      </c>
      <c r="AH293" s="199">
        <f t="shared" si="383"/>
        <v>990000</v>
      </c>
      <c r="AI293" s="199">
        <f t="shared" si="384"/>
        <v>990000</v>
      </c>
      <c r="AJ293" s="201">
        <f t="shared" si="365"/>
        <v>0</v>
      </c>
      <c r="AK293" s="201">
        <f t="shared" si="365"/>
        <v>990000</v>
      </c>
      <c r="AL293" s="201">
        <f t="shared" si="385"/>
        <v>990000</v>
      </c>
      <c r="AM293" s="198"/>
      <c r="AN293" s="203"/>
      <c r="AO293" s="208"/>
      <c r="AP293" s="201">
        <f t="shared" si="386"/>
        <v>0</v>
      </c>
      <c r="AQ293" s="201">
        <f t="shared" si="387"/>
        <v>989017.35</v>
      </c>
      <c r="AR293" s="201">
        <f t="shared" si="388"/>
        <v>989017.35</v>
      </c>
      <c r="AS293" s="201">
        <f t="shared" si="389"/>
        <v>99.900742424242424</v>
      </c>
      <c r="AT293" s="201"/>
      <c r="AU293" s="223">
        <v>989017.35</v>
      </c>
      <c r="AV293" s="201">
        <f t="shared" si="390"/>
        <v>989017.35</v>
      </c>
      <c r="AW293" s="322">
        <f t="shared" si="368"/>
        <v>0</v>
      </c>
      <c r="AX293" s="201">
        <f t="shared" si="391"/>
        <v>99.900742424242424</v>
      </c>
      <c r="AY293" s="208"/>
      <c r="AZ293" s="201">
        <f t="shared" si="392"/>
        <v>0</v>
      </c>
      <c r="BA293" s="201">
        <f t="shared" si="393"/>
        <v>0</v>
      </c>
      <c r="BB293" s="201">
        <f t="shared" si="394"/>
        <v>0</v>
      </c>
      <c r="BC293" s="201"/>
      <c r="BD293" s="223">
        <v>0</v>
      </c>
      <c r="BE293" s="201">
        <f t="shared" si="370"/>
        <v>0</v>
      </c>
      <c r="BF293" s="208"/>
      <c r="BG293" s="201">
        <f t="shared" si="366"/>
        <v>0</v>
      </c>
      <c r="BH293" s="201">
        <f t="shared" si="366"/>
        <v>989017.35</v>
      </c>
      <c r="BI293" s="201">
        <f t="shared" si="395"/>
        <v>989017.35</v>
      </c>
      <c r="BJ293" s="201">
        <f t="shared" si="396"/>
        <v>99.900742424242424</v>
      </c>
      <c r="BK293" s="201">
        <v>89</v>
      </c>
      <c r="BL293" s="224">
        <v>90</v>
      </c>
      <c r="BM293" s="211"/>
      <c r="BN293" s="211"/>
      <c r="BO293" s="212">
        <f t="shared" si="397"/>
        <v>0</v>
      </c>
      <c r="BP293" s="201">
        <f t="shared" si="398"/>
        <v>982.65000000002328</v>
      </c>
      <c r="BQ293" s="201">
        <f t="shared" si="371"/>
        <v>982.65000000002328</v>
      </c>
      <c r="BR293" s="201">
        <f t="shared" si="367"/>
        <v>0</v>
      </c>
      <c r="BS293" s="201">
        <f t="shared" si="367"/>
        <v>982.65000000002328</v>
      </c>
      <c r="BT293" s="201">
        <f t="shared" si="372"/>
        <v>982.65000000002328</v>
      </c>
      <c r="BU293" s="213">
        <f t="shared" si="369"/>
        <v>0</v>
      </c>
      <c r="BV293" s="201"/>
      <c r="BW293" s="201"/>
      <c r="BX293" s="201">
        <f t="shared" si="373"/>
        <v>0</v>
      </c>
      <c r="BY293" s="199">
        <v>69300</v>
      </c>
      <c r="BZ293" s="199">
        <v>297000</v>
      </c>
      <c r="CA293" s="199">
        <v>514800</v>
      </c>
      <c r="CB293" s="199">
        <v>108900</v>
      </c>
      <c r="CC293" s="199">
        <v>0</v>
      </c>
      <c r="CD293" s="199">
        <v>0</v>
      </c>
      <c r="CE293" s="199"/>
      <c r="CF293" s="199"/>
      <c r="CG293" s="199"/>
      <c r="CH293" s="199"/>
      <c r="CI293" s="199"/>
      <c r="CJ293" s="199"/>
      <c r="CK293" s="214" t="s">
        <v>818</v>
      </c>
      <c r="CL293" s="214" t="s">
        <v>610</v>
      </c>
      <c r="CM293" s="211">
        <v>198</v>
      </c>
      <c r="CN293" s="215"/>
      <c r="CO293" s="215"/>
      <c r="CP293" s="216"/>
      <c r="CQ293" s="217"/>
      <c r="CR293" s="211"/>
      <c r="CS293" s="218"/>
      <c r="CT293" s="218"/>
      <c r="CU293" s="218"/>
      <c r="CV293" s="211"/>
      <c r="CW293" s="211"/>
      <c r="CX293" s="211"/>
      <c r="CY293" s="211"/>
      <c r="CZ293" s="211"/>
      <c r="DA293" s="211"/>
      <c r="DB293" s="211"/>
      <c r="DC293" s="219"/>
      <c r="DD293" s="219"/>
      <c r="DE293" s="219"/>
      <c r="DF293" s="211"/>
      <c r="DG293" s="211"/>
      <c r="DH293" s="211"/>
      <c r="DI293" s="211"/>
      <c r="DJ293" s="211"/>
      <c r="DK293" s="220" t="s">
        <v>32</v>
      </c>
      <c r="DT293" s="222"/>
    </row>
    <row r="294" spans="1:124" s="176" customFormat="1" ht="42" x14ac:dyDescent="0.2">
      <c r="A294" s="195" t="s">
        <v>108</v>
      </c>
      <c r="B294" s="197" t="s">
        <v>819</v>
      </c>
      <c r="C294" s="198">
        <v>1</v>
      </c>
      <c r="D294" s="199">
        <v>200000</v>
      </c>
      <c r="E294" s="198" t="s">
        <v>340</v>
      </c>
      <c r="F294" s="198" t="s">
        <v>245</v>
      </c>
      <c r="G294" s="198" t="s">
        <v>98</v>
      </c>
      <c r="H294" s="200">
        <v>1</v>
      </c>
      <c r="I294" s="199">
        <f t="shared" si="374"/>
        <v>0</v>
      </c>
      <c r="J294" s="199">
        <f t="shared" si="375"/>
        <v>200000</v>
      </c>
      <c r="K294" s="199">
        <f t="shared" si="376"/>
        <v>200000</v>
      </c>
      <c r="L294" s="199"/>
      <c r="M294" s="199">
        <v>200000</v>
      </c>
      <c r="N294" s="199">
        <f t="shared" si="377"/>
        <v>200000</v>
      </c>
      <c r="O294" s="199"/>
      <c r="P294" s="201">
        <v>0</v>
      </c>
      <c r="Q294" s="202">
        <v>14</v>
      </c>
      <c r="R294" s="203">
        <v>45566</v>
      </c>
      <c r="S294" s="199"/>
      <c r="T294" s="199">
        <v>200000</v>
      </c>
      <c r="U294" s="204">
        <f t="shared" si="378"/>
        <v>200000</v>
      </c>
      <c r="V294" s="198"/>
      <c r="W294" s="206"/>
      <c r="X294" s="201"/>
      <c r="Y294" s="201"/>
      <c r="Z294" s="201">
        <f t="shared" si="379"/>
        <v>0</v>
      </c>
      <c r="AA294" s="198"/>
      <c r="AB294" s="206"/>
      <c r="AC294" s="207"/>
      <c r="AD294" s="201"/>
      <c r="AE294" s="204">
        <f t="shared" si="380"/>
        <v>0</v>
      </c>
      <c r="AF294" s="203">
        <f t="shared" si="381"/>
        <v>45566</v>
      </c>
      <c r="AG294" s="201">
        <f t="shared" si="382"/>
        <v>0</v>
      </c>
      <c r="AH294" s="199">
        <f t="shared" si="383"/>
        <v>200000</v>
      </c>
      <c r="AI294" s="199">
        <f t="shared" si="384"/>
        <v>200000</v>
      </c>
      <c r="AJ294" s="201">
        <f t="shared" si="365"/>
        <v>0</v>
      </c>
      <c r="AK294" s="201">
        <f t="shared" si="365"/>
        <v>200000</v>
      </c>
      <c r="AL294" s="201">
        <f t="shared" si="385"/>
        <v>200000</v>
      </c>
      <c r="AM294" s="198"/>
      <c r="AN294" s="203"/>
      <c r="AO294" s="208"/>
      <c r="AP294" s="201">
        <f t="shared" si="386"/>
        <v>0</v>
      </c>
      <c r="AQ294" s="201">
        <f t="shared" si="387"/>
        <v>199406</v>
      </c>
      <c r="AR294" s="201">
        <f t="shared" si="388"/>
        <v>199406</v>
      </c>
      <c r="AS294" s="201">
        <f t="shared" si="389"/>
        <v>99.703000000000003</v>
      </c>
      <c r="AT294" s="201"/>
      <c r="AU294" s="223">
        <v>199406</v>
      </c>
      <c r="AV294" s="201">
        <f t="shared" si="390"/>
        <v>199406</v>
      </c>
      <c r="AW294" s="322">
        <f t="shared" si="368"/>
        <v>0</v>
      </c>
      <c r="AX294" s="201">
        <f t="shared" si="391"/>
        <v>99.703000000000003</v>
      </c>
      <c r="AY294" s="208"/>
      <c r="AZ294" s="201">
        <f t="shared" si="392"/>
        <v>0</v>
      </c>
      <c r="BA294" s="201">
        <f t="shared" si="393"/>
        <v>0</v>
      </c>
      <c r="BB294" s="201">
        <f t="shared" si="394"/>
        <v>0</v>
      </c>
      <c r="BC294" s="201"/>
      <c r="BD294" s="223">
        <v>0</v>
      </c>
      <c r="BE294" s="201">
        <f t="shared" si="370"/>
        <v>0</v>
      </c>
      <c r="BF294" s="208"/>
      <c r="BG294" s="201">
        <f t="shared" si="366"/>
        <v>0</v>
      </c>
      <c r="BH294" s="201">
        <f t="shared" si="366"/>
        <v>199406</v>
      </c>
      <c r="BI294" s="201">
        <f t="shared" si="395"/>
        <v>199406</v>
      </c>
      <c r="BJ294" s="201">
        <f t="shared" si="396"/>
        <v>99.703000000000003</v>
      </c>
      <c r="BK294" s="201">
        <v>89</v>
      </c>
      <c r="BL294" s="224">
        <v>90</v>
      </c>
      <c r="BM294" s="211"/>
      <c r="BN294" s="211"/>
      <c r="BO294" s="212">
        <f t="shared" si="397"/>
        <v>0</v>
      </c>
      <c r="BP294" s="201">
        <f t="shared" si="398"/>
        <v>594</v>
      </c>
      <c r="BQ294" s="201">
        <f t="shared" si="371"/>
        <v>594</v>
      </c>
      <c r="BR294" s="201">
        <f t="shared" si="367"/>
        <v>0</v>
      </c>
      <c r="BS294" s="201">
        <f t="shared" si="367"/>
        <v>594</v>
      </c>
      <c r="BT294" s="201">
        <f t="shared" si="372"/>
        <v>594</v>
      </c>
      <c r="BU294" s="213">
        <f t="shared" si="369"/>
        <v>0</v>
      </c>
      <c r="BV294" s="201"/>
      <c r="BW294" s="201"/>
      <c r="BX294" s="201">
        <f t="shared" si="373"/>
        <v>0</v>
      </c>
      <c r="BY294" s="199">
        <v>14000</v>
      </c>
      <c r="BZ294" s="199">
        <v>60000</v>
      </c>
      <c r="CA294" s="199">
        <v>104000</v>
      </c>
      <c r="CB294" s="199">
        <v>22000</v>
      </c>
      <c r="CC294" s="199">
        <v>0</v>
      </c>
      <c r="CD294" s="199">
        <v>0</v>
      </c>
      <c r="CE294" s="199"/>
      <c r="CF294" s="199"/>
      <c r="CG294" s="199"/>
      <c r="CH294" s="199"/>
      <c r="CI294" s="199"/>
      <c r="CJ294" s="199"/>
      <c r="CK294" s="214" t="s">
        <v>820</v>
      </c>
      <c r="CL294" s="214" t="s">
        <v>610</v>
      </c>
      <c r="CM294" s="211">
        <v>198</v>
      </c>
      <c r="CN294" s="215"/>
      <c r="CO294" s="215"/>
      <c r="CP294" s="216"/>
      <c r="CQ294" s="217"/>
      <c r="CR294" s="211"/>
      <c r="CS294" s="218"/>
      <c r="CT294" s="218"/>
      <c r="CU294" s="218"/>
      <c r="CV294" s="211"/>
      <c r="CW294" s="211"/>
      <c r="CX294" s="211"/>
      <c r="CY294" s="211"/>
      <c r="CZ294" s="211"/>
      <c r="DA294" s="211"/>
      <c r="DB294" s="211"/>
      <c r="DC294" s="219"/>
      <c r="DD294" s="219"/>
      <c r="DE294" s="219"/>
      <c r="DF294" s="211"/>
      <c r="DG294" s="211"/>
      <c r="DH294" s="211"/>
      <c r="DI294" s="211"/>
      <c r="DJ294" s="211"/>
      <c r="DK294" s="220" t="s">
        <v>32</v>
      </c>
      <c r="DT294" s="222"/>
    </row>
    <row r="295" spans="1:124" s="176" customFormat="1" ht="42" x14ac:dyDescent="0.2">
      <c r="A295" s="195" t="s">
        <v>108</v>
      </c>
      <c r="B295" s="197" t="s">
        <v>821</v>
      </c>
      <c r="C295" s="198">
        <v>1</v>
      </c>
      <c r="D295" s="199">
        <v>400000</v>
      </c>
      <c r="E295" s="198" t="s">
        <v>665</v>
      </c>
      <c r="F295" s="198" t="s">
        <v>665</v>
      </c>
      <c r="G295" s="198" t="s">
        <v>98</v>
      </c>
      <c r="H295" s="200">
        <v>1</v>
      </c>
      <c r="I295" s="199">
        <f t="shared" si="374"/>
        <v>0</v>
      </c>
      <c r="J295" s="199">
        <f t="shared" si="375"/>
        <v>400000</v>
      </c>
      <c r="K295" s="199">
        <f t="shared" si="376"/>
        <v>400000</v>
      </c>
      <c r="L295" s="199"/>
      <c r="M295" s="199">
        <v>400000</v>
      </c>
      <c r="N295" s="199">
        <f t="shared" si="377"/>
        <v>400000</v>
      </c>
      <c r="O295" s="199"/>
      <c r="P295" s="201">
        <v>0</v>
      </c>
      <c r="Q295" s="202">
        <v>14</v>
      </c>
      <c r="R295" s="203">
        <v>45566</v>
      </c>
      <c r="S295" s="199"/>
      <c r="T295" s="199">
        <v>400000</v>
      </c>
      <c r="U295" s="204">
        <f t="shared" si="378"/>
        <v>400000</v>
      </c>
      <c r="V295" s="198"/>
      <c r="W295" s="206"/>
      <c r="X295" s="201"/>
      <c r="Y295" s="201"/>
      <c r="Z295" s="201">
        <f t="shared" si="379"/>
        <v>0</v>
      </c>
      <c r="AA295" s="198"/>
      <c r="AB295" s="206"/>
      <c r="AC295" s="207"/>
      <c r="AD295" s="201"/>
      <c r="AE295" s="204">
        <f t="shared" si="380"/>
        <v>0</v>
      </c>
      <c r="AF295" s="203">
        <f t="shared" si="381"/>
        <v>45566</v>
      </c>
      <c r="AG295" s="201">
        <f t="shared" si="382"/>
        <v>0</v>
      </c>
      <c r="AH295" s="199">
        <f t="shared" si="383"/>
        <v>400000</v>
      </c>
      <c r="AI295" s="199">
        <f t="shared" si="384"/>
        <v>400000</v>
      </c>
      <c r="AJ295" s="201">
        <f t="shared" si="365"/>
        <v>0</v>
      </c>
      <c r="AK295" s="201">
        <f t="shared" si="365"/>
        <v>400000</v>
      </c>
      <c r="AL295" s="201">
        <f t="shared" si="385"/>
        <v>400000</v>
      </c>
      <c r="AM295" s="198"/>
      <c r="AN295" s="203"/>
      <c r="AO295" s="208"/>
      <c r="AP295" s="201">
        <f t="shared" si="386"/>
        <v>0</v>
      </c>
      <c r="AQ295" s="201">
        <f t="shared" si="387"/>
        <v>326392.28000000003</v>
      </c>
      <c r="AR295" s="201">
        <f t="shared" si="388"/>
        <v>326392.28000000003</v>
      </c>
      <c r="AS295" s="201">
        <f t="shared" si="389"/>
        <v>81.598070000000007</v>
      </c>
      <c r="AT295" s="201"/>
      <c r="AU295" s="223">
        <v>326392.28000000003</v>
      </c>
      <c r="AV295" s="201">
        <f t="shared" si="390"/>
        <v>326392.28000000003</v>
      </c>
      <c r="AW295" s="322">
        <f t="shared" si="368"/>
        <v>0</v>
      </c>
      <c r="AX295" s="201">
        <f t="shared" si="391"/>
        <v>81.598070000000007</v>
      </c>
      <c r="AY295" s="208"/>
      <c r="AZ295" s="201">
        <f t="shared" si="392"/>
        <v>0</v>
      </c>
      <c r="BA295" s="201">
        <f t="shared" si="393"/>
        <v>0</v>
      </c>
      <c r="BB295" s="201">
        <f t="shared" si="394"/>
        <v>0</v>
      </c>
      <c r="BC295" s="201"/>
      <c r="BD295" s="223">
        <v>0</v>
      </c>
      <c r="BE295" s="201">
        <f t="shared" si="370"/>
        <v>0</v>
      </c>
      <c r="BF295" s="208"/>
      <c r="BG295" s="201">
        <f t="shared" si="366"/>
        <v>0</v>
      </c>
      <c r="BH295" s="201">
        <f t="shared" si="366"/>
        <v>326392.28000000003</v>
      </c>
      <c r="BI295" s="201">
        <f t="shared" si="395"/>
        <v>326392.28000000003</v>
      </c>
      <c r="BJ295" s="201">
        <f t="shared" si="396"/>
        <v>81.598070000000007</v>
      </c>
      <c r="BK295" s="201">
        <v>89</v>
      </c>
      <c r="BL295" s="224">
        <v>70</v>
      </c>
      <c r="BM295" s="211"/>
      <c r="BN295" s="211"/>
      <c r="BO295" s="212">
        <f t="shared" si="397"/>
        <v>0</v>
      </c>
      <c r="BP295" s="201">
        <f t="shared" si="398"/>
        <v>73607.719999999972</v>
      </c>
      <c r="BQ295" s="201">
        <f t="shared" si="371"/>
        <v>73607.719999999972</v>
      </c>
      <c r="BR295" s="201">
        <f t="shared" si="367"/>
        <v>0</v>
      </c>
      <c r="BS295" s="201">
        <f t="shared" si="367"/>
        <v>73607.719999999972</v>
      </c>
      <c r="BT295" s="201">
        <f t="shared" si="372"/>
        <v>73607.719999999972</v>
      </c>
      <c r="BU295" s="213">
        <f t="shared" si="369"/>
        <v>0</v>
      </c>
      <c r="BV295" s="201"/>
      <c r="BW295" s="201"/>
      <c r="BX295" s="201">
        <f t="shared" si="373"/>
        <v>0</v>
      </c>
      <c r="BY295" s="199">
        <v>28000</v>
      </c>
      <c r="BZ295" s="199">
        <v>120000</v>
      </c>
      <c r="CA295" s="199">
        <v>208000</v>
      </c>
      <c r="CB295" s="199">
        <v>44000</v>
      </c>
      <c r="CC295" s="199">
        <v>0</v>
      </c>
      <c r="CD295" s="199">
        <v>0</v>
      </c>
      <c r="CE295" s="199">
        <v>0</v>
      </c>
      <c r="CF295" s="199">
        <v>0</v>
      </c>
      <c r="CG295" s="199">
        <v>0</v>
      </c>
      <c r="CH295" s="199">
        <v>0</v>
      </c>
      <c r="CI295" s="199">
        <v>0</v>
      </c>
      <c r="CJ295" s="199">
        <v>0</v>
      </c>
      <c r="CK295" s="214" t="s">
        <v>822</v>
      </c>
      <c r="CL295" s="214" t="s">
        <v>610</v>
      </c>
      <c r="CM295" s="211">
        <v>198</v>
      </c>
      <c r="CN295" s="215"/>
      <c r="CO295" s="215"/>
      <c r="CP295" s="216"/>
      <c r="CQ295" s="217"/>
      <c r="CR295" s="211"/>
      <c r="CS295" s="218"/>
      <c r="CT295" s="218"/>
      <c r="CU295" s="218"/>
      <c r="CV295" s="211"/>
      <c r="CW295" s="211"/>
      <c r="CX295" s="211"/>
      <c r="CY295" s="211"/>
      <c r="CZ295" s="211"/>
      <c r="DA295" s="211"/>
      <c r="DB295" s="211"/>
      <c r="DC295" s="219"/>
      <c r="DD295" s="219"/>
      <c r="DE295" s="219"/>
      <c r="DF295" s="211"/>
      <c r="DG295" s="211"/>
      <c r="DH295" s="211"/>
      <c r="DI295" s="211"/>
      <c r="DJ295" s="211"/>
      <c r="DK295" s="220" t="s">
        <v>32</v>
      </c>
      <c r="DT295" s="222"/>
    </row>
    <row r="296" spans="1:124" s="176" customFormat="1" ht="42" x14ac:dyDescent="0.2">
      <c r="A296" s="195" t="s">
        <v>108</v>
      </c>
      <c r="B296" s="197" t="s">
        <v>823</v>
      </c>
      <c r="C296" s="198">
        <v>1</v>
      </c>
      <c r="D296" s="199">
        <v>400000</v>
      </c>
      <c r="E296" s="198" t="s">
        <v>665</v>
      </c>
      <c r="F296" s="198" t="s">
        <v>665</v>
      </c>
      <c r="G296" s="198" t="s">
        <v>98</v>
      </c>
      <c r="H296" s="200">
        <v>1</v>
      </c>
      <c r="I296" s="199">
        <f t="shared" si="374"/>
        <v>0</v>
      </c>
      <c r="J296" s="199">
        <f t="shared" si="375"/>
        <v>400000</v>
      </c>
      <c r="K296" s="199">
        <f t="shared" si="376"/>
        <v>400000</v>
      </c>
      <c r="L296" s="199"/>
      <c r="M296" s="199">
        <v>400000</v>
      </c>
      <c r="N296" s="199">
        <f t="shared" si="377"/>
        <v>400000</v>
      </c>
      <c r="O296" s="199"/>
      <c r="P296" s="201">
        <v>0</v>
      </c>
      <c r="Q296" s="202">
        <v>14</v>
      </c>
      <c r="R296" s="203">
        <v>45566</v>
      </c>
      <c r="S296" s="199"/>
      <c r="T296" s="199">
        <v>400000</v>
      </c>
      <c r="U296" s="204">
        <f t="shared" si="378"/>
        <v>400000</v>
      </c>
      <c r="V296" s="198"/>
      <c r="W296" s="206"/>
      <c r="X296" s="201"/>
      <c r="Y296" s="201"/>
      <c r="Z296" s="201">
        <f t="shared" si="379"/>
        <v>0</v>
      </c>
      <c r="AA296" s="198"/>
      <c r="AB296" s="206"/>
      <c r="AC296" s="207"/>
      <c r="AD296" s="201"/>
      <c r="AE296" s="204">
        <f t="shared" si="380"/>
        <v>0</v>
      </c>
      <c r="AF296" s="203">
        <f t="shared" si="381"/>
        <v>45566</v>
      </c>
      <c r="AG296" s="201">
        <f t="shared" si="382"/>
        <v>0</v>
      </c>
      <c r="AH296" s="199">
        <f t="shared" si="383"/>
        <v>400000</v>
      </c>
      <c r="AI296" s="199">
        <f t="shared" si="384"/>
        <v>400000</v>
      </c>
      <c r="AJ296" s="201">
        <f t="shared" si="365"/>
        <v>0</v>
      </c>
      <c r="AK296" s="201">
        <f t="shared" si="365"/>
        <v>400000</v>
      </c>
      <c r="AL296" s="201">
        <f t="shared" si="385"/>
        <v>400000</v>
      </c>
      <c r="AM296" s="198"/>
      <c r="AN296" s="203"/>
      <c r="AO296" s="208"/>
      <c r="AP296" s="201">
        <f t="shared" si="386"/>
        <v>0</v>
      </c>
      <c r="AQ296" s="201">
        <f t="shared" si="387"/>
        <v>291358.07</v>
      </c>
      <c r="AR296" s="201">
        <f t="shared" si="388"/>
        <v>291358.07</v>
      </c>
      <c r="AS296" s="201">
        <f t="shared" si="389"/>
        <v>72.839517499999999</v>
      </c>
      <c r="AT296" s="201"/>
      <c r="AU296" s="223">
        <v>291358.07</v>
      </c>
      <c r="AV296" s="201">
        <f t="shared" si="390"/>
        <v>291358.07</v>
      </c>
      <c r="AW296" s="322">
        <f t="shared" si="368"/>
        <v>0</v>
      </c>
      <c r="AX296" s="201">
        <f t="shared" si="391"/>
        <v>72.839517499999999</v>
      </c>
      <c r="AY296" s="208"/>
      <c r="AZ296" s="201">
        <f t="shared" si="392"/>
        <v>0</v>
      </c>
      <c r="BA296" s="201">
        <f t="shared" si="393"/>
        <v>0</v>
      </c>
      <c r="BB296" s="201">
        <f t="shared" si="394"/>
        <v>0</v>
      </c>
      <c r="BC296" s="201"/>
      <c r="BD296" s="223">
        <v>0</v>
      </c>
      <c r="BE296" s="201">
        <f t="shared" si="370"/>
        <v>0</v>
      </c>
      <c r="BF296" s="208"/>
      <c r="BG296" s="201">
        <f t="shared" si="366"/>
        <v>0</v>
      </c>
      <c r="BH296" s="201">
        <f t="shared" si="366"/>
        <v>291358.07</v>
      </c>
      <c r="BI296" s="201">
        <f t="shared" si="395"/>
        <v>291358.07</v>
      </c>
      <c r="BJ296" s="201">
        <f t="shared" si="396"/>
        <v>72.839517499999999</v>
      </c>
      <c r="BK296" s="201">
        <v>89</v>
      </c>
      <c r="BL296" s="224">
        <v>50</v>
      </c>
      <c r="BM296" s="211"/>
      <c r="BN296" s="211"/>
      <c r="BO296" s="212">
        <f t="shared" si="397"/>
        <v>0</v>
      </c>
      <c r="BP296" s="201">
        <f t="shared" si="398"/>
        <v>108641.93</v>
      </c>
      <c r="BQ296" s="201">
        <f t="shared" si="371"/>
        <v>108641.93</v>
      </c>
      <c r="BR296" s="201">
        <f t="shared" si="367"/>
        <v>0</v>
      </c>
      <c r="BS296" s="201">
        <f t="shared" si="367"/>
        <v>108641.93</v>
      </c>
      <c r="BT296" s="201">
        <f t="shared" si="372"/>
        <v>108641.93</v>
      </c>
      <c r="BU296" s="213">
        <f t="shared" si="369"/>
        <v>0</v>
      </c>
      <c r="BV296" s="201"/>
      <c r="BW296" s="201"/>
      <c r="BX296" s="201">
        <f t="shared" si="373"/>
        <v>0</v>
      </c>
      <c r="BY296" s="199">
        <v>28000</v>
      </c>
      <c r="BZ296" s="199">
        <v>120000</v>
      </c>
      <c r="CA296" s="199">
        <v>208000</v>
      </c>
      <c r="CB296" s="199">
        <v>44000</v>
      </c>
      <c r="CC296" s="199">
        <v>0</v>
      </c>
      <c r="CD296" s="199">
        <v>0</v>
      </c>
      <c r="CE296" s="199">
        <v>0</v>
      </c>
      <c r="CF296" s="199">
        <v>0</v>
      </c>
      <c r="CG296" s="199">
        <v>0</v>
      </c>
      <c r="CH296" s="199">
        <v>0</v>
      </c>
      <c r="CI296" s="199">
        <v>0</v>
      </c>
      <c r="CJ296" s="199">
        <v>0</v>
      </c>
      <c r="CK296" s="214" t="s">
        <v>824</v>
      </c>
      <c r="CL296" s="214" t="s">
        <v>610</v>
      </c>
      <c r="CM296" s="211">
        <v>198</v>
      </c>
      <c r="CN296" s="215"/>
      <c r="CO296" s="215"/>
      <c r="CP296" s="216"/>
      <c r="CQ296" s="217"/>
      <c r="CR296" s="211"/>
      <c r="CS296" s="218"/>
      <c r="CT296" s="218"/>
      <c r="CU296" s="218"/>
      <c r="CV296" s="211"/>
      <c r="CW296" s="211"/>
      <c r="CX296" s="211"/>
      <c r="CY296" s="211"/>
      <c r="CZ296" s="211"/>
      <c r="DA296" s="211"/>
      <c r="DB296" s="211"/>
      <c r="DC296" s="219"/>
      <c r="DD296" s="219"/>
      <c r="DE296" s="219"/>
      <c r="DF296" s="211"/>
      <c r="DG296" s="211"/>
      <c r="DH296" s="211"/>
      <c r="DI296" s="211"/>
      <c r="DJ296" s="211"/>
      <c r="DK296" s="220" t="s">
        <v>32</v>
      </c>
      <c r="DT296" s="222"/>
    </row>
    <row r="297" spans="1:124" s="176" customFormat="1" ht="42" x14ac:dyDescent="0.2">
      <c r="A297" s="195" t="s">
        <v>108</v>
      </c>
      <c r="B297" s="197" t="s">
        <v>825</v>
      </c>
      <c r="C297" s="198">
        <v>1</v>
      </c>
      <c r="D297" s="199">
        <v>500000</v>
      </c>
      <c r="E297" s="198" t="s">
        <v>665</v>
      </c>
      <c r="F297" s="198" t="s">
        <v>665</v>
      </c>
      <c r="G297" s="198" t="s">
        <v>98</v>
      </c>
      <c r="H297" s="200">
        <v>1</v>
      </c>
      <c r="I297" s="199">
        <f t="shared" si="374"/>
        <v>0</v>
      </c>
      <c r="J297" s="199">
        <f t="shared" si="375"/>
        <v>500000</v>
      </c>
      <c r="K297" s="199">
        <f t="shared" si="376"/>
        <v>500000</v>
      </c>
      <c r="L297" s="199"/>
      <c r="M297" s="199">
        <v>500000</v>
      </c>
      <c r="N297" s="199">
        <f t="shared" si="377"/>
        <v>500000</v>
      </c>
      <c r="O297" s="199"/>
      <c r="P297" s="201">
        <v>0</v>
      </c>
      <c r="Q297" s="202">
        <v>14</v>
      </c>
      <c r="R297" s="203">
        <v>45566</v>
      </c>
      <c r="S297" s="199"/>
      <c r="T297" s="199">
        <v>500000</v>
      </c>
      <c r="U297" s="204">
        <f t="shared" si="378"/>
        <v>500000</v>
      </c>
      <c r="V297" s="198"/>
      <c r="W297" s="206"/>
      <c r="X297" s="201"/>
      <c r="Y297" s="201"/>
      <c r="Z297" s="201">
        <f t="shared" si="379"/>
        <v>0</v>
      </c>
      <c r="AA297" s="198"/>
      <c r="AB297" s="206"/>
      <c r="AC297" s="207"/>
      <c r="AD297" s="201"/>
      <c r="AE297" s="204">
        <f t="shared" si="380"/>
        <v>0</v>
      </c>
      <c r="AF297" s="203">
        <f t="shared" si="381"/>
        <v>45566</v>
      </c>
      <c r="AG297" s="201">
        <f t="shared" si="382"/>
        <v>0</v>
      </c>
      <c r="AH297" s="199">
        <f t="shared" si="383"/>
        <v>500000</v>
      </c>
      <c r="AI297" s="199">
        <f t="shared" si="384"/>
        <v>500000</v>
      </c>
      <c r="AJ297" s="201">
        <f t="shared" si="365"/>
        <v>0</v>
      </c>
      <c r="AK297" s="201">
        <f t="shared" si="365"/>
        <v>500000</v>
      </c>
      <c r="AL297" s="201">
        <f t="shared" si="385"/>
        <v>500000</v>
      </c>
      <c r="AM297" s="198"/>
      <c r="AN297" s="203"/>
      <c r="AO297" s="208"/>
      <c r="AP297" s="201">
        <f t="shared" si="386"/>
        <v>0</v>
      </c>
      <c r="AQ297" s="201">
        <f t="shared" si="387"/>
        <v>499686.83</v>
      </c>
      <c r="AR297" s="201">
        <f t="shared" si="388"/>
        <v>499686.83</v>
      </c>
      <c r="AS297" s="201">
        <f t="shared" si="389"/>
        <v>99.937365999999997</v>
      </c>
      <c r="AT297" s="201"/>
      <c r="AU297" s="223">
        <v>499686.83</v>
      </c>
      <c r="AV297" s="201">
        <f t="shared" si="390"/>
        <v>499686.83</v>
      </c>
      <c r="AW297" s="322">
        <f t="shared" si="368"/>
        <v>0</v>
      </c>
      <c r="AX297" s="201">
        <f t="shared" si="391"/>
        <v>99.937365999999997</v>
      </c>
      <c r="AY297" s="208"/>
      <c r="AZ297" s="201">
        <f t="shared" si="392"/>
        <v>0</v>
      </c>
      <c r="BA297" s="201">
        <f t="shared" si="393"/>
        <v>0</v>
      </c>
      <c r="BB297" s="201">
        <f t="shared" si="394"/>
        <v>0</v>
      </c>
      <c r="BC297" s="201"/>
      <c r="BD297" s="223">
        <v>0</v>
      </c>
      <c r="BE297" s="201">
        <f t="shared" si="370"/>
        <v>0</v>
      </c>
      <c r="BF297" s="208"/>
      <c r="BG297" s="201">
        <f t="shared" si="366"/>
        <v>0</v>
      </c>
      <c r="BH297" s="201">
        <f t="shared" si="366"/>
        <v>499686.83</v>
      </c>
      <c r="BI297" s="201">
        <f t="shared" si="395"/>
        <v>499686.83</v>
      </c>
      <c r="BJ297" s="201">
        <f t="shared" si="396"/>
        <v>99.937365999999997</v>
      </c>
      <c r="BK297" s="201">
        <v>89</v>
      </c>
      <c r="BL297" s="224">
        <v>80</v>
      </c>
      <c r="BM297" s="211"/>
      <c r="BN297" s="211"/>
      <c r="BO297" s="212">
        <f t="shared" si="397"/>
        <v>0</v>
      </c>
      <c r="BP297" s="201">
        <f t="shared" si="398"/>
        <v>313.1699999999837</v>
      </c>
      <c r="BQ297" s="201">
        <f t="shared" si="371"/>
        <v>313.1699999999837</v>
      </c>
      <c r="BR297" s="201">
        <f t="shared" si="367"/>
        <v>0</v>
      </c>
      <c r="BS297" s="201">
        <f t="shared" si="367"/>
        <v>313.1699999999837</v>
      </c>
      <c r="BT297" s="201">
        <f t="shared" si="372"/>
        <v>313.1699999999837</v>
      </c>
      <c r="BU297" s="213">
        <f t="shared" si="369"/>
        <v>0</v>
      </c>
      <c r="BV297" s="201"/>
      <c r="BW297" s="201"/>
      <c r="BX297" s="201">
        <f t="shared" si="373"/>
        <v>0</v>
      </c>
      <c r="BY297" s="199">
        <v>35000</v>
      </c>
      <c r="BZ297" s="199">
        <v>150000</v>
      </c>
      <c r="CA297" s="199">
        <v>260000</v>
      </c>
      <c r="CB297" s="199">
        <v>55000</v>
      </c>
      <c r="CC297" s="199">
        <v>0</v>
      </c>
      <c r="CD297" s="199">
        <v>0</v>
      </c>
      <c r="CE297" s="199">
        <v>0</v>
      </c>
      <c r="CF297" s="199">
        <v>0</v>
      </c>
      <c r="CG297" s="199">
        <v>0</v>
      </c>
      <c r="CH297" s="199">
        <v>0</v>
      </c>
      <c r="CI297" s="199">
        <v>0</v>
      </c>
      <c r="CJ297" s="199">
        <v>0</v>
      </c>
      <c r="CK297" s="214" t="s">
        <v>826</v>
      </c>
      <c r="CL297" s="214" t="s">
        <v>610</v>
      </c>
      <c r="CM297" s="211">
        <v>198</v>
      </c>
      <c r="CN297" s="215"/>
      <c r="CO297" s="215"/>
      <c r="CP297" s="216"/>
      <c r="CQ297" s="217"/>
      <c r="CR297" s="211"/>
      <c r="CS297" s="218"/>
      <c r="CT297" s="218"/>
      <c r="CU297" s="218"/>
      <c r="CV297" s="211"/>
      <c r="CW297" s="211"/>
      <c r="CX297" s="211"/>
      <c r="CY297" s="211"/>
      <c r="CZ297" s="211"/>
      <c r="DA297" s="211"/>
      <c r="DB297" s="211"/>
      <c r="DC297" s="219"/>
      <c r="DD297" s="219"/>
      <c r="DE297" s="219"/>
      <c r="DF297" s="211"/>
      <c r="DG297" s="211"/>
      <c r="DH297" s="211"/>
      <c r="DI297" s="211"/>
      <c r="DJ297" s="211"/>
      <c r="DK297" s="220" t="s">
        <v>32</v>
      </c>
      <c r="DT297" s="222"/>
    </row>
    <row r="298" spans="1:124" s="176" customFormat="1" ht="42" x14ac:dyDescent="0.2">
      <c r="A298" s="195" t="s">
        <v>108</v>
      </c>
      <c r="B298" s="197" t="s">
        <v>827</v>
      </c>
      <c r="C298" s="198">
        <v>1</v>
      </c>
      <c r="D298" s="199">
        <v>400000</v>
      </c>
      <c r="E298" s="198" t="s">
        <v>665</v>
      </c>
      <c r="F298" s="198" t="s">
        <v>665</v>
      </c>
      <c r="G298" s="198" t="s">
        <v>98</v>
      </c>
      <c r="H298" s="200">
        <v>1</v>
      </c>
      <c r="I298" s="199">
        <f t="shared" si="374"/>
        <v>0</v>
      </c>
      <c r="J298" s="199">
        <f t="shared" si="375"/>
        <v>400000</v>
      </c>
      <c r="K298" s="199">
        <f t="shared" si="376"/>
        <v>400000</v>
      </c>
      <c r="L298" s="199"/>
      <c r="M298" s="199">
        <v>400000</v>
      </c>
      <c r="N298" s="199">
        <f t="shared" si="377"/>
        <v>400000</v>
      </c>
      <c r="O298" s="199"/>
      <c r="P298" s="201">
        <v>0</v>
      </c>
      <c r="Q298" s="202">
        <v>14</v>
      </c>
      <c r="R298" s="203">
        <v>45566</v>
      </c>
      <c r="S298" s="199"/>
      <c r="T298" s="199">
        <v>400000</v>
      </c>
      <c r="U298" s="204">
        <f t="shared" si="378"/>
        <v>400000</v>
      </c>
      <c r="V298" s="198"/>
      <c r="W298" s="206"/>
      <c r="X298" s="201"/>
      <c r="Y298" s="201"/>
      <c r="Z298" s="201">
        <f t="shared" si="379"/>
        <v>0</v>
      </c>
      <c r="AA298" s="198"/>
      <c r="AB298" s="206"/>
      <c r="AC298" s="207"/>
      <c r="AD298" s="201"/>
      <c r="AE298" s="204">
        <f t="shared" si="380"/>
        <v>0</v>
      </c>
      <c r="AF298" s="203">
        <f t="shared" si="381"/>
        <v>45566</v>
      </c>
      <c r="AG298" s="201">
        <f t="shared" si="382"/>
        <v>0</v>
      </c>
      <c r="AH298" s="199">
        <f t="shared" si="383"/>
        <v>400000</v>
      </c>
      <c r="AI298" s="199">
        <f t="shared" si="384"/>
        <v>400000</v>
      </c>
      <c r="AJ298" s="201">
        <f t="shared" si="365"/>
        <v>0</v>
      </c>
      <c r="AK298" s="201">
        <f t="shared" si="365"/>
        <v>400000</v>
      </c>
      <c r="AL298" s="201">
        <f t="shared" si="385"/>
        <v>400000</v>
      </c>
      <c r="AM298" s="198"/>
      <c r="AN298" s="203"/>
      <c r="AO298" s="208"/>
      <c r="AP298" s="201">
        <f t="shared" si="386"/>
        <v>0</v>
      </c>
      <c r="AQ298" s="201">
        <f t="shared" si="387"/>
        <v>399881.78</v>
      </c>
      <c r="AR298" s="201">
        <f t="shared" si="388"/>
        <v>399881.78</v>
      </c>
      <c r="AS298" s="201">
        <f t="shared" si="389"/>
        <v>99.970444999999998</v>
      </c>
      <c r="AT298" s="201"/>
      <c r="AU298" s="223">
        <v>399881.78</v>
      </c>
      <c r="AV298" s="201">
        <f t="shared" si="390"/>
        <v>399881.78</v>
      </c>
      <c r="AW298" s="322">
        <f t="shared" si="368"/>
        <v>0</v>
      </c>
      <c r="AX298" s="201">
        <f t="shared" si="391"/>
        <v>99.970444999999998</v>
      </c>
      <c r="AY298" s="208"/>
      <c r="AZ298" s="201">
        <f t="shared" si="392"/>
        <v>0</v>
      </c>
      <c r="BA298" s="201">
        <f t="shared" si="393"/>
        <v>0</v>
      </c>
      <c r="BB298" s="201">
        <f t="shared" si="394"/>
        <v>0</v>
      </c>
      <c r="BC298" s="201"/>
      <c r="BD298" s="223">
        <v>0</v>
      </c>
      <c r="BE298" s="201">
        <f t="shared" si="370"/>
        <v>0</v>
      </c>
      <c r="BF298" s="208"/>
      <c r="BG298" s="201">
        <f t="shared" si="366"/>
        <v>0</v>
      </c>
      <c r="BH298" s="201">
        <f t="shared" si="366"/>
        <v>399881.78</v>
      </c>
      <c r="BI298" s="201">
        <f t="shared" si="395"/>
        <v>399881.78</v>
      </c>
      <c r="BJ298" s="201">
        <f t="shared" si="396"/>
        <v>99.970444999999998</v>
      </c>
      <c r="BK298" s="201">
        <v>89</v>
      </c>
      <c r="BL298" s="224">
        <v>80</v>
      </c>
      <c r="BM298" s="211"/>
      <c r="BN298" s="211"/>
      <c r="BO298" s="212">
        <f t="shared" si="397"/>
        <v>0</v>
      </c>
      <c r="BP298" s="201">
        <f t="shared" si="398"/>
        <v>118.21999999997206</v>
      </c>
      <c r="BQ298" s="201">
        <f t="shared" si="371"/>
        <v>118.21999999997206</v>
      </c>
      <c r="BR298" s="201">
        <f t="shared" si="367"/>
        <v>0</v>
      </c>
      <c r="BS298" s="201">
        <f t="shared" si="367"/>
        <v>118.21999999997206</v>
      </c>
      <c r="BT298" s="201">
        <f t="shared" si="372"/>
        <v>118.21999999997206</v>
      </c>
      <c r="BU298" s="213">
        <f t="shared" si="369"/>
        <v>0</v>
      </c>
      <c r="BV298" s="201"/>
      <c r="BW298" s="201"/>
      <c r="BX298" s="201">
        <f t="shared" si="373"/>
        <v>0</v>
      </c>
      <c r="BY298" s="199">
        <v>28000</v>
      </c>
      <c r="BZ298" s="199">
        <v>120000</v>
      </c>
      <c r="CA298" s="199">
        <v>208000</v>
      </c>
      <c r="CB298" s="199">
        <v>44000</v>
      </c>
      <c r="CC298" s="199">
        <v>0</v>
      </c>
      <c r="CD298" s="199">
        <v>0</v>
      </c>
      <c r="CE298" s="199">
        <v>0</v>
      </c>
      <c r="CF298" s="199">
        <v>0</v>
      </c>
      <c r="CG298" s="199">
        <v>0</v>
      </c>
      <c r="CH298" s="199">
        <v>0</v>
      </c>
      <c r="CI298" s="199">
        <v>0</v>
      </c>
      <c r="CJ298" s="199">
        <v>0</v>
      </c>
      <c r="CK298" s="214" t="s">
        <v>828</v>
      </c>
      <c r="CL298" s="214" t="s">
        <v>610</v>
      </c>
      <c r="CM298" s="211">
        <v>198</v>
      </c>
      <c r="CN298" s="215"/>
      <c r="CO298" s="215"/>
      <c r="CP298" s="216"/>
      <c r="CQ298" s="217"/>
      <c r="CR298" s="211"/>
      <c r="CS298" s="218"/>
      <c r="CT298" s="218"/>
      <c r="CU298" s="218"/>
      <c r="CV298" s="211"/>
      <c r="CW298" s="211"/>
      <c r="CX298" s="211"/>
      <c r="CY298" s="211"/>
      <c r="CZ298" s="211"/>
      <c r="DA298" s="211"/>
      <c r="DB298" s="211"/>
      <c r="DC298" s="219"/>
      <c r="DD298" s="219"/>
      <c r="DE298" s="219"/>
      <c r="DF298" s="211"/>
      <c r="DG298" s="211"/>
      <c r="DH298" s="211"/>
      <c r="DI298" s="211"/>
      <c r="DJ298" s="211"/>
      <c r="DK298" s="220" t="s">
        <v>32</v>
      </c>
      <c r="DT298" s="222"/>
    </row>
    <row r="299" spans="1:124" s="176" customFormat="1" ht="42" x14ac:dyDescent="0.2">
      <c r="A299" s="195" t="s">
        <v>108</v>
      </c>
      <c r="B299" s="197" t="s">
        <v>829</v>
      </c>
      <c r="C299" s="198">
        <v>1</v>
      </c>
      <c r="D299" s="199">
        <v>400000</v>
      </c>
      <c r="E299" s="198" t="s">
        <v>665</v>
      </c>
      <c r="F299" s="198" t="s">
        <v>665</v>
      </c>
      <c r="G299" s="198" t="s">
        <v>98</v>
      </c>
      <c r="H299" s="200">
        <v>1</v>
      </c>
      <c r="I299" s="199">
        <f t="shared" si="374"/>
        <v>0</v>
      </c>
      <c r="J299" s="199">
        <f t="shared" si="375"/>
        <v>400000</v>
      </c>
      <c r="K299" s="199">
        <f t="shared" si="376"/>
        <v>400000</v>
      </c>
      <c r="L299" s="199"/>
      <c r="M299" s="199">
        <v>400000</v>
      </c>
      <c r="N299" s="199">
        <f t="shared" si="377"/>
        <v>400000</v>
      </c>
      <c r="O299" s="199"/>
      <c r="P299" s="201">
        <v>0</v>
      </c>
      <c r="Q299" s="202">
        <v>14</v>
      </c>
      <c r="R299" s="203">
        <v>45566</v>
      </c>
      <c r="S299" s="199"/>
      <c r="T299" s="199">
        <v>400000</v>
      </c>
      <c r="U299" s="204">
        <f t="shared" si="378"/>
        <v>400000</v>
      </c>
      <c r="V299" s="198"/>
      <c r="W299" s="206"/>
      <c r="X299" s="201"/>
      <c r="Y299" s="201"/>
      <c r="Z299" s="201">
        <f t="shared" si="379"/>
        <v>0</v>
      </c>
      <c r="AA299" s="198"/>
      <c r="AB299" s="206"/>
      <c r="AC299" s="207"/>
      <c r="AD299" s="201"/>
      <c r="AE299" s="204">
        <f t="shared" si="380"/>
        <v>0</v>
      </c>
      <c r="AF299" s="203">
        <f t="shared" si="381"/>
        <v>45566</v>
      </c>
      <c r="AG299" s="201">
        <f t="shared" si="382"/>
        <v>0</v>
      </c>
      <c r="AH299" s="199">
        <f t="shared" si="383"/>
        <v>400000</v>
      </c>
      <c r="AI299" s="199">
        <f t="shared" si="384"/>
        <v>400000</v>
      </c>
      <c r="AJ299" s="201">
        <f t="shared" si="365"/>
        <v>0</v>
      </c>
      <c r="AK299" s="201">
        <f t="shared" si="365"/>
        <v>400000</v>
      </c>
      <c r="AL299" s="201">
        <f t="shared" si="385"/>
        <v>400000</v>
      </c>
      <c r="AM299" s="198"/>
      <c r="AN299" s="203"/>
      <c r="AO299" s="208"/>
      <c r="AP299" s="201">
        <f t="shared" si="386"/>
        <v>0</v>
      </c>
      <c r="AQ299" s="201">
        <f t="shared" si="387"/>
        <v>331145.58</v>
      </c>
      <c r="AR299" s="201">
        <f t="shared" si="388"/>
        <v>331145.58</v>
      </c>
      <c r="AS299" s="201">
        <f t="shared" si="389"/>
        <v>82.786394999999999</v>
      </c>
      <c r="AT299" s="201"/>
      <c r="AU299" s="209">
        <v>331145.58</v>
      </c>
      <c r="AV299" s="201">
        <f t="shared" si="390"/>
        <v>331145.58</v>
      </c>
      <c r="AW299" s="322">
        <f t="shared" si="368"/>
        <v>0</v>
      </c>
      <c r="AX299" s="201">
        <f t="shared" si="391"/>
        <v>82.786394999999999</v>
      </c>
      <c r="AY299" s="208"/>
      <c r="AZ299" s="201">
        <f t="shared" si="392"/>
        <v>0</v>
      </c>
      <c r="BA299" s="201">
        <f t="shared" si="393"/>
        <v>0</v>
      </c>
      <c r="BB299" s="201">
        <f t="shared" si="394"/>
        <v>0</v>
      </c>
      <c r="BC299" s="201"/>
      <c r="BD299" s="209">
        <v>0</v>
      </c>
      <c r="BE299" s="201">
        <f t="shared" si="370"/>
        <v>0</v>
      </c>
      <c r="BF299" s="208"/>
      <c r="BG299" s="201">
        <f t="shared" si="366"/>
        <v>0</v>
      </c>
      <c r="BH299" s="201">
        <f t="shared" si="366"/>
        <v>331145.58</v>
      </c>
      <c r="BI299" s="201">
        <f t="shared" si="395"/>
        <v>331145.58</v>
      </c>
      <c r="BJ299" s="201">
        <f t="shared" si="396"/>
        <v>82.786394999999999</v>
      </c>
      <c r="BK299" s="201">
        <v>89</v>
      </c>
      <c r="BL299" s="224">
        <v>60</v>
      </c>
      <c r="BM299" s="211"/>
      <c r="BN299" s="211"/>
      <c r="BO299" s="212">
        <f t="shared" si="397"/>
        <v>0</v>
      </c>
      <c r="BP299" s="201">
        <f t="shared" si="398"/>
        <v>68854.419999999984</v>
      </c>
      <c r="BQ299" s="201">
        <f t="shared" si="371"/>
        <v>68854.419999999984</v>
      </c>
      <c r="BR299" s="201">
        <f t="shared" si="367"/>
        <v>0</v>
      </c>
      <c r="BS299" s="201">
        <f t="shared" si="367"/>
        <v>68854.419999999984</v>
      </c>
      <c r="BT299" s="201">
        <f t="shared" si="372"/>
        <v>68854.419999999984</v>
      </c>
      <c r="BU299" s="213">
        <f t="shared" si="369"/>
        <v>0</v>
      </c>
      <c r="BV299" s="201"/>
      <c r="BW299" s="201"/>
      <c r="BX299" s="201">
        <f t="shared" si="373"/>
        <v>0</v>
      </c>
      <c r="BY299" s="199">
        <v>28000</v>
      </c>
      <c r="BZ299" s="199">
        <v>120000</v>
      </c>
      <c r="CA299" s="199">
        <v>208000</v>
      </c>
      <c r="CB299" s="199">
        <v>44000</v>
      </c>
      <c r="CC299" s="199">
        <v>0</v>
      </c>
      <c r="CD299" s="199">
        <v>0</v>
      </c>
      <c r="CE299" s="199">
        <v>0</v>
      </c>
      <c r="CF299" s="199">
        <v>0</v>
      </c>
      <c r="CG299" s="199">
        <v>0</v>
      </c>
      <c r="CH299" s="199">
        <v>0</v>
      </c>
      <c r="CI299" s="199">
        <v>0</v>
      </c>
      <c r="CJ299" s="199">
        <v>0</v>
      </c>
      <c r="CK299" s="214" t="s">
        <v>830</v>
      </c>
      <c r="CL299" s="214" t="s">
        <v>610</v>
      </c>
      <c r="CM299" s="211">
        <v>198</v>
      </c>
      <c r="CN299" s="215"/>
      <c r="CO299" s="215"/>
      <c r="CP299" s="216"/>
      <c r="CQ299" s="217"/>
      <c r="CR299" s="211"/>
      <c r="CS299" s="218"/>
      <c r="CT299" s="218"/>
      <c r="CU299" s="218"/>
      <c r="CV299" s="211"/>
      <c r="CW299" s="211"/>
      <c r="CX299" s="211"/>
      <c r="CY299" s="211"/>
      <c r="CZ299" s="211"/>
      <c r="DA299" s="211"/>
      <c r="DB299" s="211"/>
      <c r="DC299" s="219"/>
      <c r="DD299" s="219"/>
      <c r="DE299" s="219"/>
      <c r="DF299" s="211"/>
      <c r="DG299" s="211"/>
      <c r="DH299" s="211"/>
      <c r="DI299" s="211"/>
      <c r="DJ299" s="211"/>
      <c r="DK299" s="220" t="s">
        <v>32</v>
      </c>
      <c r="DT299" s="222"/>
    </row>
    <row r="300" spans="1:124" s="176" customFormat="1" ht="42" x14ac:dyDescent="0.2">
      <c r="A300" s="195" t="s">
        <v>108</v>
      </c>
      <c r="B300" s="197" t="s">
        <v>831</v>
      </c>
      <c r="C300" s="198">
        <v>1</v>
      </c>
      <c r="D300" s="199">
        <v>500000</v>
      </c>
      <c r="E300" s="198" t="s">
        <v>665</v>
      </c>
      <c r="F300" s="198" t="s">
        <v>665</v>
      </c>
      <c r="G300" s="198" t="s">
        <v>98</v>
      </c>
      <c r="H300" s="200">
        <v>1</v>
      </c>
      <c r="I300" s="199">
        <f t="shared" si="374"/>
        <v>0</v>
      </c>
      <c r="J300" s="199">
        <f t="shared" si="375"/>
        <v>500000</v>
      </c>
      <c r="K300" s="199">
        <f t="shared" si="376"/>
        <v>500000</v>
      </c>
      <c r="L300" s="199"/>
      <c r="M300" s="199">
        <v>500000</v>
      </c>
      <c r="N300" s="199">
        <f t="shared" si="377"/>
        <v>500000</v>
      </c>
      <c r="O300" s="199"/>
      <c r="P300" s="201">
        <v>0</v>
      </c>
      <c r="Q300" s="202">
        <v>14</v>
      </c>
      <c r="R300" s="203">
        <v>45566</v>
      </c>
      <c r="S300" s="199"/>
      <c r="T300" s="199">
        <v>500000</v>
      </c>
      <c r="U300" s="204">
        <f t="shared" si="378"/>
        <v>500000</v>
      </c>
      <c r="V300" s="198"/>
      <c r="W300" s="206"/>
      <c r="X300" s="201"/>
      <c r="Y300" s="201"/>
      <c r="Z300" s="201">
        <f t="shared" si="379"/>
        <v>0</v>
      </c>
      <c r="AA300" s="198"/>
      <c r="AB300" s="206"/>
      <c r="AC300" s="207"/>
      <c r="AD300" s="201"/>
      <c r="AE300" s="204">
        <f t="shared" si="380"/>
        <v>0</v>
      </c>
      <c r="AF300" s="203">
        <f t="shared" si="381"/>
        <v>45566</v>
      </c>
      <c r="AG300" s="201">
        <f t="shared" si="382"/>
        <v>0</v>
      </c>
      <c r="AH300" s="199">
        <f t="shared" si="383"/>
        <v>500000</v>
      </c>
      <c r="AI300" s="199">
        <f t="shared" si="384"/>
        <v>500000</v>
      </c>
      <c r="AJ300" s="201">
        <f t="shared" si="365"/>
        <v>0</v>
      </c>
      <c r="AK300" s="201">
        <f t="shared" si="365"/>
        <v>500000</v>
      </c>
      <c r="AL300" s="201">
        <f t="shared" si="385"/>
        <v>500000</v>
      </c>
      <c r="AM300" s="198"/>
      <c r="AN300" s="203"/>
      <c r="AO300" s="208"/>
      <c r="AP300" s="201">
        <f t="shared" si="386"/>
        <v>0</v>
      </c>
      <c r="AQ300" s="201">
        <f t="shared" si="387"/>
        <v>291070.15999999997</v>
      </c>
      <c r="AR300" s="201">
        <f t="shared" si="388"/>
        <v>291070.15999999997</v>
      </c>
      <c r="AS300" s="201">
        <f t="shared" si="389"/>
        <v>58.214031999999996</v>
      </c>
      <c r="AT300" s="201"/>
      <c r="AU300" s="223">
        <v>291070.15999999997</v>
      </c>
      <c r="AV300" s="201">
        <f t="shared" si="390"/>
        <v>291070.15999999997</v>
      </c>
      <c r="AW300" s="322">
        <f t="shared" si="368"/>
        <v>0</v>
      </c>
      <c r="AX300" s="201">
        <f t="shared" si="391"/>
        <v>58.214031999999996</v>
      </c>
      <c r="AY300" s="208"/>
      <c r="AZ300" s="201">
        <f t="shared" si="392"/>
        <v>0</v>
      </c>
      <c r="BA300" s="201">
        <f t="shared" si="393"/>
        <v>0</v>
      </c>
      <c r="BB300" s="201">
        <f t="shared" si="394"/>
        <v>0</v>
      </c>
      <c r="BC300" s="201"/>
      <c r="BD300" s="223">
        <v>0</v>
      </c>
      <c r="BE300" s="201">
        <f t="shared" si="370"/>
        <v>0</v>
      </c>
      <c r="BF300" s="208"/>
      <c r="BG300" s="201">
        <f t="shared" si="366"/>
        <v>0</v>
      </c>
      <c r="BH300" s="201">
        <f t="shared" si="366"/>
        <v>291070.15999999997</v>
      </c>
      <c r="BI300" s="201">
        <f t="shared" si="395"/>
        <v>291070.15999999997</v>
      </c>
      <c r="BJ300" s="201">
        <f t="shared" si="396"/>
        <v>58.214031999999996</v>
      </c>
      <c r="BK300" s="201">
        <v>89</v>
      </c>
      <c r="BL300" s="224">
        <v>50</v>
      </c>
      <c r="BM300" s="211"/>
      <c r="BN300" s="211"/>
      <c r="BO300" s="212">
        <f t="shared" si="397"/>
        <v>0</v>
      </c>
      <c r="BP300" s="201">
        <f t="shared" si="398"/>
        <v>208929.84000000003</v>
      </c>
      <c r="BQ300" s="201">
        <f t="shared" si="371"/>
        <v>208929.84000000003</v>
      </c>
      <c r="BR300" s="201">
        <f t="shared" si="367"/>
        <v>0</v>
      </c>
      <c r="BS300" s="201">
        <f t="shared" si="367"/>
        <v>208929.84000000003</v>
      </c>
      <c r="BT300" s="201">
        <f t="shared" si="372"/>
        <v>208929.84000000003</v>
      </c>
      <c r="BU300" s="213">
        <f t="shared" si="369"/>
        <v>0</v>
      </c>
      <c r="BV300" s="201"/>
      <c r="BW300" s="201"/>
      <c r="BX300" s="201">
        <f t="shared" si="373"/>
        <v>0</v>
      </c>
      <c r="BY300" s="199">
        <v>35000</v>
      </c>
      <c r="BZ300" s="199">
        <v>150000</v>
      </c>
      <c r="CA300" s="199">
        <v>260000</v>
      </c>
      <c r="CB300" s="199">
        <v>55000</v>
      </c>
      <c r="CC300" s="199">
        <v>0</v>
      </c>
      <c r="CD300" s="199">
        <v>0</v>
      </c>
      <c r="CE300" s="199">
        <v>0</v>
      </c>
      <c r="CF300" s="199">
        <v>0</v>
      </c>
      <c r="CG300" s="199">
        <v>0</v>
      </c>
      <c r="CH300" s="199">
        <v>0</v>
      </c>
      <c r="CI300" s="199">
        <v>0</v>
      </c>
      <c r="CJ300" s="199">
        <v>0</v>
      </c>
      <c r="CK300" s="214" t="s">
        <v>832</v>
      </c>
      <c r="CL300" s="214" t="s">
        <v>610</v>
      </c>
      <c r="CM300" s="211">
        <v>198</v>
      </c>
      <c r="CN300" s="215"/>
      <c r="CO300" s="215"/>
      <c r="CP300" s="216"/>
      <c r="CQ300" s="217"/>
      <c r="CR300" s="211"/>
      <c r="CS300" s="218"/>
      <c r="CT300" s="218"/>
      <c r="CU300" s="218"/>
      <c r="CV300" s="211"/>
      <c r="CW300" s="211"/>
      <c r="CX300" s="211"/>
      <c r="CY300" s="211"/>
      <c r="CZ300" s="211"/>
      <c r="DA300" s="211"/>
      <c r="DB300" s="211"/>
      <c r="DC300" s="219"/>
      <c r="DD300" s="219"/>
      <c r="DE300" s="219"/>
      <c r="DF300" s="211"/>
      <c r="DG300" s="211"/>
      <c r="DH300" s="211"/>
      <c r="DI300" s="211"/>
      <c r="DJ300" s="211"/>
      <c r="DK300" s="220" t="s">
        <v>32</v>
      </c>
      <c r="DT300" s="222"/>
    </row>
    <row r="301" spans="1:124" s="176" customFormat="1" ht="42" x14ac:dyDescent="0.2">
      <c r="A301" s="195" t="s">
        <v>108</v>
      </c>
      <c r="B301" s="197" t="s">
        <v>833</v>
      </c>
      <c r="C301" s="198">
        <v>1</v>
      </c>
      <c r="D301" s="199">
        <v>400000</v>
      </c>
      <c r="E301" s="198" t="s">
        <v>711</v>
      </c>
      <c r="F301" s="198" t="s">
        <v>665</v>
      </c>
      <c r="G301" s="198" t="s">
        <v>98</v>
      </c>
      <c r="H301" s="200">
        <v>1</v>
      </c>
      <c r="I301" s="199">
        <f t="shared" si="374"/>
        <v>0</v>
      </c>
      <c r="J301" s="199">
        <f t="shared" si="375"/>
        <v>400000</v>
      </c>
      <c r="K301" s="199">
        <f t="shared" si="376"/>
        <v>400000</v>
      </c>
      <c r="L301" s="199"/>
      <c r="M301" s="199">
        <v>400000</v>
      </c>
      <c r="N301" s="199">
        <f t="shared" si="377"/>
        <v>400000</v>
      </c>
      <c r="O301" s="199"/>
      <c r="P301" s="201">
        <v>0</v>
      </c>
      <c r="Q301" s="202">
        <v>14</v>
      </c>
      <c r="R301" s="203">
        <v>45566</v>
      </c>
      <c r="S301" s="199"/>
      <c r="T301" s="199">
        <v>400000</v>
      </c>
      <c r="U301" s="204">
        <f t="shared" si="378"/>
        <v>400000</v>
      </c>
      <c r="V301" s="198"/>
      <c r="W301" s="206"/>
      <c r="X301" s="201"/>
      <c r="Y301" s="201"/>
      <c r="Z301" s="201">
        <f t="shared" si="379"/>
        <v>0</v>
      </c>
      <c r="AA301" s="198"/>
      <c r="AB301" s="206"/>
      <c r="AC301" s="207"/>
      <c r="AD301" s="201"/>
      <c r="AE301" s="204">
        <f t="shared" si="380"/>
        <v>0</v>
      </c>
      <c r="AF301" s="203">
        <f t="shared" si="381"/>
        <v>45566</v>
      </c>
      <c r="AG301" s="201">
        <f t="shared" si="382"/>
        <v>0</v>
      </c>
      <c r="AH301" s="199">
        <f t="shared" si="383"/>
        <v>400000</v>
      </c>
      <c r="AI301" s="199">
        <f t="shared" si="384"/>
        <v>400000</v>
      </c>
      <c r="AJ301" s="201">
        <f t="shared" si="365"/>
        <v>0</v>
      </c>
      <c r="AK301" s="201">
        <f t="shared" si="365"/>
        <v>400000</v>
      </c>
      <c r="AL301" s="201">
        <f t="shared" si="385"/>
        <v>400000</v>
      </c>
      <c r="AM301" s="198"/>
      <c r="AN301" s="203"/>
      <c r="AO301" s="208"/>
      <c r="AP301" s="201">
        <f t="shared" si="386"/>
        <v>0</v>
      </c>
      <c r="AQ301" s="201">
        <f t="shared" si="387"/>
        <v>315184.39</v>
      </c>
      <c r="AR301" s="201">
        <f t="shared" si="388"/>
        <v>315184.39</v>
      </c>
      <c r="AS301" s="201">
        <f t="shared" si="389"/>
        <v>78.796097500000002</v>
      </c>
      <c r="AT301" s="201"/>
      <c r="AU301" s="223">
        <v>315184.39</v>
      </c>
      <c r="AV301" s="201">
        <f t="shared" si="390"/>
        <v>315184.39</v>
      </c>
      <c r="AW301" s="322">
        <f t="shared" si="368"/>
        <v>0</v>
      </c>
      <c r="AX301" s="201">
        <f t="shared" si="391"/>
        <v>78.796097500000002</v>
      </c>
      <c r="AY301" s="208"/>
      <c r="AZ301" s="201">
        <f t="shared" si="392"/>
        <v>0</v>
      </c>
      <c r="BA301" s="201">
        <f t="shared" si="393"/>
        <v>0</v>
      </c>
      <c r="BB301" s="201">
        <f t="shared" si="394"/>
        <v>0</v>
      </c>
      <c r="BC301" s="201"/>
      <c r="BD301" s="223">
        <v>0</v>
      </c>
      <c r="BE301" s="201">
        <f t="shared" si="370"/>
        <v>0</v>
      </c>
      <c r="BF301" s="208"/>
      <c r="BG301" s="201">
        <f t="shared" si="366"/>
        <v>0</v>
      </c>
      <c r="BH301" s="201">
        <f t="shared" si="366"/>
        <v>315184.39</v>
      </c>
      <c r="BI301" s="201">
        <f t="shared" si="395"/>
        <v>315184.39</v>
      </c>
      <c r="BJ301" s="201">
        <f t="shared" si="396"/>
        <v>78.796097500000002</v>
      </c>
      <c r="BK301" s="201">
        <v>89</v>
      </c>
      <c r="BL301" s="224">
        <v>60</v>
      </c>
      <c r="BM301" s="211"/>
      <c r="BN301" s="211"/>
      <c r="BO301" s="212">
        <f t="shared" si="397"/>
        <v>0</v>
      </c>
      <c r="BP301" s="201">
        <f t="shared" si="398"/>
        <v>84815.609999999986</v>
      </c>
      <c r="BQ301" s="201">
        <f t="shared" si="371"/>
        <v>84815.609999999986</v>
      </c>
      <c r="BR301" s="201">
        <f t="shared" si="367"/>
        <v>0</v>
      </c>
      <c r="BS301" s="201">
        <f t="shared" si="367"/>
        <v>84815.609999999986</v>
      </c>
      <c r="BT301" s="201">
        <f t="shared" si="372"/>
        <v>84815.609999999986</v>
      </c>
      <c r="BU301" s="213">
        <f t="shared" si="369"/>
        <v>0</v>
      </c>
      <c r="BV301" s="201"/>
      <c r="BW301" s="201"/>
      <c r="BX301" s="201">
        <f t="shared" si="373"/>
        <v>0</v>
      </c>
      <c r="BY301" s="199">
        <v>28000</v>
      </c>
      <c r="BZ301" s="199">
        <v>120000</v>
      </c>
      <c r="CA301" s="199">
        <v>208000</v>
      </c>
      <c r="CB301" s="199">
        <v>44000</v>
      </c>
      <c r="CC301" s="199">
        <v>0</v>
      </c>
      <c r="CD301" s="199">
        <v>0</v>
      </c>
      <c r="CE301" s="199">
        <v>0</v>
      </c>
      <c r="CF301" s="199">
        <v>0</v>
      </c>
      <c r="CG301" s="199">
        <v>0</v>
      </c>
      <c r="CH301" s="199">
        <v>0</v>
      </c>
      <c r="CI301" s="199">
        <v>0</v>
      </c>
      <c r="CJ301" s="199">
        <v>0</v>
      </c>
      <c r="CK301" s="214" t="s">
        <v>834</v>
      </c>
      <c r="CL301" s="214" t="s">
        <v>610</v>
      </c>
      <c r="CM301" s="211">
        <v>198</v>
      </c>
      <c r="CN301" s="215"/>
      <c r="CO301" s="215"/>
      <c r="CP301" s="216"/>
      <c r="CQ301" s="217"/>
      <c r="CR301" s="211"/>
      <c r="CS301" s="218"/>
      <c r="CT301" s="218"/>
      <c r="CU301" s="218"/>
      <c r="CV301" s="211"/>
      <c r="CW301" s="211"/>
      <c r="CX301" s="211"/>
      <c r="CY301" s="211"/>
      <c r="CZ301" s="211"/>
      <c r="DA301" s="211"/>
      <c r="DB301" s="211"/>
      <c r="DC301" s="219"/>
      <c r="DD301" s="219"/>
      <c r="DE301" s="219"/>
      <c r="DF301" s="211"/>
      <c r="DG301" s="211"/>
      <c r="DH301" s="211"/>
      <c r="DI301" s="211"/>
      <c r="DJ301" s="211"/>
      <c r="DK301" s="220" t="s">
        <v>32</v>
      </c>
      <c r="DT301" s="222"/>
    </row>
    <row r="302" spans="1:124" s="176" customFormat="1" ht="42" x14ac:dyDescent="0.2">
      <c r="A302" s="195" t="s">
        <v>108</v>
      </c>
      <c r="B302" s="197" t="s">
        <v>835</v>
      </c>
      <c r="C302" s="198">
        <v>1</v>
      </c>
      <c r="D302" s="199">
        <v>400000</v>
      </c>
      <c r="E302" s="198" t="s">
        <v>711</v>
      </c>
      <c r="F302" s="198" t="s">
        <v>665</v>
      </c>
      <c r="G302" s="198" t="s">
        <v>98</v>
      </c>
      <c r="H302" s="200">
        <v>1</v>
      </c>
      <c r="I302" s="199">
        <f t="shared" si="374"/>
        <v>0</v>
      </c>
      <c r="J302" s="199">
        <f t="shared" si="375"/>
        <v>400000</v>
      </c>
      <c r="K302" s="199">
        <f t="shared" si="376"/>
        <v>400000</v>
      </c>
      <c r="L302" s="199"/>
      <c r="M302" s="199">
        <v>400000</v>
      </c>
      <c r="N302" s="199">
        <f t="shared" si="377"/>
        <v>400000</v>
      </c>
      <c r="O302" s="199"/>
      <c r="P302" s="201">
        <v>0</v>
      </c>
      <c r="Q302" s="202">
        <v>14</v>
      </c>
      <c r="R302" s="203">
        <v>45566</v>
      </c>
      <c r="S302" s="199"/>
      <c r="T302" s="199">
        <v>400000</v>
      </c>
      <c r="U302" s="204">
        <f t="shared" si="378"/>
        <v>400000</v>
      </c>
      <c r="V302" s="198"/>
      <c r="W302" s="206"/>
      <c r="X302" s="201"/>
      <c r="Y302" s="201"/>
      <c r="Z302" s="201">
        <f t="shared" si="379"/>
        <v>0</v>
      </c>
      <c r="AA302" s="198"/>
      <c r="AB302" s="206"/>
      <c r="AC302" s="207"/>
      <c r="AD302" s="201"/>
      <c r="AE302" s="204">
        <f t="shared" si="380"/>
        <v>0</v>
      </c>
      <c r="AF302" s="203">
        <f t="shared" si="381"/>
        <v>45566</v>
      </c>
      <c r="AG302" s="201">
        <f t="shared" si="382"/>
        <v>0</v>
      </c>
      <c r="AH302" s="199">
        <f t="shared" si="383"/>
        <v>400000</v>
      </c>
      <c r="AI302" s="199">
        <f t="shared" si="384"/>
        <v>400000</v>
      </c>
      <c r="AJ302" s="201">
        <f t="shared" si="365"/>
        <v>0</v>
      </c>
      <c r="AK302" s="201">
        <f t="shared" si="365"/>
        <v>400000</v>
      </c>
      <c r="AL302" s="201">
        <f t="shared" si="385"/>
        <v>400000</v>
      </c>
      <c r="AM302" s="198"/>
      <c r="AN302" s="203"/>
      <c r="AO302" s="208"/>
      <c r="AP302" s="201">
        <f t="shared" si="386"/>
        <v>0</v>
      </c>
      <c r="AQ302" s="201">
        <f t="shared" si="387"/>
        <v>242724.14</v>
      </c>
      <c r="AR302" s="201">
        <f t="shared" si="388"/>
        <v>242724.14</v>
      </c>
      <c r="AS302" s="201">
        <f t="shared" si="389"/>
        <v>60.681035000000001</v>
      </c>
      <c r="AT302" s="201"/>
      <c r="AU302" s="223">
        <v>242724.14</v>
      </c>
      <c r="AV302" s="201">
        <f t="shared" si="390"/>
        <v>242724.14</v>
      </c>
      <c r="AW302" s="322">
        <f t="shared" si="368"/>
        <v>0</v>
      </c>
      <c r="AX302" s="201">
        <f t="shared" si="391"/>
        <v>60.681035000000001</v>
      </c>
      <c r="AY302" s="208"/>
      <c r="AZ302" s="201">
        <f t="shared" si="392"/>
        <v>0</v>
      </c>
      <c r="BA302" s="201">
        <f t="shared" si="393"/>
        <v>0</v>
      </c>
      <c r="BB302" s="201">
        <f t="shared" si="394"/>
        <v>0</v>
      </c>
      <c r="BC302" s="201"/>
      <c r="BD302" s="223">
        <v>0</v>
      </c>
      <c r="BE302" s="201">
        <f t="shared" si="370"/>
        <v>0</v>
      </c>
      <c r="BF302" s="208"/>
      <c r="BG302" s="201">
        <f t="shared" si="366"/>
        <v>0</v>
      </c>
      <c r="BH302" s="201">
        <f t="shared" si="366"/>
        <v>242724.14</v>
      </c>
      <c r="BI302" s="201">
        <f t="shared" si="395"/>
        <v>242724.14</v>
      </c>
      <c r="BJ302" s="201">
        <f t="shared" si="396"/>
        <v>60.681035000000001</v>
      </c>
      <c r="BK302" s="201">
        <v>89</v>
      </c>
      <c r="BL302" s="224">
        <v>50</v>
      </c>
      <c r="BM302" s="211"/>
      <c r="BN302" s="211"/>
      <c r="BO302" s="212">
        <f t="shared" si="397"/>
        <v>0</v>
      </c>
      <c r="BP302" s="201">
        <f t="shared" si="398"/>
        <v>157275.85999999999</v>
      </c>
      <c r="BQ302" s="201">
        <f t="shared" si="371"/>
        <v>157275.85999999999</v>
      </c>
      <c r="BR302" s="201">
        <f t="shared" si="367"/>
        <v>0</v>
      </c>
      <c r="BS302" s="201">
        <f t="shared" si="367"/>
        <v>157275.85999999999</v>
      </c>
      <c r="BT302" s="201">
        <f t="shared" si="372"/>
        <v>157275.85999999999</v>
      </c>
      <c r="BU302" s="213">
        <f t="shared" si="369"/>
        <v>0</v>
      </c>
      <c r="BV302" s="201"/>
      <c r="BW302" s="201"/>
      <c r="BX302" s="201">
        <f t="shared" si="373"/>
        <v>0</v>
      </c>
      <c r="BY302" s="199">
        <v>28000</v>
      </c>
      <c r="BZ302" s="199">
        <v>120000</v>
      </c>
      <c r="CA302" s="199">
        <v>208000</v>
      </c>
      <c r="CB302" s="199">
        <v>44000</v>
      </c>
      <c r="CC302" s="199">
        <v>0</v>
      </c>
      <c r="CD302" s="199">
        <v>0</v>
      </c>
      <c r="CE302" s="199">
        <v>0</v>
      </c>
      <c r="CF302" s="199">
        <v>0</v>
      </c>
      <c r="CG302" s="199">
        <v>0</v>
      </c>
      <c r="CH302" s="199">
        <v>0</v>
      </c>
      <c r="CI302" s="199">
        <v>0</v>
      </c>
      <c r="CJ302" s="199">
        <v>0</v>
      </c>
      <c r="CK302" s="214" t="s">
        <v>836</v>
      </c>
      <c r="CL302" s="214" t="s">
        <v>610</v>
      </c>
      <c r="CM302" s="211">
        <v>198</v>
      </c>
      <c r="CN302" s="215"/>
      <c r="CO302" s="215"/>
      <c r="CP302" s="216"/>
      <c r="CQ302" s="217"/>
      <c r="CR302" s="211"/>
      <c r="CS302" s="218"/>
      <c r="CT302" s="218"/>
      <c r="CU302" s="218"/>
      <c r="CV302" s="211"/>
      <c r="CW302" s="211"/>
      <c r="CX302" s="211"/>
      <c r="CY302" s="211"/>
      <c r="CZ302" s="211"/>
      <c r="DA302" s="211"/>
      <c r="DB302" s="211"/>
      <c r="DC302" s="219"/>
      <c r="DD302" s="219"/>
      <c r="DE302" s="219"/>
      <c r="DF302" s="211"/>
      <c r="DG302" s="211"/>
      <c r="DH302" s="211"/>
      <c r="DI302" s="211"/>
      <c r="DJ302" s="211"/>
      <c r="DK302" s="220" t="s">
        <v>32</v>
      </c>
      <c r="DT302" s="222"/>
    </row>
    <row r="303" spans="1:124" s="176" customFormat="1" ht="42" x14ac:dyDescent="0.2">
      <c r="A303" s="195" t="s">
        <v>108</v>
      </c>
      <c r="B303" s="197" t="s">
        <v>837</v>
      </c>
      <c r="C303" s="198">
        <v>1</v>
      </c>
      <c r="D303" s="199">
        <v>500000</v>
      </c>
      <c r="E303" s="198" t="s">
        <v>665</v>
      </c>
      <c r="F303" s="198" t="s">
        <v>665</v>
      </c>
      <c r="G303" s="198" t="s">
        <v>98</v>
      </c>
      <c r="H303" s="200">
        <v>1</v>
      </c>
      <c r="I303" s="199">
        <f t="shared" si="374"/>
        <v>0</v>
      </c>
      <c r="J303" s="199">
        <f t="shared" si="375"/>
        <v>500000</v>
      </c>
      <c r="K303" s="199">
        <f t="shared" si="376"/>
        <v>500000</v>
      </c>
      <c r="L303" s="199"/>
      <c r="M303" s="199">
        <v>500000</v>
      </c>
      <c r="N303" s="199">
        <f t="shared" si="377"/>
        <v>500000</v>
      </c>
      <c r="O303" s="199"/>
      <c r="P303" s="201">
        <v>0</v>
      </c>
      <c r="Q303" s="202">
        <v>14</v>
      </c>
      <c r="R303" s="203">
        <v>45566</v>
      </c>
      <c r="S303" s="199"/>
      <c r="T303" s="199">
        <v>500000</v>
      </c>
      <c r="U303" s="204">
        <f t="shared" si="378"/>
        <v>500000</v>
      </c>
      <c r="V303" s="198"/>
      <c r="W303" s="206"/>
      <c r="X303" s="201"/>
      <c r="Y303" s="201"/>
      <c r="Z303" s="201">
        <f t="shared" si="379"/>
        <v>0</v>
      </c>
      <c r="AA303" s="198"/>
      <c r="AB303" s="206"/>
      <c r="AC303" s="207"/>
      <c r="AD303" s="201"/>
      <c r="AE303" s="204">
        <f t="shared" si="380"/>
        <v>0</v>
      </c>
      <c r="AF303" s="203">
        <f t="shared" si="381"/>
        <v>45566</v>
      </c>
      <c r="AG303" s="201">
        <f t="shared" si="382"/>
        <v>0</v>
      </c>
      <c r="AH303" s="199">
        <f t="shared" si="383"/>
        <v>500000</v>
      </c>
      <c r="AI303" s="199">
        <f t="shared" si="384"/>
        <v>500000</v>
      </c>
      <c r="AJ303" s="201">
        <f t="shared" si="365"/>
        <v>0</v>
      </c>
      <c r="AK303" s="201">
        <f t="shared" si="365"/>
        <v>500000</v>
      </c>
      <c r="AL303" s="201">
        <f t="shared" si="385"/>
        <v>500000</v>
      </c>
      <c r="AM303" s="198"/>
      <c r="AN303" s="203"/>
      <c r="AO303" s="208"/>
      <c r="AP303" s="201">
        <f t="shared" si="386"/>
        <v>0</v>
      </c>
      <c r="AQ303" s="201">
        <f t="shared" si="387"/>
        <v>499657.02</v>
      </c>
      <c r="AR303" s="201">
        <f t="shared" si="388"/>
        <v>499657.02</v>
      </c>
      <c r="AS303" s="201">
        <f t="shared" si="389"/>
        <v>99.931404000000001</v>
      </c>
      <c r="AT303" s="201"/>
      <c r="AU303" s="223">
        <v>499657.02</v>
      </c>
      <c r="AV303" s="201">
        <f t="shared" si="390"/>
        <v>499657.02</v>
      </c>
      <c r="AW303" s="322">
        <f t="shared" si="368"/>
        <v>0</v>
      </c>
      <c r="AX303" s="201">
        <f t="shared" si="391"/>
        <v>99.931404000000001</v>
      </c>
      <c r="AY303" s="208"/>
      <c r="AZ303" s="201">
        <f t="shared" si="392"/>
        <v>0</v>
      </c>
      <c r="BA303" s="201">
        <f t="shared" si="393"/>
        <v>0</v>
      </c>
      <c r="BB303" s="201">
        <f t="shared" si="394"/>
        <v>0</v>
      </c>
      <c r="BC303" s="201"/>
      <c r="BD303" s="223">
        <v>0</v>
      </c>
      <c r="BE303" s="201">
        <f t="shared" si="370"/>
        <v>0</v>
      </c>
      <c r="BF303" s="208"/>
      <c r="BG303" s="201">
        <f t="shared" si="366"/>
        <v>0</v>
      </c>
      <c r="BH303" s="201">
        <f t="shared" si="366"/>
        <v>499657.02</v>
      </c>
      <c r="BI303" s="201">
        <f t="shared" si="395"/>
        <v>499657.02</v>
      </c>
      <c r="BJ303" s="201">
        <f t="shared" si="396"/>
        <v>99.931404000000001</v>
      </c>
      <c r="BK303" s="201">
        <v>89</v>
      </c>
      <c r="BL303" s="224">
        <v>95</v>
      </c>
      <c r="BM303" s="211"/>
      <c r="BN303" s="211"/>
      <c r="BO303" s="212">
        <f t="shared" si="397"/>
        <v>0</v>
      </c>
      <c r="BP303" s="201">
        <f t="shared" si="398"/>
        <v>342.97999999998137</v>
      </c>
      <c r="BQ303" s="201">
        <f t="shared" si="371"/>
        <v>342.97999999998137</v>
      </c>
      <c r="BR303" s="201">
        <f t="shared" si="367"/>
        <v>0</v>
      </c>
      <c r="BS303" s="201">
        <f t="shared" si="367"/>
        <v>342.97999999998137</v>
      </c>
      <c r="BT303" s="201">
        <f t="shared" si="372"/>
        <v>342.97999999998137</v>
      </c>
      <c r="BU303" s="213">
        <f t="shared" si="369"/>
        <v>0</v>
      </c>
      <c r="BV303" s="201"/>
      <c r="BW303" s="201"/>
      <c r="BX303" s="201">
        <f t="shared" si="373"/>
        <v>0</v>
      </c>
      <c r="BY303" s="199">
        <v>35000</v>
      </c>
      <c r="BZ303" s="199">
        <v>150000</v>
      </c>
      <c r="CA303" s="199">
        <v>260000</v>
      </c>
      <c r="CB303" s="199">
        <v>55000</v>
      </c>
      <c r="CC303" s="199">
        <v>0</v>
      </c>
      <c r="CD303" s="199">
        <v>0</v>
      </c>
      <c r="CE303" s="199">
        <v>0</v>
      </c>
      <c r="CF303" s="199">
        <v>0</v>
      </c>
      <c r="CG303" s="199">
        <v>0</v>
      </c>
      <c r="CH303" s="199">
        <v>0</v>
      </c>
      <c r="CI303" s="199">
        <v>0</v>
      </c>
      <c r="CJ303" s="199">
        <v>0</v>
      </c>
      <c r="CK303" s="214" t="s">
        <v>838</v>
      </c>
      <c r="CL303" s="214" t="s">
        <v>610</v>
      </c>
      <c r="CM303" s="211">
        <v>198</v>
      </c>
      <c r="CN303" s="215"/>
      <c r="CO303" s="215"/>
      <c r="CP303" s="216"/>
      <c r="CQ303" s="217"/>
      <c r="CR303" s="211"/>
      <c r="CS303" s="218"/>
      <c r="CT303" s="218"/>
      <c r="CU303" s="218"/>
      <c r="CV303" s="211"/>
      <c r="CW303" s="211"/>
      <c r="CX303" s="211"/>
      <c r="CY303" s="211"/>
      <c r="CZ303" s="211"/>
      <c r="DA303" s="211"/>
      <c r="DB303" s="211"/>
      <c r="DC303" s="219"/>
      <c r="DD303" s="219"/>
      <c r="DE303" s="219"/>
      <c r="DF303" s="211"/>
      <c r="DG303" s="211"/>
      <c r="DH303" s="211"/>
      <c r="DI303" s="211"/>
      <c r="DJ303" s="211"/>
      <c r="DK303" s="220" t="s">
        <v>32</v>
      </c>
      <c r="DT303" s="222"/>
    </row>
    <row r="304" spans="1:124" s="176" customFormat="1" ht="42" x14ac:dyDescent="0.2">
      <c r="A304" s="195" t="s">
        <v>108</v>
      </c>
      <c r="B304" s="197" t="s">
        <v>839</v>
      </c>
      <c r="C304" s="198">
        <v>1</v>
      </c>
      <c r="D304" s="199">
        <v>1000000</v>
      </c>
      <c r="E304" s="198" t="s">
        <v>653</v>
      </c>
      <c r="F304" s="198" t="s">
        <v>106</v>
      </c>
      <c r="G304" s="198" t="s">
        <v>98</v>
      </c>
      <c r="H304" s="200">
        <v>1</v>
      </c>
      <c r="I304" s="199">
        <f t="shared" si="374"/>
        <v>500000</v>
      </c>
      <c r="J304" s="199">
        <f t="shared" si="375"/>
        <v>500000</v>
      </c>
      <c r="K304" s="199">
        <f t="shared" si="376"/>
        <v>1000000</v>
      </c>
      <c r="L304" s="199">
        <v>500000</v>
      </c>
      <c r="M304" s="199">
        <v>500000</v>
      </c>
      <c r="N304" s="199">
        <f t="shared" si="377"/>
        <v>1000000</v>
      </c>
      <c r="O304" s="199"/>
      <c r="P304" s="201">
        <v>0</v>
      </c>
      <c r="Q304" s="202">
        <v>13</v>
      </c>
      <c r="R304" s="203">
        <v>45566</v>
      </c>
      <c r="S304" s="199"/>
      <c r="T304" s="199">
        <v>500000</v>
      </c>
      <c r="U304" s="204">
        <f t="shared" si="378"/>
        <v>500000</v>
      </c>
      <c r="V304" s="198">
        <v>1574</v>
      </c>
      <c r="W304" s="206">
        <v>45708</v>
      </c>
      <c r="X304" s="201">
        <v>498592</v>
      </c>
      <c r="Y304" s="201"/>
      <c r="Z304" s="201">
        <f t="shared" si="379"/>
        <v>498592</v>
      </c>
      <c r="AA304" s="198"/>
      <c r="AB304" s="206"/>
      <c r="AC304" s="207"/>
      <c r="AD304" s="201"/>
      <c r="AE304" s="204">
        <f t="shared" si="380"/>
        <v>0</v>
      </c>
      <c r="AF304" s="203">
        <f t="shared" si="381"/>
        <v>45566</v>
      </c>
      <c r="AG304" s="201">
        <f t="shared" si="382"/>
        <v>498592</v>
      </c>
      <c r="AH304" s="199">
        <f t="shared" si="383"/>
        <v>500000</v>
      </c>
      <c r="AI304" s="199">
        <f t="shared" si="384"/>
        <v>998592</v>
      </c>
      <c r="AJ304" s="201">
        <f t="shared" si="365"/>
        <v>498592</v>
      </c>
      <c r="AK304" s="201">
        <f t="shared" si="365"/>
        <v>500000</v>
      </c>
      <c r="AL304" s="201">
        <f t="shared" si="385"/>
        <v>998592</v>
      </c>
      <c r="AM304" s="198"/>
      <c r="AN304" s="203"/>
      <c r="AO304" s="208"/>
      <c r="AP304" s="201">
        <f t="shared" si="386"/>
        <v>498592</v>
      </c>
      <c r="AQ304" s="201">
        <f t="shared" si="387"/>
        <v>499737.78</v>
      </c>
      <c r="AR304" s="201">
        <f t="shared" si="388"/>
        <v>998329.78</v>
      </c>
      <c r="AS304" s="201">
        <f t="shared" si="389"/>
        <v>99.973741027366529</v>
      </c>
      <c r="AT304" s="201">
        <v>498592</v>
      </c>
      <c r="AU304" s="209">
        <f>998329.78-AT304</f>
        <v>499737.78</v>
      </c>
      <c r="AV304" s="201">
        <f t="shared" si="390"/>
        <v>998329.78</v>
      </c>
      <c r="AW304" s="322">
        <f t="shared" si="368"/>
        <v>15.021149778888676</v>
      </c>
      <c r="AX304" s="201">
        <f t="shared" si="391"/>
        <v>99.973741027366529</v>
      </c>
      <c r="AY304" s="208"/>
      <c r="AZ304" s="201">
        <f t="shared" si="392"/>
        <v>0</v>
      </c>
      <c r="BA304" s="201">
        <f t="shared" si="393"/>
        <v>0</v>
      </c>
      <c r="BB304" s="201">
        <f t="shared" si="394"/>
        <v>0</v>
      </c>
      <c r="BC304" s="201"/>
      <c r="BD304" s="209">
        <v>0</v>
      </c>
      <c r="BE304" s="201">
        <f t="shared" si="370"/>
        <v>0</v>
      </c>
      <c r="BF304" s="208"/>
      <c r="BG304" s="201">
        <f t="shared" si="366"/>
        <v>498592</v>
      </c>
      <c r="BH304" s="201">
        <f t="shared" si="366"/>
        <v>499737.78</v>
      </c>
      <c r="BI304" s="201">
        <f t="shared" si="395"/>
        <v>998329.78</v>
      </c>
      <c r="BJ304" s="201">
        <f t="shared" si="396"/>
        <v>99.973741027366529</v>
      </c>
      <c r="BK304" s="201">
        <v>10</v>
      </c>
      <c r="BL304" s="224">
        <v>95</v>
      </c>
      <c r="BM304" s="211"/>
      <c r="BN304" s="211"/>
      <c r="BO304" s="212">
        <f t="shared" si="397"/>
        <v>0</v>
      </c>
      <c r="BP304" s="201">
        <f t="shared" si="398"/>
        <v>262.21999999997206</v>
      </c>
      <c r="BQ304" s="201">
        <f t="shared" si="371"/>
        <v>262.21999999997206</v>
      </c>
      <c r="BR304" s="201">
        <f t="shared" si="367"/>
        <v>0</v>
      </c>
      <c r="BS304" s="201">
        <f t="shared" si="367"/>
        <v>262.21999999997206</v>
      </c>
      <c r="BT304" s="201">
        <f t="shared" si="372"/>
        <v>262.21999999997206</v>
      </c>
      <c r="BU304" s="213">
        <f t="shared" si="369"/>
        <v>0</v>
      </c>
      <c r="BV304" s="201"/>
      <c r="BW304" s="201"/>
      <c r="BX304" s="201">
        <f t="shared" si="373"/>
        <v>0</v>
      </c>
      <c r="BY304" s="199">
        <v>10000</v>
      </c>
      <c r="BZ304" s="199">
        <v>30000</v>
      </c>
      <c r="CA304" s="199">
        <v>60000</v>
      </c>
      <c r="CB304" s="199">
        <v>80000</v>
      </c>
      <c r="CC304" s="199">
        <v>100000</v>
      </c>
      <c r="CD304" s="199">
        <v>160000</v>
      </c>
      <c r="CE304" s="199">
        <v>220000</v>
      </c>
      <c r="CF304" s="199">
        <v>150000</v>
      </c>
      <c r="CG304" s="199">
        <v>80000</v>
      </c>
      <c r="CH304" s="199">
        <v>50000</v>
      </c>
      <c r="CI304" s="199">
        <v>40000</v>
      </c>
      <c r="CJ304" s="199">
        <v>20000</v>
      </c>
      <c r="CK304" s="214" t="s">
        <v>840</v>
      </c>
      <c r="CL304" s="214" t="s">
        <v>610</v>
      </c>
      <c r="CM304" s="211">
        <v>198</v>
      </c>
      <c r="CN304" s="215"/>
      <c r="CO304" s="215"/>
      <c r="CP304" s="216"/>
      <c r="CQ304" s="217"/>
      <c r="CR304" s="211"/>
      <c r="CS304" s="218"/>
      <c r="CT304" s="218"/>
      <c r="CU304" s="218"/>
      <c r="CV304" s="211"/>
      <c r="CW304" s="211"/>
      <c r="CX304" s="211"/>
      <c r="CY304" s="211"/>
      <c r="CZ304" s="211"/>
      <c r="DA304" s="211"/>
      <c r="DB304" s="211"/>
      <c r="DC304" s="219"/>
      <c r="DD304" s="219"/>
      <c r="DE304" s="219"/>
      <c r="DF304" s="211"/>
      <c r="DG304" s="211"/>
      <c r="DH304" s="211"/>
      <c r="DI304" s="211"/>
      <c r="DJ304" s="211"/>
      <c r="DK304" s="220" t="s">
        <v>53</v>
      </c>
      <c r="DT304" s="222"/>
    </row>
    <row r="305" spans="1:124" s="176" customFormat="1" ht="42" x14ac:dyDescent="0.2">
      <c r="A305" s="196" t="s">
        <v>94</v>
      </c>
      <c r="B305" s="197" t="s">
        <v>841</v>
      </c>
      <c r="C305" s="198">
        <v>1</v>
      </c>
      <c r="D305" s="199">
        <v>1000000</v>
      </c>
      <c r="E305" s="198" t="s">
        <v>159</v>
      </c>
      <c r="F305" s="198" t="s">
        <v>111</v>
      </c>
      <c r="G305" s="198" t="s">
        <v>98</v>
      </c>
      <c r="H305" s="200">
        <v>1</v>
      </c>
      <c r="I305" s="199">
        <f t="shared" si="374"/>
        <v>1000000</v>
      </c>
      <c r="J305" s="199">
        <f t="shared" si="375"/>
        <v>0</v>
      </c>
      <c r="K305" s="199">
        <f t="shared" si="376"/>
        <v>1000000</v>
      </c>
      <c r="L305" s="199">
        <v>1000000</v>
      </c>
      <c r="M305" s="199"/>
      <c r="N305" s="199">
        <f t="shared" si="377"/>
        <v>1000000</v>
      </c>
      <c r="O305" s="199"/>
      <c r="P305" s="201">
        <v>0</v>
      </c>
      <c r="Q305" s="202">
        <v>1099</v>
      </c>
      <c r="R305" s="203">
        <v>45664</v>
      </c>
      <c r="S305" s="199">
        <v>999177</v>
      </c>
      <c r="T305" s="199"/>
      <c r="U305" s="204">
        <f t="shared" si="378"/>
        <v>999177</v>
      </c>
      <c r="V305" s="198"/>
      <c r="W305" s="206"/>
      <c r="X305" s="201">
        <v>-2.45999999996274</v>
      </c>
      <c r="Y305" s="201"/>
      <c r="Z305" s="201">
        <f t="shared" si="379"/>
        <v>-2.45999999996274</v>
      </c>
      <c r="AA305" s="198"/>
      <c r="AB305" s="206"/>
      <c r="AC305" s="207"/>
      <c r="AD305" s="201"/>
      <c r="AE305" s="204">
        <f t="shared" si="380"/>
        <v>0</v>
      </c>
      <c r="AF305" s="203">
        <f t="shared" si="381"/>
        <v>45664</v>
      </c>
      <c r="AG305" s="201">
        <f t="shared" si="382"/>
        <v>999174.54</v>
      </c>
      <c r="AH305" s="199">
        <f t="shared" si="383"/>
        <v>0</v>
      </c>
      <c r="AI305" s="199">
        <f t="shared" si="384"/>
        <v>999174.54</v>
      </c>
      <c r="AJ305" s="201">
        <f t="shared" si="365"/>
        <v>999174.54</v>
      </c>
      <c r="AK305" s="201">
        <f t="shared" si="365"/>
        <v>0</v>
      </c>
      <c r="AL305" s="201">
        <f t="shared" si="385"/>
        <v>999174.54</v>
      </c>
      <c r="AM305" s="198"/>
      <c r="AN305" s="203"/>
      <c r="AO305" s="208"/>
      <c r="AP305" s="201">
        <f t="shared" si="386"/>
        <v>999174.54</v>
      </c>
      <c r="AQ305" s="201">
        <f t="shared" si="387"/>
        <v>0</v>
      </c>
      <c r="AR305" s="201">
        <f t="shared" si="388"/>
        <v>999174.54</v>
      </c>
      <c r="AS305" s="201">
        <f t="shared" si="389"/>
        <v>100</v>
      </c>
      <c r="AT305" s="201">
        <v>999174.54</v>
      </c>
      <c r="AU305" s="209"/>
      <c r="AV305" s="201">
        <f t="shared" si="390"/>
        <v>999174.54</v>
      </c>
      <c r="AW305" s="201">
        <f t="shared" si="368"/>
        <v>10.008261419471316</v>
      </c>
      <c r="AX305" s="201">
        <f t="shared" si="391"/>
        <v>100</v>
      </c>
      <c r="AY305" s="208"/>
      <c r="AZ305" s="201">
        <f t="shared" si="392"/>
        <v>0</v>
      </c>
      <c r="BA305" s="201">
        <f t="shared" si="393"/>
        <v>0</v>
      </c>
      <c r="BB305" s="201">
        <f t="shared" si="394"/>
        <v>0</v>
      </c>
      <c r="BC305" s="201"/>
      <c r="BD305" s="209">
        <v>0</v>
      </c>
      <c r="BE305" s="201">
        <f t="shared" si="370"/>
        <v>0</v>
      </c>
      <c r="BF305" s="208"/>
      <c r="BG305" s="201">
        <f t="shared" si="366"/>
        <v>999174.54</v>
      </c>
      <c r="BH305" s="201">
        <f t="shared" si="366"/>
        <v>0</v>
      </c>
      <c r="BI305" s="201">
        <f t="shared" si="395"/>
        <v>999174.54</v>
      </c>
      <c r="BJ305" s="201">
        <f t="shared" si="396"/>
        <v>100</v>
      </c>
      <c r="BK305" s="201">
        <v>0</v>
      </c>
      <c r="BL305" s="210">
        <v>100</v>
      </c>
      <c r="BM305" s="211"/>
      <c r="BN305" s="211"/>
      <c r="BO305" s="212">
        <f t="shared" si="397"/>
        <v>0</v>
      </c>
      <c r="BP305" s="201">
        <f t="shared" si="398"/>
        <v>0</v>
      </c>
      <c r="BQ305" s="201">
        <f t="shared" si="371"/>
        <v>0</v>
      </c>
      <c r="BR305" s="201">
        <f t="shared" si="367"/>
        <v>0</v>
      </c>
      <c r="BS305" s="201">
        <f t="shared" si="367"/>
        <v>0</v>
      </c>
      <c r="BT305" s="201">
        <f t="shared" si="372"/>
        <v>0</v>
      </c>
      <c r="BU305" s="213">
        <f t="shared" si="369"/>
        <v>0</v>
      </c>
      <c r="BV305" s="201">
        <v>2.4599999999627471</v>
      </c>
      <c r="BW305" s="201"/>
      <c r="BX305" s="201">
        <f t="shared" si="373"/>
        <v>2.4599999999627471</v>
      </c>
      <c r="BY305" s="199"/>
      <c r="BZ305" s="199">
        <v>100000</v>
      </c>
      <c r="CA305" s="199">
        <v>100000</v>
      </c>
      <c r="CB305" s="199">
        <v>100000</v>
      </c>
      <c r="CC305" s="199">
        <v>100000</v>
      </c>
      <c r="CD305" s="199">
        <v>100000</v>
      </c>
      <c r="CE305" s="199">
        <v>100000</v>
      </c>
      <c r="CF305" s="199">
        <v>100000</v>
      </c>
      <c r="CG305" s="199">
        <v>100000</v>
      </c>
      <c r="CH305" s="199">
        <v>100000</v>
      </c>
      <c r="CI305" s="199">
        <v>100000</v>
      </c>
      <c r="CJ305" s="199"/>
      <c r="CK305" s="214"/>
      <c r="CL305" s="214"/>
      <c r="CM305" s="211">
        <v>191</v>
      </c>
      <c r="CN305" s="215"/>
      <c r="CO305" s="215"/>
      <c r="CP305" s="216"/>
      <c r="CQ305" s="217"/>
      <c r="CR305" s="211"/>
      <c r="CS305" s="218"/>
      <c r="CT305" s="218"/>
      <c r="CU305" s="218"/>
      <c r="CV305" s="211"/>
      <c r="CW305" s="211"/>
      <c r="CX305" s="211"/>
      <c r="CY305" s="211"/>
      <c r="CZ305" s="211"/>
      <c r="DA305" s="211"/>
      <c r="DB305" s="211"/>
      <c r="DC305" s="219"/>
      <c r="DD305" s="219"/>
      <c r="DE305" s="219"/>
      <c r="DF305" s="211"/>
      <c r="DG305" s="211"/>
      <c r="DH305" s="211"/>
      <c r="DI305" s="211"/>
      <c r="DJ305" s="211"/>
      <c r="DK305" s="220" t="s">
        <v>70</v>
      </c>
      <c r="DT305" s="222"/>
    </row>
    <row r="306" spans="1:124" s="176" customFormat="1" ht="42" x14ac:dyDescent="0.2">
      <c r="A306" s="195" t="s">
        <v>108</v>
      </c>
      <c r="B306" s="197" t="s">
        <v>842</v>
      </c>
      <c r="C306" s="198">
        <v>1</v>
      </c>
      <c r="D306" s="199">
        <v>1000000</v>
      </c>
      <c r="E306" s="198" t="s">
        <v>653</v>
      </c>
      <c r="F306" s="198" t="s">
        <v>106</v>
      </c>
      <c r="G306" s="198" t="s">
        <v>98</v>
      </c>
      <c r="H306" s="200">
        <v>1</v>
      </c>
      <c r="I306" s="199">
        <f t="shared" si="374"/>
        <v>0</v>
      </c>
      <c r="J306" s="199">
        <f t="shared" si="375"/>
        <v>1000000</v>
      </c>
      <c r="K306" s="199">
        <f t="shared" si="376"/>
        <v>1000000</v>
      </c>
      <c r="L306" s="199">
        <v>0</v>
      </c>
      <c r="M306" s="199">
        <v>1000000</v>
      </c>
      <c r="N306" s="199">
        <f t="shared" si="377"/>
        <v>1000000</v>
      </c>
      <c r="O306" s="199"/>
      <c r="P306" s="201">
        <v>0</v>
      </c>
      <c r="Q306" s="202">
        <v>14</v>
      </c>
      <c r="R306" s="203">
        <v>45566</v>
      </c>
      <c r="S306" s="199"/>
      <c r="T306" s="199">
        <v>1000000</v>
      </c>
      <c r="U306" s="204">
        <f t="shared" si="378"/>
        <v>1000000</v>
      </c>
      <c r="V306" s="198"/>
      <c r="W306" s="206"/>
      <c r="X306" s="201"/>
      <c r="Y306" s="201"/>
      <c r="Z306" s="201">
        <f t="shared" si="379"/>
        <v>0</v>
      </c>
      <c r="AA306" s="198"/>
      <c r="AB306" s="206"/>
      <c r="AC306" s="207"/>
      <c r="AD306" s="201"/>
      <c r="AE306" s="204">
        <f t="shared" si="380"/>
        <v>0</v>
      </c>
      <c r="AF306" s="203">
        <f t="shared" si="381"/>
        <v>45566</v>
      </c>
      <c r="AG306" s="201">
        <f t="shared" si="382"/>
        <v>0</v>
      </c>
      <c r="AH306" s="199">
        <f t="shared" si="383"/>
        <v>1000000</v>
      </c>
      <c r="AI306" s="199">
        <f t="shared" si="384"/>
        <v>1000000</v>
      </c>
      <c r="AJ306" s="201">
        <f t="shared" si="365"/>
        <v>0</v>
      </c>
      <c r="AK306" s="201">
        <f t="shared" si="365"/>
        <v>1000000</v>
      </c>
      <c r="AL306" s="201">
        <f t="shared" si="385"/>
        <v>1000000</v>
      </c>
      <c r="AM306" s="198"/>
      <c r="AN306" s="203"/>
      <c r="AO306" s="208"/>
      <c r="AP306" s="201">
        <f t="shared" si="386"/>
        <v>0</v>
      </c>
      <c r="AQ306" s="201">
        <f t="shared" si="387"/>
        <v>996450.12</v>
      </c>
      <c r="AR306" s="201">
        <f t="shared" si="388"/>
        <v>996450.12</v>
      </c>
      <c r="AS306" s="201">
        <f t="shared" si="389"/>
        <v>99.645011999999994</v>
      </c>
      <c r="AT306" s="201"/>
      <c r="AU306" s="209">
        <v>996450.12</v>
      </c>
      <c r="AV306" s="201">
        <f t="shared" si="390"/>
        <v>996450.12</v>
      </c>
      <c r="AW306" s="322">
        <f t="shared" si="368"/>
        <v>15</v>
      </c>
      <c r="AX306" s="201">
        <f t="shared" si="391"/>
        <v>99.645011999999994</v>
      </c>
      <c r="AY306" s="208"/>
      <c r="AZ306" s="201">
        <f t="shared" si="392"/>
        <v>0</v>
      </c>
      <c r="BA306" s="201">
        <f t="shared" si="393"/>
        <v>0</v>
      </c>
      <c r="BB306" s="201">
        <f t="shared" si="394"/>
        <v>0</v>
      </c>
      <c r="BC306" s="201"/>
      <c r="BD306" s="209">
        <v>0</v>
      </c>
      <c r="BE306" s="201">
        <f t="shared" si="370"/>
        <v>0</v>
      </c>
      <c r="BF306" s="208"/>
      <c r="BG306" s="201">
        <f t="shared" si="366"/>
        <v>0</v>
      </c>
      <c r="BH306" s="201">
        <f t="shared" si="366"/>
        <v>996450.12</v>
      </c>
      <c r="BI306" s="201">
        <f t="shared" si="395"/>
        <v>996450.12</v>
      </c>
      <c r="BJ306" s="201">
        <f t="shared" si="396"/>
        <v>99.645011999999994</v>
      </c>
      <c r="BK306" s="201">
        <v>10</v>
      </c>
      <c r="BL306" s="224">
        <v>90</v>
      </c>
      <c r="BM306" s="211"/>
      <c r="BN306" s="211"/>
      <c r="BO306" s="212">
        <f t="shared" si="397"/>
        <v>0</v>
      </c>
      <c r="BP306" s="201">
        <f t="shared" si="398"/>
        <v>3549.8800000000047</v>
      </c>
      <c r="BQ306" s="201">
        <f t="shared" si="371"/>
        <v>3549.8800000000047</v>
      </c>
      <c r="BR306" s="201">
        <f t="shared" si="367"/>
        <v>0</v>
      </c>
      <c r="BS306" s="201">
        <f t="shared" si="367"/>
        <v>3549.8800000000047</v>
      </c>
      <c r="BT306" s="201">
        <f t="shared" si="372"/>
        <v>3549.8800000000047</v>
      </c>
      <c r="BU306" s="213">
        <f t="shared" si="369"/>
        <v>0</v>
      </c>
      <c r="BV306" s="201"/>
      <c r="BW306" s="201"/>
      <c r="BX306" s="201">
        <f t="shared" si="373"/>
        <v>0</v>
      </c>
      <c r="BY306" s="199">
        <v>10000</v>
      </c>
      <c r="BZ306" s="199">
        <v>30000</v>
      </c>
      <c r="CA306" s="199">
        <v>60000</v>
      </c>
      <c r="CB306" s="199">
        <v>80000</v>
      </c>
      <c r="CC306" s="199">
        <v>100000</v>
      </c>
      <c r="CD306" s="199">
        <v>160000</v>
      </c>
      <c r="CE306" s="199">
        <v>220000</v>
      </c>
      <c r="CF306" s="199">
        <v>150000</v>
      </c>
      <c r="CG306" s="199">
        <v>80000</v>
      </c>
      <c r="CH306" s="199">
        <v>50000</v>
      </c>
      <c r="CI306" s="199">
        <v>40000</v>
      </c>
      <c r="CJ306" s="199">
        <v>20000</v>
      </c>
      <c r="CK306" s="214" t="s">
        <v>843</v>
      </c>
      <c r="CL306" s="214" t="s">
        <v>610</v>
      </c>
      <c r="CM306" s="211">
        <v>198</v>
      </c>
      <c r="CN306" s="215"/>
      <c r="CO306" s="215"/>
      <c r="CP306" s="216"/>
      <c r="CQ306" s="217"/>
      <c r="CR306" s="211"/>
      <c r="CS306" s="218"/>
      <c r="CT306" s="218"/>
      <c r="CU306" s="218"/>
      <c r="CV306" s="211"/>
      <c r="CW306" s="211"/>
      <c r="CX306" s="211"/>
      <c r="CY306" s="211"/>
      <c r="CZ306" s="211"/>
      <c r="DA306" s="211"/>
      <c r="DB306" s="211"/>
      <c r="DC306" s="219"/>
      <c r="DD306" s="219"/>
      <c r="DE306" s="219"/>
      <c r="DF306" s="211"/>
      <c r="DG306" s="211"/>
      <c r="DH306" s="211"/>
      <c r="DI306" s="211"/>
      <c r="DJ306" s="211"/>
      <c r="DK306" s="220" t="s">
        <v>32</v>
      </c>
      <c r="DT306" s="222"/>
    </row>
    <row r="307" spans="1:124" s="176" customFormat="1" ht="42" x14ac:dyDescent="0.2">
      <c r="A307" s="195" t="s">
        <v>108</v>
      </c>
      <c r="B307" s="197" t="s">
        <v>844</v>
      </c>
      <c r="C307" s="198">
        <v>1</v>
      </c>
      <c r="D307" s="199">
        <v>690000</v>
      </c>
      <c r="E307" s="198" t="s">
        <v>351</v>
      </c>
      <c r="F307" s="198" t="s">
        <v>230</v>
      </c>
      <c r="G307" s="198" t="s">
        <v>98</v>
      </c>
      <c r="H307" s="200">
        <v>1</v>
      </c>
      <c r="I307" s="199">
        <f t="shared" si="374"/>
        <v>370000</v>
      </c>
      <c r="J307" s="199">
        <f t="shared" si="375"/>
        <v>320000</v>
      </c>
      <c r="K307" s="199">
        <f t="shared" si="376"/>
        <v>690000</v>
      </c>
      <c r="L307" s="199">
        <v>370000</v>
      </c>
      <c r="M307" s="199">
        <v>320000</v>
      </c>
      <c r="N307" s="199">
        <f t="shared" si="377"/>
        <v>690000</v>
      </c>
      <c r="O307" s="199"/>
      <c r="P307" s="201">
        <v>0</v>
      </c>
      <c r="Q307" s="202">
        <v>13</v>
      </c>
      <c r="R307" s="203">
        <v>45566</v>
      </c>
      <c r="S307" s="199"/>
      <c r="T307" s="199">
        <v>320000</v>
      </c>
      <c r="U307" s="204">
        <f t="shared" si="378"/>
        <v>320000</v>
      </c>
      <c r="V307" s="198">
        <v>1552</v>
      </c>
      <c r="W307" s="206">
        <v>45707</v>
      </c>
      <c r="X307" s="201">
        <v>358160</v>
      </c>
      <c r="Y307" s="201"/>
      <c r="Z307" s="201">
        <f t="shared" si="379"/>
        <v>358160</v>
      </c>
      <c r="AA307" s="198"/>
      <c r="AB307" s="206"/>
      <c r="AC307" s="207"/>
      <c r="AD307" s="201"/>
      <c r="AE307" s="204">
        <f t="shared" si="380"/>
        <v>0</v>
      </c>
      <c r="AF307" s="203">
        <f t="shared" si="381"/>
        <v>45566</v>
      </c>
      <c r="AG307" s="201">
        <f t="shared" si="382"/>
        <v>358160</v>
      </c>
      <c r="AH307" s="199">
        <f t="shared" si="383"/>
        <v>320000</v>
      </c>
      <c r="AI307" s="199">
        <f t="shared" si="384"/>
        <v>678160</v>
      </c>
      <c r="AJ307" s="201">
        <f t="shared" si="365"/>
        <v>358160</v>
      </c>
      <c r="AK307" s="201">
        <f t="shared" si="365"/>
        <v>320000</v>
      </c>
      <c r="AL307" s="201">
        <f t="shared" si="385"/>
        <v>678160</v>
      </c>
      <c r="AM307" s="198"/>
      <c r="AN307" s="203"/>
      <c r="AO307" s="208"/>
      <c r="AP307" s="201">
        <f t="shared" si="386"/>
        <v>0</v>
      </c>
      <c r="AQ307" s="201">
        <f t="shared" si="387"/>
        <v>308471.25</v>
      </c>
      <c r="AR307" s="201">
        <f t="shared" si="388"/>
        <v>308471.25</v>
      </c>
      <c r="AS307" s="201">
        <f t="shared" si="389"/>
        <v>45.486500235932525</v>
      </c>
      <c r="AT307" s="201"/>
      <c r="AU307" s="223">
        <v>308471.25</v>
      </c>
      <c r="AV307" s="201">
        <f t="shared" si="390"/>
        <v>308471.25</v>
      </c>
      <c r="AW307" s="322">
        <f t="shared" si="368"/>
        <v>0</v>
      </c>
      <c r="AX307" s="201">
        <f t="shared" si="391"/>
        <v>45.486500235932525</v>
      </c>
      <c r="AY307" s="208"/>
      <c r="AZ307" s="201">
        <f t="shared" si="392"/>
        <v>0</v>
      </c>
      <c r="BA307" s="201">
        <f t="shared" si="393"/>
        <v>358160</v>
      </c>
      <c r="BB307" s="201">
        <f t="shared" si="394"/>
        <v>358160</v>
      </c>
      <c r="BC307" s="201"/>
      <c r="BD307" s="223">
        <v>358160</v>
      </c>
      <c r="BE307" s="201">
        <f t="shared" si="370"/>
        <v>358160</v>
      </c>
      <c r="BF307" s="208"/>
      <c r="BG307" s="201">
        <f t="shared" si="366"/>
        <v>0</v>
      </c>
      <c r="BH307" s="201">
        <f t="shared" si="366"/>
        <v>666631.25</v>
      </c>
      <c r="BI307" s="201">
        <f t="shared" si="395"/>
        <v>666631.25</v>
      </c>
      <c r="BJ307" s="201">
        <f t="shared" si="396"/>
        <v>98.299995576265189</v>
      </c>
      <c r="BK307" s="201">
        <v>89</v>
      </c>
      <c r="BL307" s="224">
        <v>30</v>
      </c>
      <c r="BM307" s="211"/>
      <c r="BN307" s="211"/>
      <c r="BO307" s="212">
        <f t="shared" si="397"/>
        <v>358160</v>
      </c>
      <c r="BP307" s="201">
        <f t="shared" si="398"/>
        <v>11528.75</v>
      </c>
      <c r="BQ307" s="201">
        <f t="shared" si="371"/>
        <v>369688.75</v>
      </c>
      <c r="BR307" s="201">
        <f t="shared" si="367"/>
        <v>358160</v>
      </c>
      <c r="BS307" s="201">
        <f t="shared" si="367"/>
        <v>11528.75</v>
      </c>
      <c r="BT307" s="201">
        <f t="shared" si="372"/>
        <v>369688.75</v>
      </c>
      <c r="BU307" s="213">
        <f t="shared" si="369"/>
        <v>0</v>
      </c>
      <c r="BV307" s="201"/>
      <c r="BW307" s="201"/>
      <c r="BX307" s="201">
        <f t="shared" si="373"/>
        <v>0</v>
      </c>
      <c r="BY307" s="199">
        <v>48300</v>
      </c>
      <c r="BZ307" s="199">
        <v>207000</v>
      </c>
      <c r="CA307" s="199">
        <v>358800</v>
      </c>
      <c r="CB307" s="199">
        <v>75900</v>
      </c>
      <c r="CC307" s="199">
        <v>0</v>
      </c>
      <c r="CD307" s="199">
        <v>0</v>
      </c>
      <c r="CE307" s="199">
        <v>0</v>
      </c>
      <c r="CF307" s="199">
        <v>0</v>
      </c>
      <c r="CG307" s="199">
        <v>0</v>
      </c>
      <c r="CH307" s="199">
        <v>0</v>
      </c>
      <c r="CI307" s="199">
        <v>0</v>
      </c>
      <c r="CJ307" s="199">
        <v>0</v>
      </c>
      <c r="CK307" s="214" t="s">
        <v>845</v>
      </c>
      <c r="CL307" s="214" t="s">
        <v>610</v>
      </c>
      <c r="CM307" s="211">
        <v>198</v>
      </c>
      <c r="CN307" s="215"/>
      <c r="CO307" s="215"/>
      <c r="CP307" s="216"/>
      <c r="CQ307" s="217"/>
      <c r="CR307" s="211"/>
      <c r="CS307" s="218"/>
      <c r="CT307" s="218"/>
      <c r="CU307" s="218"/>
      <c r="CV307" s="211"/>
      <c r="CW307" s="211"/>
      <c r="CX307" s="211"/>
      <c r="CY307" s="211"/>
      <c r="CZ307" s="211"/>
      <c r="DA307" s="211"/>
      <c r="DB307" s="211"/>
      <c r="DC307" s="219"/>
      <c r="DD307" s="219"/>
      <c r="DE307" s="219"/>
      <c r="DF307" s="211"/>
      <c r="DG307" s="211"/>
      <c r="DH307" s="211"/>
      <c r="DI307" s="211"/>
      <c r="DJ307" s="211"/>
      <c r="DK307" s="220" t="s">
        <v>53</v>
      </c>
      <c r="DT307" s="222"/>
    </row>
    <row r="308" spans="1:124" s="176" customFormat="1" ht="42" x14ac:dyDescent="0.2">
      <c r="A308" s="195" t="s">
        <v>108</v>
      </c>
      <c r="B308" s="197" t="s">
        <v>846</v>
      </c>
      <c r="C308" s="198">
        <v>1</v>
      </c>
      <c r="D308" s="199">
        <v>960000</v>
      </c>
      <c r="E308" s="198" t="s">
        <v>351</v>
      </c>
      <c r="F308" s="198" t="s">
        <v>230</v>
      </c>
      <c r="G308" s="198" t="s">
        <v>98</v>
      </c>
      <c r="H308" s="200">
        <v>1</v>
      </c>
      <c r="I308" s="199">
        <f t="shared" si="374"/>
        <v>0</v>
      </c>
      <c r="J308" s="199">
        <f t="shared" si="375"/>
        <v>960000</v>
      </c>
      <c r="K308" s="199">
        <f t="shared" si="376"/>
        <v>960000</v>
      </c>
      <c r="L308" s="199"/>
      <c r="M308" s="199">
        <v>960000</v>
      </c>
      <c r="N308" s="199">
        <f t="shared" si="377"/>
        <v>960000</v>
      </c>
      <c r="O308" s="199"/>
      <c r="P308" s="201">
        <v>0</v>
      </c>
      <c r="Q308" s="202">
        <v>14</v>
      </c>
      <c r="R308" s="203">
        <v>45566</v>
      </c>
      <c r="S308" s="199"/>
      <c r="T308" s="199">
        <v>960000</v>
      </c>
      <c r="U308" s="204">
        <f t="shared" si="378"/>
        <v>960000</v>
      </c>
      <c r="V308" s="198"/>
      <c r="W308" s="206"/>
      <c r="X308" s="201"/>
      <c r="Y308" s="201"/>
      <c r="Z308" s="201">
        <f t="shared" si="379"/>
        <v>0</v>
      </c>
      <c r="AA308" s="198"/>
      <c r="AB308" s="206"/>
      <c r="AC308" s="207"/>
      <c r="AD308" s="201"/>
      <c r="AE308" s="204">
        <f t="shared" si="380"/>
        <v>0</v>
      </c>
      <c r="AF308" s="203">
        <f t="shared" si="381"/>
        <v>45566</v>
      </c>
      <c r="AG308" s="201">
        <f t="shared" si="382"/>
        <v>0</v>
      </c>
      <c r="AH308" s="199">
        <f t="shared" si="383"/>
        <v>960000</v>
      </c>
      <c r="AI308" s="199">
        <f t="shared" si="384"/>
        <v>960000</v>
      </c>
      <c r="AJ308" s="201">
        <f t="shared" si="365"/>
        <v>0</v>
      </c>
      <c r="AK308" s="201">
        <f t="shared" si="365"/>
        <v>960000</v>
      </c>
      <c r="AL308" s="201">
        <f t="shared" si="385"/>
        <v>960000</v>
      </c>
      <c r="AM308" s="198"/>
      <c r="AN308" s="203"/>
      <c r="AO308" s="208"/>
      <c r="AP308" s="201">
        <f t="shared" si="386"/>
        <v>0</v>
      </c>
      <c r="AQ308" s="201">
        <f t="shared" si="387"/>
        <v>876236.17</v>
      </c>
      <c r="AR308" s="201">
        <f t="shared" si="388"/>
        <v>876236.17</v>
      </c>
      <c r="AS308" s="201">
        <f t="shared" si="389"/>
        <v>91.274601041666671</v>
      </c>
      <c r="AT308" s="201"/>
      <c r="AU308" s="223">
        <v>876236.17</v>
      </c>
      <c r="AV308" s="201">
        <f t="shared" si="390"/>
        <v>876236.17</v>
      </c>
      <c r="AW308" s="322">
        <f t="shared" si="368"/>
        <v>0</v>
      </c>
      <c r="AX308" s="201">
        <f t="shared" si="391"/>
        <v>91.274601041666671</v>
      </c>
      <c r="AY308" s="208"/>
      <c r="AZ308" s="201">
        <f t="shared" si="392"/>
        <v>0</v>
      </c>
      <c r="BA308" s="201">
        <f t="shared" si="393"/>
        <v>0</v>
      </c>
      <c r="BB308" s="201">
        <f t="shared" si="394"/>
        <v>0</v>
      </c>
      <c r="BC308" s="201"/>
      <c r="BD308" s="223">
        <v>0</v>
      </c>
      <c r="BE308" s="201">
        <f t="shared" si="370"/>
        <v>0</v>
      </c>
      <c r="BF308" s="208"/>
      <c r="BG308" s="201">
        <f t="shared" si="366"/>
        <v>0</v>
      </c>
      <c r="BH308" s="201">
        <f t="shared" si="366"/>
        <v>876236.17</v>
      </c>
      <c r="BI308" s="201">
        <f t="shared" si="395"/>
        <v>876236.17</v>
      </c>
      <c r="BJ308" s="201">
        <f t="shared" si="396"/>
        <v>91.274601041666671</v>
      </c>
      <c r="BK308" s="201">
        <v>89</v>
      </c>
      <c r="BL308" s="224">
        <v>90</v>
      </c>
      <c r="BM308" s="211"/>
      <c r="BN308" s="211"/>
      <c r="BO308" s="212">
        <f t="shared" si="397"/>
        <v>0</v>
      </c>
      <c r="BP308" s="201">
        <f t="shared" si="398"/>
        <v>83763.829999999958</v>
      </c>
      <c r="BQ308" s="201">
        <f t="shared" si="371"/>
        <v>83763.829999999958</v>
      </c>
      <c r="BR308" s="201">
        <f t="shared" si="367"/>
        <v>0</v>
      </c>
      <c r="BS308" s="201">
        <f t="shared" si="367"/>
        <v>83763.829999999958</v>
      </c>
      <c r="BT308" s="201">
        <f t="shared" si="372"/>
        <v>83763.829999999958</v>
      </c>
      <c r="BU308" s="213">
        <f t="shared" si="369"/>
        <v>0</v>
      </c>
      <c r="BV308" s="201"/>
      <c r="BW308" s="201"/>
      <c r="BX308" s="201">
        <f t="shared" si="373"/>
        <v>0</v>
      </c>
      <c r="BY308" s="199">
        <v>67200</v>
      </c>
      <c r="BZ308" s="199">
        <v>288000</v>
      </c>
      <c r="CA308" s="199">
        <v>499200</v>
      </c>
      <c r="CB308" s="199">
        <v>105600</v>
      </c>
      <c r="CC308" s="199">
        <v>0</v>
      </c>
      <c r="CD308" s="199">
        <v>0</v>
      </c>
      <c r="CE308" s="199">
        <v>0</v>
      </c>
      <c r="CF308" s="199"/>
      <c r="CG308" s="199"/>
      <c r="CH308" s="199"/>
      <c r="CI308" s="199"/>
      <c r="CJ308" s="199"/>
      <c r="CK308" s="214" t="s">
        <v>847</v>
      </c>
      <c r="CL308" s="214" t="s">
        <v>610</v>
      </c>
      <c r="CM308" s="211">
        <v>198</v>
      </c>
      <c r="CN308" s="215"/>
      <c r="CO308" s="215"/>
      <c r="CP308" s="216"/>
      <c r="CQ308" s="217"/>
      <c r="CR308" s="211"/>
      <c r="CS308" s="218"/>
      <c r="CT308" s="218"/>
      <c r="CU308" s="218"/>
      <c r="CV308" s="211"/>
      <c r="CW308" s="211"/>
      <c r="CX308" s="211"/>
      <c r="CY308" s="211"/>
      <c r="CZ308" s="211"/>
      <c r="DA308" s="211"/>
      <c r="DB308" s="211"/>
      <c r="DC308" s="219"/>
      <c r="DD308" s="219"/>
      <c r="DE308" s="219"/>
      <c r="DF308" s="211"/>
      <c r="DG308" s="211"/>
      <c r="DH308" s="211"/>
      <c r="DI308" s="211"/>
      <c r="DJ308" s="211"/>
      <c r="DK308" s="220" t="s">
        <v>32</v>
      </c>
      <c r="DT308" s="222"/>
    </row>
    <row r="309" spans="1:124" s="176" customFormat="1" ht="42" x14ac:dyDescent="0.2">
      <c r="A309" s="195" t="s">
        <v>108</v>
      </c>
      <c r="B309" s="197" t="s">
        <v>848</v>
      </c>
      <c r="C309" s="198">
        <v>1</v>
      </c>
      <c r="D309" s="199">
        <v>500000</v>
      </c>
      <c r="E309" s="198" t="s">
        <v>849</v>
      </c>
      <c r="F309" s="198" t="s">
        <v>234</v>
      </c>
      <c r="G309" s="198" t="s">
        <v>98</v>
      </c>
      <c r="H309" s="200">
        <v>1</v>
      </c>
      <c r="I309" s="199">
        <f t="shared" si="374"/>
        <v>200000</v>
      </c>
      <c r="J309" s="199">
        <f t="shared" si="375"/>
        <v>300000</v>
      </c>
      <c r="K309" s="199">
        <f t="shared" si="376"/>
        <v>500000</v>
      </c>
      <c r="L309" s="199">
        <v>200000</v>
      </c>
      <c r="M309" s="199">
        <v>300000</v>
      </c>
      <c r="N309" s="199">
        <f t="shared" si="377"/>
        <v>500000</v>
      </c>
      <c r="O309" s="199"/>
      <c r="P309" s="201">
        <v>0</v>
      </c>
      <c r="Q309" s="202">
        <v>13</v>
      </c>
      <c r="R309" s="203">
        <v>45566</v>
      </c>
      <c r="S309" s="199"/>
      <c r="T309" s="199">
        <v>300000</v>
      </c>
      <c r="U309" s="204">
        <f t="shared" si="378"/>
        <v>300000</v>
      </c>
      <c r="V309" s="198">
        <v>1552</v>
      </c>
      <c r="W309" s="206">
        <v>45707</v>
      </c>
      <c r="X309" s="201">
        <v>193830</v>
      </c>
      <c r="Y309" s="201"/>
      <c r="Z309" s="201">
        <f t="shared" si="379"/>
        <v>193830</v>
      </c>
      <c r="AA309" s="198"/>
      <c r="AB309" s="206"/>
      <c r="AC309" s="207"/>
      <c r="AD309" s="201"/>
      <c r="AE309" s="204">
        <f t="shared" si="380"/>
        <v>0</v>
      </c>
      <c r="AF309" s="203">
        <f t="shared" si="381"/>
        <v>45566</v>
      </c>
      <c r="AG309" s="201">
        <f t="shared" si="382"/>
        <v>193830</v>
      </c>
      <c r="AH309" s="199">
        <f t="shared" si="383"/>
        <v>300000</v>
      </c>
      <c r="AI309" s="199">
        <f t="shared" si="384"/>
        <v>493830</v>
      </c>
      <c r="AJ309" s="201">
        <f t="shared" si="365"/>
        <v>193830</v>
      </c>
      <c r="AK309" s="201">
        <f t="shared" si="365"/>
        <v>300000</v>
      </c>
      <c r="AL309" s="201">
        <f t="shared" si="385"/>
        <v>493830</v>
      </c>
      <c r="AM309" s="198"/>
      <c r="AN309" s="203"/>
      <c r="AO309" s="208"/>
      <c r="AP309" s="201">
        <f t="shared" si="386"/>
        <v>0</v>
      </c>
      <c r="AQ309" s="201">
        <f t="shared" si="387"/>
        <v>206350.75</v>
      </c>
      <c r="AR309" s="201">
        <f t="shared" si="388"/>
        <v>206350.75</v>
      </c>
      <c r="AS309" s="201">
        <f t="shared" si="389"/>
        <v>41.785786606727008</v>
      </c>
      <c r="AT309" s="201"/>
      <c r="AU309" s="223">
        <v>206350.75</v>
      </c>
      <c r="AV309" s="201">
        <f t="shared" si="390"/>
        <v>206350.75</v>
      </c>
      <c r="AW309" s="322">
        <f t="shared" si="368"/>
        <v>0</v>
      </c>
      <c r="AX309" s="201">
        <f t="shared" si="391"/>
        <v>41.785786606727008</v>
      </c>
      <c r="AY309" s="208"/>
      <c r="AZ309" s="201">
        <f t="shared" si="392"/>
        <v>0</v>
      </c>
      <c r="BA309" s="201">
        <f t="shared" si="393"/>
        <v>257507.3</v>
      </c>
      <c r="BB309" s="201">
        <f t="shared" si="394"/>
        <v>257507.3</v>
      </c>
      <c r="BC309" s="201"/>
      <c r="BD309" s="223">
        <v>257507.3</v>
      </c>
      <c r="BE309" s="201">
        <f t="shared" si="370"/>
        <v>257507.3</v>
      </c>
      <c r="BF309" s="208"/>
      <c r="BG309" s="201">
        <f t="shared" si="366"/>
        <v>0</v>
      </c>
      <c r="BH309" s="201">
        <f t="shared" si="366"/>
        <v>463858.05</v>
      </c>
      <c r="BI309" s="201">
        <f t="shared" si="395"/>
        <v>463858.05</v>
      </c>
      <c r="BJ309" s="201">
        <f t="shared" si="396"/>
        <v>93.930715023388615</v>
      </c>
      <c r="BK309" s="201">
        <v>89</v>
      </c>
      <c r="BL309" s="224">
        <v>48</v>
      </c>
      <c r="BM309" s="211"/>
      <c r="BN309" s="211"/>
      <c r="BO309" s="212">
        <f t="shared" si="397"/>
        <v>193830</v>
      </c>
      <c r="BP309" s="201">
        <f t="shared" si="398"/>
        <v>93649.25</v>
      </c>
      <c r="BQ309" s="201">
        <f t="shared" si="371"/>
        <v>287479.25</v>
      </c>
      <c r="BR309" s="201">
        <f t="shared" si="367"/>
        <v>193830</v>
      </c>
      <c r="BS309" s="201">
        <f t="shared" si="367"/>
        <v>93649.25</v>
      </c>
      <c r="BT309" s="201">
        <f t="shared" si="372"/>
        <v>287479.25</v>
      </c>
      <c r="BU309" s="213">
        <f t="shared" si="369"/>
        <v>0</v>
      </c>
      <c r="BV309" s="201"/>
      <c r="BW309" s="201"/>
      <c r="BX309" s="201">
        <f t="shared" si="373"/>
        <v>0</v>
      </c>
      <c r="BY309" s="199">
        <v>35000</v>
      </c>
      <c r="BZ309" s="199">
        <v>150000</v>
      </c>
      <c r="CA309" s="199">
        <v>260000</v>
      </c>
      <c r="CB309" s="199">
        <v>55000</v>
      </c>
      <c r="CC309" s="199">
        <v>0</v>
      </c>
      <c r="CD309" s="199">
        <v>0</v>
      </c>
      <c r="CE309" s="199">
        <v>0</v>
      </c>
      <c r="CF309" s="199"/>
      <c r="CG309" s="199"/>
      <c r="CH309" s="199"/>
      <c r="CI309" s="199"/>
      <c r="CJ309" s="199"/>
      <c r="CK309" s="214" t="s">
        <v>850</v>
      </c>
      <c r="CL309" s="214" t="s">
        <v>610</v>
      </c>
      <c r="CM309" s="211">
        <v>198</v>
      </c>
      <c r="CN309" s="215"/>
      <c r="CO309" s="215"/>
      <c r="CP309" s="216"/>
      <c r="CQ309" s="217"/>
      <c r="CR309" s="211"/>
      <c r="CS309" s="218"/>
      <c r="CT309" s="218"/>
      <c r="CU309" s="218"/>
      <c r="CV309" s="211"/>
      <c r="CW309" s="211"/>
      <c r="CX309" s="211"/>
      <c r="CY309" s="211"/>
      <c r="CZ309" s="211"/>
      <c r="DA309" s="211"/>
      <c r="DB309" s="211"/>
      <c r="DC309" s="219"/>
      <c r="DD309" s="219"/>
      <c r="DE309" s="219"/>
      <c r="DF309" s="211"/>
      <c r="DG309" s="211"/>
      <c r="DH309" s="211"/>
      <c r="DI309" s="211"/>
      <c r="DJ309" s="211"/>
      <c r="DK309" s="220" t="s">
        <v>53</v>
      </c>
      <c r="DT309" s="222"/>
    </row>
    <row r="310" spans="1:124" s="176" customFormat="1" ht="42" x14ac:dyDescent="0.2">
      <c r="A310" s="195" t="s">
        <v>108</v>
      </c>
      <c r="B310" s="197" t="s">
        <v>851</v>
      </c>
      <c r="C310" s="198">
        <v>1</v>
      </c>
      <c r="D310" s="199">
        <v>700000</v>
      </c>
      <c r="E310" s="198" t="s">
        <v>288</v>
      </c>
      <c r="F310" s="198" t="s">
        <v>285</v>
      </c>
      <c r="G310" s="198" t="s">
        <v>98</v>
      </c>
      <c r="H310" s="200">
        <v>1</v>
      </c>
      <c r="I310" s="199">
        <f t="shared" si="374"/>
        <v>0</v>
      </c>
      <c r="J310" s="199">
        <f t="shared" si="375"/>
        <v>700000</v>
      </c>
      <c r="K310" s="199">
        <f t="shared" si="376"/>
        <v>700000</v>
      </c>
      <c r="L310" s="199">
        <v>0</v>
      </c>
      <c r="M310" s="199">
        <v>700000</v>
      </c>
      <c r="N310" s="199">
        <f t="shared" si="377"/>
        <v>700000</v>
      </c>
      <c r="O310" s="199"/>
      <c r="P310" s="201">
        <v>0</v>
      </c>
      <c r="Q310" s="202">
        <v>14</v>
      </c>
      <c r="R310" s="203">
        <v>45566</v>
      </c>
      <c r="S310" s="199"/>
      <c r="T310" s="199">
        <v>700000</v>
      </c>
      <c r="U310" s="204">
        <f t="shared" si="378"/>
        <v>700000</v>
      </c>
      <c r="V310" s="198"/>
      <c r="W310" s="206"/>
      <c r="X310" s="201"/>
      <c r="Y310" s="201"/>
      <c r="Z310" s="201">
        <f t="shared" si="379"/>
        <v>0</v>
      </c>
      <c r="AA310" s="198"/>
      <c r="AB310" s="206"/>
      <c r="AC310" s="207"/>
      <c r="AD310" s="201"/>
      <c r="AE310" s="204">
        <f t="shared" si="380"/>
        <v>0</v>
      </c>
      <c r="AF310" s="203">
        <f t="shared" si="381"/>
        <v>45566</v>
      </c>
      <c r="AG310" s="201">
        <f t="shared" si="382"/>
        <v>0</v>
      </c>
      <c r="AH310" s="199">
        <f t="shared" si="383"/>
        <v>700000</v>
      </c>
      <c r="AI310" s="199">
        <f t="shared" si="384"/>
        <v>700000</v>
      </c>
      <c r="AJ310" s="201">
        <f t="shared" si="365"/>
        <v>0</v>
      </c>
      <c r="AK310" s="201">
        <f t="shared" si="365"/>
        <v>700000</v>
      </c>
      <c r="AL310" s="201">
        <f t="shared" si="385"/>
        <v>700000</v>
      </c>
      <c r="AM310" s="198"/>
      <c r="AN310" s="203"/>
      <c r="AO310" s="208"/>
      <c r="AP310" s="201">
        <f t="shared" si="386"/>
        <v>0</v>
      </c>
      <c r="AQ310" s="201">
        <f t="shared" si="387"/>
        <v>699634.45</v>
      </c>
      <c r="AR310" s="201">
        <f t="shared" si="388"/>
        <v>699634.45</v>
      </c>
      <c r="AS310" s="201">
        <f t="shared" si="389"/>
        <v>99.947778571428572</v>
      </c>
      <c r="AT310" s="201"/>
      <c r="AU310" s="223">
        <v>699634.45</v>
      </c>
      <c r="AV310" s="201">
        <f t="shared" si="390"/>
        <v>699634.45</v>
      </c>
      <c r="AW310" s="322">
        <f t="shared" si="368"/>
        <v>0</v>
      </c>
      <c r="AX310" s="201">
        <f t="shared" si="391"/>
        <v>99.947778571428572</v>
      </c>
      <c r="AY310" s="208"/>
      <c r="AZ310" s="201">
        <f t="shared" si="392"/>
        <v>0</v>
      </c>
      <c r="BA310" s="201">
        <f t="shared" si="393"/>
        <v>0</v>
      </c>
      <c r="BB310" s="201">
        <f t="shared" si="394"/>
        <v>0</v>
      </c>
      <c r="BC310" s="201"/>
      <c r="BD310" s="223">
        <v>0</v>
      </c>
      <c r="BE310" s="201">
        <f t="shared" si="370"/>
        <v>0</v>
      </c>
      <c r="BF310" s="208"/>
      <c r="BG310" s="201">
        <f t="shared" si="366"/>
        <v>0</v>
      </c>
      <c r="BH310" s="201">
        <f t="shared" si="366"/>
        <v>699634.45</v>
      </c>
      <c r="BI310" s="201">
        <f t="shared" si="395"/>
        <v>699634.45</v>
      </c>
      <c r="BJ310" s="201">
        <f t="shared" si="396"/>
        <v>99.947778571428572</v>
      </c>
      <c r="BK310" s="201">
        <v>89</v>
      </c>
      <c r="BL310" s="224">
        <v>99</v>
      </c>
      <c r="BM310" s="211"/>
      <c r="BN310" s="211"/>
      <c r="BO310" s="212">
        <f t="shared" si="397"/>
        <v>0</v>
      </c>
      <c r="BP310" s="201">
        <f t="shared" si="398"/>
        <v>365.55000000004657</v>
      </c>
      <c r="BQ310" s="201">
        <f t="shared" si="371"/>
        <v>365.55000000004657</v>
      </c>
      <c r="BR310" s="201">
        <f t="shared" si="367"/>
        <v>0</v>
      </c>
      <c r="BS310" s="201">
        <f t="shared" si="367"/>
        <v>365.55000000004657</v>
      </c>
      <c r="BT310" s="201">
        <f t="shared" si="372"/>
        <v>365.55000000004657</v>
      </c>
      <c r="BU310" s="213">
        <f t="shared" si="369"/>
        <v>0</v>
      </c>
      <c r="BV310" s="201"/>
      <c r="BW310" s="201"/>
      <c r="BX310" s="201">
        <f t="shared" si="373"/>
        <v>0</v>
      </c>
      <c r="BY310" s="199">
        <v>49000</v>
      </c>
      <c r="BZ310" s="199">
        <v>210000</v>
      </c>
      <c r="CA310" s="199">
        <v>364000</v>
      </c>
      <c r="CB310" s="199">
        <v>77000</v>
      </c>
      <c r="CC310" s="199">
        <v>0</v>
      </c>
      <c r="CD310" s="199">
        <v>0</v>
      </c>
      <c r="CE310" s="199">
        <v>0</v>
      </c>
      <c r="CF310" s="199"/>
      <c r="CG310" s="199"/>
      <c r="CH310" s="199"/>
      <c r="CI310" s="199"/>
      <c r="CJ310" s="199"/>
      <c r="CK310" s="214" t="s">
        <v>852</v>
      </c>
      <c r="CL310" s="214" t="s">
        <v>610</v>
      </c>
      <c r="CM310" s="211">
        <v>198</v>
      </c>
      <c r="CN310" s="215"/>
      <c r="CO310" s="215"/>
      <c r="CP310" s="216"/>
      <c r="CQ310" s="217"/>
      <c r="CR310" s="211"/>
      <c r="CS310" s="218"/>
      <c r="CT310" s="218"/>
      <c r="CU310" s="218"/>
      <c r="CV310" s="211"/>
      <c r="CW310" s="211"/>
      <c r="CX310" s="211"/>
      <c r="CY310" s="211"/>
      <c r="CZ310" s="211"/>
      <c r="DA310" s="211"/>
      <c r="DB310" s="211"/>
      <c r="DC310" s="219"/>
      <c r="DD310" s="219"/>
      <c r="DE310" s="219"/>
      <c r="DF310" s="211"/>
      <c r="DG310" s="211"/>
      <c r="DH310" s="211"/>
      <c r="DI310" s="211"/>
      <c r="DJ310" s="211"/>
      <c r="DK310" s="220" t="s">
        <v>32</v>
      </c>
      <c r="DT310" s="222"/>
    </row>
    <row r="311" spans="1:124" s="176" customFormat="1" ht="42" x14ac:dyDescent="0.2">
      <c r="A311" s="195" t="s">
        <v>108</v>
      </c>
      <c r="B311" s="197" t="s">
        <v>853</v>
      </c>
      <c r="C311" s="198">
        <v>1</v>
      </c>
      <c r="D311" s="199">
        <v>500000</v>
      </c>
      <c r="E311" s="198" t="s">
        <v>854</v>
      </c>
      <c r="F311" s="198" t="s">
        <v>285</v>
      </c>
      <c r="G311" s="198" t="s">
        <v>98</v>
      </c>
      <c r="H311" s="200">
        <v>1</v>
      </c>
      <c r="I311" s="199">
        <f t="shared" si="374"/>
        <v>200000</v>
      </c>
      <c r="J311" s="199">
        <f t="shared" si="375"/>
        <v>300000</v>
      </c>
      <c r="K311" s="199">
        <f t="shared" si="376"/>
        <v>500000</v>
      </c>
      <c r="L311" s="199">
        <v>200000</v>
      </c>
      <c r="M311" s="199">
        <v>300000</v>
      </c>
      <c r="N311" s="199">
        <f t="shared" si="377"/>
        <v>500000</v>
      </c>
      <c r="O311" s="199"/>
      <c r="P311" s="201">
        <v>0</v>
      </c>
      <c r="Q311" s="202">
        <v>13</v>
      </c>
      <c r="R311" s="203">
        <v>45566</v>
      </c>
      <c r="S311" s="199"/>
      <c r="T311" s="199">
        <v>300000</v>
      </c>
      <c r="U311" s="204">
        <f t="shared" si="378"/>
        <v>300000</v>
      </c>
      <c r="V311" s="198">
        <v>1574</v>
      </c>
      <c r="W311" s="206">
        <v>45708</v>
      </c>
      <c r="X311" s="201">
        <v>193830</v>
      </c>
      <c r="Y311" s="201"/>
      <c r="Z311" s="201">
        <f t="shared" si="379"/>
        <v>193830</v>
      </c>
      <c r="AA311" s="198"/>
      <c r="AB311" s="206"/>
      <c r="AC311" s="207"/>
      <c r="AD311" s="201"/>
      <c r="AE311" s="204">
        <f t="shared" si="380"/>
        <v>0</v>
      </c>
      <c r="AF311" s="203">
        <f t="shared" si="381"/>
        <v>45566</v>
      </c>
      <c r="AG311" s="201">
        <f t="shared" si="382"/>
        <v>193830</v>
      </c>
      <c r="AH311" s="199">
        <f t="shared" si="383"/>
        <v>300000</v>
      </c>
      <c r="AI311" s="199">
        <f t="shared" si="384"/>
        <v>493830</v>
      </c>
      <c r="AJ311" s="201">
        <f t="shared" si="365"/>
        <v>193830</v>
      </c>
      <c r="AK311" s="201">
        <f t="shared" si="365"/>
        <v>300000</v>
      </c>
      <c r="AL311" s="201">
        <f t="shared" si="385"/>
        <v>493830</v>
      </c>
      <c r="AM311" s="198"/>
      <c r="AN311" s="203"/>
      <c r="AO311" s="208"/>
      <c r="AP311" s="201">
        <f t="shared" si="386"/>
        <v>0</v>
      </c>
      <c r="AQ311" s="201">
        <f t="shared" si="387"/>
        <v>208660.4</v>
      </c>
      <c r="AR311" s="201">
        <f t="shared" si="388"/>
        <v>208660.4</v>
      </c>
      <c r="AS311" s="201">
        <f t="shared" si="389"/>
        <v>42.253488042443756</v>
      </c>
      <c r="AT311" s="201"/>
      <c r="AU311" s="223">
        <v>208660.4</v>
      </c>
      <c r="AV311" s="201">
        <f t="shared" si="390"/>
        <v>208660.4</v>
      </c>
      <c r="AW311" s="322">
        <f t="shared" si="368"/>
        <v>0</v>
      </c>
      <c r="AX311" s="201">
        <f t="shared" si="391"/>
        <v>42.253488042443756</v>
      </c>
      <c r="AY311" s="208"/>
      <c r="AZ311" s="201">
        <f t="shared" si="392"/>
        <v>193830</v>
      </c>
      <c r="BA311" s="201">
        <f t="shared" si="393"/>
        <v>63087</v>
      </c>
      <c r="BB311" s="201">
        <f t="shared" si="394"/>
        <v>256917</v>
      </c>
      <c r="BC311" s="201">
        <v>193830</v>
      </c>
      <c r="BD311" s="223">
        <f>256917-BC311</f>
        <v>63087</v>
      </c>
      <c r="BE311" s="201">
        <f t="shared" si="370"/>
        <v>256917</v>
      </c>
      <c r="BF311" s="208"/>
      <c r="BG311" s="201">
        <f t="shared" si="366"/>
        <v>193830</v>
      </c>
      <c r="BH311" s="201">
        <f t="shared" si="366"/>
        <v>271747.40000000002</v>
      </c>
      <c r="BI311" s="201">
        <f t="shared" si="395"/>
        <v>465577.4</v>
      </c>
      <c r="BJ311" s="201">
        <f t="shared" si="396"/>
        <v>94.27888139643197</v>
      </c>
      <c r="BK311" s="201">
        <v>89</v>
      </c>
      <c r="BL311" s="224">
        <v>70</v>
      </c>
      <c r="BM311" s="211"/>
      <c r="BN311" s="211"/>
      <c r="BO311" s="212">
        <f t="shared" si="397"/>
        <v>193830</v>
      </c>
      <c r="BP311" s="201">
        <f t="shared" si="398"/>
        <v>91339.6</v>
      </c>
      <c r="BQ311" s="201">
        <f t="shared" si="371"/>
        <v>285169.59999999998</v>
      </c>
      <c r="BR311" s="201">
        <f t="shared" si="367"/>
        <v>193830</v>
      </c>
      <c r="BS311" s="201">
        <f t="shared" si="367"/>
        <v>91339.6</v>
      </c>
      <c r="BT311" s="201">
        <f t="shared" si="372"/>
        <v>285169.59999999998</v>
      </c>
      <c r="BU311" s="213">
        <f t="shared" si="369"/>
        <v>0</v>
      </c>
      <c r="BV311" s="201"/>
      <c r="BW311" s="201"/>
      <c r="BX311" s="201">
        <f t="shared" si="373"/>
        <v>0</v>
      </c>
      <c r="BY311" s="199">
        <v>35000</v>
      </c>
      <c r="BZ311" s="199">
        <v>150000</v>
      </c>
      <c r="CA311" s="199">
        <v>260000</v>
      </c>
      <c r="CB311" s="199">
        <v>55000</v>
      </c>
      <c r="CC311" s="199">
        <v>0</v>
      </c>
      <c r="CD311" s="199">
        <v>0</v>
      </c>
      <c r="CE311" s="199">
        <v>0</v>
      </c>
      <c r="CF311" s="199"/>
      <c r="CG311" s="199"/>
      <c r="CH311" s="199"/>
      <c r="CI311" s="199"/>
      <c r="CJ311" s="199"/>
      <c r="CK311" s="214" t="s">
        <v>855</v>
      </c>
      <c r="CL311" s="214" t="s">
        <v>610</v>
      </c>
      <c r="CM311" s="211">
        <v>198</v>
      </c>
      <c r="CN311" s="215"/>
      <c r="CO311" s="215"/>
      <c r="CP311" s="216"/>
      <c r="CQ311" s="217"/>
      <c r="CR311" s="211"/>
      <c r="CS311" s="218"/>
      <c r="CT311" s="218"/>
      <c r="CU311" s="218"/>
      <c r="CV311" s="211"/>
      <c r="CW311" s="211"/>
      <c r="CX311" s="211"/>
      <c r="CY311" s="211"/>
      <c r="CZ311" s="211"/>
      <c r="DA311" s="211"/>
      <c r="DB311" s="211"/>
      <c r="DC311" s="219"/>
      <c r="DD311" s="219"/>
      <c r="DE311" s="219"/>
      <c r="DF311" s="211"/>
      <c r="DG311" s="211"/>
      <c r="DH311" s="211"/>
      <c r="DI311" s="211"/>
      <c r="DJ311" s="211"/>
      <c r="DK311" s="220" t="s">
        <v>53</v>
      </c>
      <c r="DT311" s="222"/>
    </row>
    <row r="312" spans="1:124" s="176" customFormat="1" ht="42" x14ac:dyDescent="0.2">
      <c r="A312" s="195" t="s">
        <v>108</v>
      </c>
      <c r="B312" s="197" t="s">
        <v>856</v>
      </c>
      <c r="C312" s="198">
        <v>1</v>
      </c>
      <c r="D312" s="199">
        <v>990000</v>
      </c>
      <c r="E312" s="198" t="s">
        <v>288</v>
      </c>
      <c r="F312" s="198" t="s">
        <v>285</v>
      </c>
      <c r="G312" s="198" t="s">
        <v>98</v>
      </c>
      <c r="H312" s="200">
        <v>1</v>
      </c>
      <c r="I312" s="199">
        <f t="shared" si="374"/>
        <v>240000</v>
      </c>
      <c r="J312" s="199">
        <f t="shared" si="375"/>
        <v>750000</v>
      </c>
      <c r="K312" s="199">
        <f t="shared" si="376"/>
        <v>990000</v>
      </c>
      <c r="L312" s="199">
        <v>240000</v>
      </c>
      <c r="M312" s="199">
        <v>750000</v>
      </c>
      <c r="N312" s="199">
        <f t="shared" si="377"/>
        <v>990000</v>
      </c>
      <c r="O312" s="199"/>
      <c r="P312" s="201">
        <v>0</v>
      </c>
      <c r="Q312" s="202">
        <v>13</v>
      </c>
      <c r="R312" s="203">
        <v>45566</v>
      </c>
      <c r="S312" s="199"/>
      <c r="T312" s="199">
        <v>750000</v>
      </c>
      <c r="U312" s="204">
        <f t="shared" si="378"/>
        <v>750000</v>
      </c>
      <c r="V312" s="198">
        <v>1574</v>
      </c>
      <c r="W312" s="206">
        <v>45708</v>
      </c>
      <c r="X312" s="201">
        <v>232430</v>
      </c>
      <c r="Y312" s="201"/>
      <c r="Z312" s="201">
        <f t="shared" si="379"/>
        <v>232430</v>
      </c>
      <c r="AA312" s="198"/>
      <c r="AB312" s="206"/>
      <c r="AC312" s="207"/>
      <c r="AD312" s="201"/>
      <c r="AE312" s="204">
        <f t="shared" si="380"/>
        <v>0</v>
      </c>
      <c r="AF312" s="203">
        <f t="shared" si="381"/>
        <v>45566</v>
      </c>
      <c r="AG312" s="201">
        <f t="shared" si="382"/>
        <v>232430</v>
      </c>
      <c r="AH312" s="199">
        <f t="shared" si="383"/>
        <v>750000</v>
      </c>
      <c r="AI312" s="199">
        <f t="shared" si="384"/>
        <v>982430</v>
      </c>
      <c r="AJ312" s="201">
        <f t="shared" si="365"/>
        <v>232430</v>
      </c>
      <c r="AK312" s="201">
        <f t="shared" si="365"/>
        <v>750000</v>
      </c>
      <c r="AL312" s="201">
        <f t="shared" si="385"/>
        <v>982430</v>
      </c>
      <c r="AM312" s="198"/>
      <c r="AN312" s="203"/>
      <c r="AO312" s="208"/>
      <c r="AP312" s="201">
        <f t="shared" si="386"/>
        <v>0</v>
      </c>
      <c r="AQ312" s="201">
        <f t="shared" si="387"/>
        <v>506405.65</v>
      </c>
      <c r="AR312" s="201">
        <f t="shared" si="388"/>
        <v>506405.65</v>
      </c>
      <c r="AS312" s="201">
        <f t="shared" si="389"/>
        <v>51.546232301538026</v>
      </c>
      <c r="AT312" s="201"/>
      <c r="AU312" s="223">
        <v>506405.65</v>
      </c>
      <c r="AV312" s="201">
        <f t="shared" si="390"/>
        <v>506405.65</v>
      </c>
      <c r="AW312" s="322">
        <f t="shared" si="368"/>
        <v>0</v>
      </c>
      <c r="AX312" s="201">
        <f t="shared" si="391"/>
        <v>51.546232301538026</v>
      </c>
      <c r="AY312" s="208"/>
      <c r="AZ312" s="201">
        <f t="shared" si="392"/>
        <v>232430</v>
      </c>
      <c r="BA312" s="201">
        <f t="shared" si="393"/>
        <v>0</v>
      </c>
      <c r="BB312" s="201">
        <f t="shared" si="394"/>
        <v>232430</v>
      </c>
      <c r="BC312" s="201">
        <v>232430</v>
      </c>
      <c r="BD312" s="223"/>
      <c r="BE312" s="201">
        <f t="shared" si="370"/>
        <v>232430</v>
      </c>
      <c r="BF312" s="208"/>
      <c r="BG312" s="201">
        <f t="shared" si="366"/>
        <v>232430</v>
      </c>
      <c r="BH312" s="201">
        <f t="shared" si="366"/>
        <v>506405.65</v>
      </c>
      <c r="BI312" s="201">
        <f t="shared" si="395"/>
        <v>738835.65</v>
      </c>
      <c r="BJ312" s="201">
        <f t="shared" si="396"/>
        <v>75.204915362926627</v>
      </c>
      <c r="BK312" s="201">
        <v>89</v>
      </c>
      <c r="BL312" s="224">
        <v>70</v>
      </c>
      <c r="BM312" s="211"/>
      <c r="BN312" s="211"/>
      <c r="BO312" s="212">
        <f t="shared" si="397"/>
        <v>232430</v>
      </c>
      <c r="BP312" s="201">
        <f t="shared" si="398"/>
        <v>243594.34999999998</v>
      </c>
      <c r="BQ312" s="201">
        <f t="shared" si="371"/>
        <v>476024.35</v>
      </c>
      <c r="BR312" s="201">
        <f t="shared" si="367"/>
        <v>232430</v>
      </c>
      <c r="BS312" s="201">
        <f t="shared" si="367"/>
        <v>243594.34999999998</v>
      </c>
      <c r="BT312" s="201">
        <f t="shared" si="372"/>
        <v>476024.35</v>
      </c>
      <c r="BU312" s="213">
        <f t="shared" si="369"/>
        <v>0</v>
      </c>
      <c r="BV312" s="201"/>
      <c r="BW312" s="201"/>
      <c r="BX312" s="201">
        <f t="shared" si="373"/>
        <v>0</v>
      </c>
      <c r="BY312" s="199">
        <v>69300</v>
      </c>
      <c r="BZ312" s="199">
        <v>297000</v>
      </c>
      <c r="CA312" s="199">
        <v>514800</v>
      </c>
      <c r="CB312" s="199">
        <v>108900</v>
      </c>
      <c r="CC312" s="199">
        <v>0</v>
      </c>
      <c r="CD312" s="199">
        <v>0</v>
      </c>
      <c r="CE312" s="199">
        <v>0</v>
      </c>
      <c r="CF312" s="199"/>
      <c r="CG312" s="199"/>
      <c r="CH312" s="199"/>
      <c r="CI312" s="199"/>
      <c r="CJ312" s="199"/>
      <c r="CK312" s="214" t="s">
        <v>857</v>
      </c>
      <c r="CL312" s="214" t="s">
        <v>610</v>
      </c>
      <c r="CM312" s="211">
        <v>198</v>
      </c>
      <c r="CN312" s="215"/>
      <c r="CO312" s="215"/>
      <c r="CP312" s="216"/>
      <c r="CQ312" s="217"/>
      <c r="CR312" s="211"/>
      <c r="CS312" s="218"/>
      <c r="CT312" s="218"/>
      <c r="CU312" s="218"/>
      <c r="CV312" s="211"/>
      <c r="CW312" s="211"/>
      <c r="CX312" s="211"/>
      <c r="CY312" s="211"/>
      <c r="CZ312" s="211"/>
      <c r="DA312" s="211"/>
      <c r="DB312" s="211"/>
      <c r="DC312" s="219"/>
      <c r="DD312" s="219"/>
      <c r="DE312" s="219"/>
      <c r="DF312" s="211"/>
      <c r="DG312" s="211"/>
      <c r="DH312" s="211"/>
      <c r="DI312" s="211"/>
      <c r="DJ312" s="211"/>
      <c r="DK312" s="220" t="s">
        <v>53</v>
      </c>
      <c r="DT312" s="222"/>
    </row>
    <row r="313" spans="1:124" s="176" customFormat="1" ht="42" x14ac:dyDescent="0.2">
      <c r="A313" s="195" t="s">
        <v>108</v>
      </c>
      <c r="B313" s="197" t="s">
        <v>858</v>
      </c>
      <c r="C313" s="198">
        <v>1</v>
      </c>
      <c r="D313" s="199">
        <v>840000</v>
      </c>
      <c r="E313" s="198" t="s">
        <v>859</v>
      </c>
      <c r="F313" s="198" t="s">
        <v>311</v>
      </c>
      <c r="G313" s="198" t="s">
        <v>98</v>
      </c>
      <c r="H313" s="200">
        <v>1</v>
      </c>
      <c r="I313" s="199">
        <f t="shared" si="374"/>
        <v>0</v>
      </c>
      <c r="J313" s="199">
        <f t="shared" si="375"/>
        <v>840000</v>
      </c>
      <c r="K313" s="199">
        <f t="shared" si="376"/>
        <v>840000</v>
      </c>
      <c r="L313" s="199"/>
      <c r="M313" s="199">
        <v>840000</v>
      </c>
      <c r="N313" s="199">
        <f t="shared" si="377"/>
        <v>840000</v>
      </c>
      <c r="O313" s="199"/>
      <c r="P313" s="201">
        <v>0</v>
      </c>
      <c r="Q313" s="202">
        <v>14</v>
      </c>
      <c r="R313" s="203">
        <v>45566</v>
      </c>
      <c r="S313" s="199"/>
      <c r="T313" s="199">
        <v>840000</v>
      </c>
      <c r="U313" s="204">
        <f t="shared" si="378"/>
        <v>840000</v>
      </c>
      <c r="V313" s="198"/>
      <c r="W313" s="206"/>
      <c r="X313" s="201"/>
      <c r="Y313" s="201"/>
      <c r="Z313" s="201">
        <f t="shared" si="379"/>
        <v>0</v>
      </c>
      <c r="AA313" s="198"/>
      <c r="AB313" s="206"/>
      <c r="AC313" s="207"/>
      <c r="AD313" s="201"/>
      <c r="AE313" s="204">
        <f t="shared" si="380"/>
        <v>0</v>
      </c>
      <c r="AF313" s="203">
        <f t="shared" si="381"/>
        <v>45566</v>
      </c>
      <c r="AG313" s="201">
        <f t="shared" si="382"/>
        <v>0</v>
      </c>
      <c r="AH313" s="199">
        <f t="shared" si="383"/>
        <v>840000</v>
      </c>
      <c r="AI313" s="199">
        <f t="shared" si="384"/>
        <v>840000</v>
      </c>
      <c r="AJ313" s="201">
        <f t="shared" si="365"/>
        <v>0</v>
      </c>
      <c r="AK313" s="201">
        <f t="shared" si="365"/>
        <v>840000</v>
      </c>
      <c r="AL313" s="201">
        <f t="shared" si="385"/>
        <v>840000</v>
      </c>
      <c r="AM313" s="198"/>
      <c r="AN313" s="203"/>
      <c r="AO313" s="208"/>
      <c r="AP313" s="201">
        <f t="shared" si="386"/>
        <v>0</v>
      </c>
      <c r="AQ313" s="201">
        <f t="shared" si="387"/>
        <v>655880.42000000004</v>
      </c>
      <c r="AR313" s="201">
        <f t="shared" si="388"/>
        <v>655880.42000000004</v>
      </c>
      <c r="AS313" s="201">
        <f t="shared" si="389"/>
        <v>78.081002380952384</v>
      </c>
      <c r="AT313" s="201"/>
      <c r="AU313" s="223">
        <v>655880.42000000004</v>
      </c>
      <c r="AV313" s="201">
        <f t="shared" si="390"/>
        <v>655880.42000000004</v>
      </c>
      <c r="AW313" s="322">
        <f t="shared" si="368"/>
        <v>0</v>
      </c>
      <c r="AX313" s="201">
        <f t="shared" si="391"/>
        <v>78.081002380952384</v>
      </c>
      <c r="AY313" s="208"/>
      <c r="AZ313" s="201">
        <f t="shared" si="392"/>
        <v>0</v>
      </c>
      <c r="BA313" s="201">
        <f t="shared" si="393"/>
        <v>0</v>
      </c>
      <c r="BB313" s="201">
        <f t="shared" si="394"/>
        <v>0</v>
      </c>
      <c r="BC313" s="201"/>
      <c r="BD313" s="223">
        <v>0</v>
      </c>
      <c r="BE313" s="201">
        <f t="shared" si="370"/>
        <v>0</v>
      </c>
      <c r="BF313" s="208"/>
      <c r="BG313" s="201">
        <f t="shared" si="366"/>
        <v>0</v>
      </c>
      <c r="BH313" s="201">
        <f t="shared" si="366"/>
        <v>655880.42000000004</v>
      </c>
      <c r="BI313" s="201">
        <f t="shared" si="395"/>
        <v>655880.42000000004</v>
      </c>
      <c r="BJ313" s="201">
        <f t="shared" si="396"/>
        <v>78.081002380952384</v>
      </c>
      <c r="BK313" s="201">
        <v>89</v>
      </c>
      <c r="BL313" s="224">
        <v>70</v>
      </c>
      <c r="BM313" s="211"/>
      <c r="BN313" s="211"/>
      <c r="BO313" s="212">
        <f t="shared" si="397"/>
        <v>0</v>
      </c>
      <c r="BP313" s="201">
        <f t="shared" si="398"/>
        <v>184119.57999999996</v>
      </c>
      <c r="BQ313" s="201">
        <f t="shared" si="371"/>
        <v>184119.57999999996</v>
      </c>
      <c r="BR313" s="201">
        <f t="shared" si="367"/>
        <v>0</v>
      </c>
      <c r="BS313" s="201">
        <f t="shared" si="367"/>
        <v>184119.57999999996</v>
      </c>
      <c r="BT313" s="201">
        <f t="shared" si="372"/>
        <v>184119.57999999996</v>
      </c>
      <c r="BU313" s="213">
        <f t="shared" si="369"/>
        <v>0</v>
      </c>
      <c r="BV313" s="201"/>
      <c r="BW313" s="201"/>
      <c r="BX313" s="201">
        <f t="shared" si="373"/>
        <v>0</v>
      </c>
      <c r="BY313" s="199">
        <v>58800</v>
      </c>
      <c r="BZ313" s="199">
        <v>252000</v>
      </c>
      <c r="CA313" s="199">
        <v>436800</v>
      </c>
      <c r="CB313" s="199">
        <v>92400</v>
      </c>
      <c r="CC313" s="199">
        <v>0</v>
      </c>
      <c r="CD313" s="199">
        <v>0</v>
      </c>
      <c r="CE313" s="199">
        <v>0</v>
      </c>
      <c r="CF313" s="199"/>
      <c r="CG313" s="199"/>
      <c r="CH313" s="199"/>
      <c r="CI313" s="199"/>
      <c r="CJ313" s="199"/>
      <c r="CK313" s="214" t="s">
        <v>860</v>
      </c>
      <c r="CL313" s="214" t="s">
        <v>610</v>
      </c>
      <c r="CM313" s="211">
        <v>198</v>
      </c>
      <c r="CN313" s="215"/>
      <c r="CO313" s="215"/>
      <c r="CP313" s="216"/>
      <c r="CQ313" s="217"/>
      <c r="CR313" s="211"/>
      <c r="CS313" s="218"/>
      <c r="CT313" s="218"/>
      <c r="CU313" s="218"/>
      <c r="CV313" s="211"/>
      <c r="CW313" s="211"/>
      <c r="CX313" s="211"/>
      <c r="CY313" s="211"/>
      <c r="CZ313" s="211"/>
      <c r="DA313" s="211"/>
      <c r="DB313" s="211"/>
      <c r="DC313" s="219"/>
      <c r="DD313" s="219"/>
      <c r="DE313" s="219"/>
      <c r="DF313" s="211"/>
      <c r="DG313" s="211"/>
      <c r="DH313" s="211"/>
      <c r="DI313" s="211"/>
      <c r="DJ313" s="211"/>
      <c r="DK313" s="220" t="s">
        <v>32</v>
      </c>
      <c r="DT313" s="222"/>
    </row>
    <row r="314" spans="1:124" s="176" customFormat="1" ht="42" x14ac:dyDescent="0.2">
      <c r="A314" s="195" t="s">
        <v>108</v>
      </c>
      <c r="B314" s="197" t="s">
        <v>861</v>
      </c>
      <c r="C314" s="198">
        <v>1</v>
      </c>
      <c r="D314" s="199">
        <v>850000</v>
      </c>
      <c r="E314" s="198" t="s">
        <v>859</v>
      </c>
      <c r="F314" s="198" t="s">
        <v>311</v>
      </c>
      <c r="G314" s="198" t="s">
        <v>98</v>
      </c>
      <c r="H314" s="200">
        <v>1</v>
      </c>
      <c r="I314" s="199">
        <f t="shared" si="374"/>
        <v>0</v>
      </c>
      <c r="J314" s="199">
        <f t="shared" si="375"/>
        <v>850000</v>
      </c>
      <c r="K314" s="199">
        <f t="shared" si="376"/>
        <v>850000</v>
      </c>
      <c r="L314" s="199"/>
      <c r="M314" s="199">
        <v>850000</v>
      </c>
      <c r="N314" s="199">
        <f t="shared" si="377"/>
        <v>850000</v>
      </c>
      <c r="O314" s="199"/>
      <c r="P314" s="201">
        <v>0</v>
      </c>
      <c r="Q314" s="202">
        <v>14</v>
      </c>
      <c r="R314" s="203">
        <v>45566</v>
      </c>
      <c r="S314" s="199"/>
      <c r="T314" s="199">
        <v>850000</v>
      </c>
      <c r="U314" s="204">
        <f t="shared" si="378"/>
        <v>850000</v>
      </c>
      <c r="V314" s="198"/>
      <c r="W314" s="206"/>
      <c r="X314" s="201"/>
      <c r="Y314" s="201"/>
      <c r="Z314" s="201">
        <f t="shared" si="379"/>
        <v>0</v>
      </c>
      <c r="AA314" s="198"/>
      <c r="AB314" s="206"/>
      <c r="AC314" s="207"/>
      <c r="AD314" s="201"/>
      <c r="AE314" s="204">
        <f t="shared" si="380"/>
        <v>0</v>
      </c>
      <c r="AF314" s="203">
        <f t="shared" si="381"/>
        <v>45566</v>
      </c>
      <c r="AG314" s="201">
        <f t="shared" si="382"/>
        <v>0</v>
      </c>
      <c r="AH314" s="199">
        <f t="shared" si="383"/>
        <v>850000</v>
      </c>
      <c r="AI314" s="199">
        <f t="shared" si="384"/>
        <v>850000</v>
      </c>
      <c r="AJ314" s="201">
        <f t="shared" si="365"/>
        <v>0</v>
      </c>
      <c r="AK314" s="201">
        <f t="shared" si="365"/>
        <v>850000</v>
      </c>
      <c r="AL314" s="201">
        <f t="shared" si="385"/>
        <v>850000</v>
      </c>
      <c r="AM314" s="198"/>
      <c r="AN314" s="203"/>
      <c r="AO314" s="208"/>
      <c r="AP314" s="201">
        <f t="shared" si="386"/>
        <v>0</v>
      </c>
      <c r="AQ314" s="201">
        <f t="shared" si="387"/>
        <v>847477.36</v>
      </c>
      <c r="AR314" s="201">
        <f t="shared" si="388"/>
        <v>847477.36</v>
      </c>
      <c r="AS314" s="201">
        <f t="shared" si="389"/>
        <v>99.703218823529411</v>
      </c>
      <c r="AT314" s="201"/>
      <c r="AU314" s="223">
        <v>847477.36</v>
      </c>
      <c r="AV314" s="201">
        <f t="shared" si="390"/>
        <v>847477.36</v>
      </c>
      <c r="AW314" s="322">
        <f t="shared" si="368"/>
        <v>0</v>
      </c>
      <c r="AX314" s="201">
        <f t="shared" si="391"/>
        <v>99.703218823529411</v>
      </c>
      <c r="AY314" s="208"/>
      <c r="AZ314" s="201">
        <f t="shared" si="392"/>
        <v>0</v>
      </c>
      <c r="BA314" s="201">
        <f t="shared" si="393"/>
        <v>0</v>
      </c>
      <c r="BB314" s="201">
        <f t="shared" si="394"/>
        <v>0</v>
      </c>
      <c r="BC314" s="201"/>
      <c r="BD314" s="223">
        <v>0</v>
      </c>
      <c r="BE314" s="201">
        <f t="shared" si="370"/>
        <v>0</v>
      </c>
      <c r="BF314" s="208"/>
      <c r="BG314" s="201">
        <f t="shared" si="366"/>
        <v>0</v>
      </c>
      <c r="BH314" s="201">
        <f t="shared" si="366"/>
        <v>847477.36</v>
      </c>
      <c r="BI314" s="201">
        <f t="shared" si="395"/>
        <v>847477.36</v>
      </c>
      <c r="BJ314" s="201">
        <f t="shared" si="396"/>
        <v>99.703218823529411</v>
      </c>
      <c r="BK314" s="201">
        <v>89</v>
      </c>
      <c r="BL314" s="224">
        <v>100</v>
      </c>
      <c r="BM314" s="211"/>
      <c r="BN314" s="211"/>
      <c r="BO314" s="212">
        <f t="shared" si="397"/>
        <v>0</v>
      </c>
      <c r="BP314" s="201">
        <f t="shared" si="398"/>
        <v>2522.640000000014</v>
      </c>
      <c r="BQ314" s="201">
        <f t="shared" si="371"/>
        <v>2522.640000000014</v>
      </c>
      <c r="BR314" s="201">
        <f t="shared" si="367"/>
        <v>0</v>
      </c>
      <c r="BS314" s="201">
        <f t="shared" si="367"/>
        <v>2522.640000000014</v>
      </c>
      <c r="BT314" s="201">
        <f t="shared" si="372"/>
        <v>2522.640000000014</v>
      </c>
      <c r="BU314" s="213">
        <f t="shared" si="369"/>
        <v>0</v>
      </c>
      <c r="BV314" s="201"/>
      <c r="BW314" s="201"/>
      <c r="BX314" s="201">
        <f t="shared" si="373"/>
        <v>0</v>
      </c>
      <c r="BY314" s="199">
        <v>59500</v>
      </c>
      <c r="BZ314" s="199">
        <v>255000</v>
      </c>
      <c r="CA314" s="199">
        <v>442000</v>
      </c>
      <c r="CB314" s="199">
        <v>93500</v>
      </c>
      <c r="CC314" s="199">
        <v>0</v>
      </c>
      <c r="CD314" s="199">
        <v>0</v>
      </c>
      <c r="CE314" s="199">
        <v>0</v>
      </c>
      <c r="CF314" s="199"/>
      <c r="CG314" s="199"/>
      <c r="CH314" s="199"/>
      <c r="CI314" s="199"/>
      <c r="CJ314" s="199"/>
      <c r="CK314" s="214" t="s">
        <v>862</v>
      </c>
      <c r="CL314" s="214" t="s">
        <v>610</v>
      </c>
      <c r="CM314" s="211">
        <v>198</v>
      </c>
      <c r="CN314" s="215"/>
      <c r="CO314" s="215"/>
      <c r="CP314" s="216"/>
      <c r="CQ314" s="217"/>
      <c r="CR314" s="211"/>
      <c r="CS314" s="218"/>
      <c r="CT314" s="218"/>
      <c r="CU314" s="218"/>
      <c r="CV314" s="211"/>
      <c r="CW314" s="211"/>
      <c r="CX314" s="211"/>
      <c r="CY314" s="211"/>
      <c r="CZ314" s="211"/>
      <c r="DA314" s="211"/>
      <c r="DB314" s="211"/>
      <c r="DC314" s="219"/>
      <c r="DD314" s="219"/>
      <c r="DE314" s="219"/>
      <c r="DF314" s="211"/>
      <c r="DG314" s="211"/>
      <c r="DH314" s="211"/>
      <c r="DI314" s="211"/>
      <c r="DJ314" s="211"/>
      <c r="DK314" s="220" t="s">
        <v>32</v>
      </c>
      <c r="DT314" s="222"/>
    </row>
    <row r="315" spans="1:124" s="176" customFormat="1" ht="42" x14ac:dyDescent="0.2">
      <c r="A315" s="195" t="s">
        <v>108</v>
      </c>
      <c r="B315" s="197" t="s">
        <v>863</v>
      </c>
      <c r="C315" s="198">
        <v>1</v>
      </c>
      <c r="D315" s="199">
        <v>500000</v>
      </c>
      <c r="E315" s="198" t="s">
        <v>326</v>
      </c>
      <c r="F315" s="198" t="s">
        <v>327</v>
      </c>
      <c r="G315" s="198" t="s">
        <v>98</v>
      </c>
      <c r="H315" s="200">
        <v>1</v>
      </c>
      <c r="I315" s="199">
        <f t="shared" si="374"/>
        <v>0</v>
      </c>
      <c r="J315" s="199">
        <f t="shared" si="375"/>
        <v>500000</v>
      </c>
      <c r="K315" s="199">
        <f t="shared" si="376"/>
        <v>500000</v>
      </c>
      <c r="L315" s="199"/>
      <c r="M315" s="199">
        <v>500000</v>
      </c>
      <c r="N315" s="199">
        <f t="shared" si="377"/>
        <v>500000</v>
      </c>
      <c r="O315" s="199"/>
      <c r="P315" s="201">
        <v>0</v>
      </c>
      <c r="Q315" s="202">
        <v>14</v>
      </c>
      <c r="R315" s="203">
        <v>45566</v>
      </c>
      <c r="S315" s="199"/>
      <c r="T315" s="199">
        <v>500000</v>
      </c>
      <c r="U315" s="204">
        <f t="shared" si="378"/>
        <v>500000</v>
      </c>
      <c r="V315" s="198"/>
      <c r="W315" s="206"/>
      <c r="X315" s="201"/>
      <c r="Y315" s="201"/>
      <c r="Z315" s="201">
        <f t="shared" si="379"/>
        <v>0</v>
      </c>
      <c r="AA315" s="198"/>
      <c r="AB315" s="206"/>
      <c r="AC315" s="207"/>
      <c r="AD315" s="201"/>
      <c r="AE315" s="204">
        <f t="shared" si="380"/>
        <v>0</v>
      </c>
      <c r="AF315" s="203">
        <f t="shared" si="381"/>
        <v>45566</v>
      </c>
      <c r="AG315" s="201">
        <f t="shared" si="382"/>
        <v>0</v>
      </c>
      <c r="AH315" s="199">
        <f t="shared" si="383"/>
        <v>500000</v>
      </c>
      <c r="AI315" s="199">
        <f t="shared" si="384"/>
        <v>500000</v>
      </c>
      <c r="AJ315" s="201">
        <f t="shared" si="365"/>
        <v>0</v>
      </c>
      <c r="AK315" s="201">
        <f t="shared" si="365"/>
        <v>500000</v>
      </c>
      <c r="AL315" s="201">
        <f t="shared" si="385"/>
        <v>500000</v>
      </c>
      <c r="AM315" s="198"/>
      <c r="AN315" s="203"/>
      <c r="AO315" s="208"/>
      <c r="AP315" s="201">
        <f t="shared" si="386"/>
        <v>0</v>
      </c>
      <c r="AQ315" s="201">
        <f t="shared" si="387"/>
        <v>499423.85</v>
      </c>
      <c r="AR315" s="201">
        <f t="shared" si="388"/>
        <v>499423.85</v>
      </c>
      <c r="AS315" s="201">
        <f t="shared" si="389"/>
        <v>99.884770000000003</v>
      </c>
      <c r="AT315" s="201"/>
      <c r="AU315" s="223">
        <v>499423.85</v>
      </c>
      <c r="AV315" s="201">
        <f t="shared" si="390"/>
        <v>499423.85</v>
      </c>
      <c r="AW315" s="322">
        <f t="shared" si="368"/>
        <v>0</v>
      </c>
      <c r="AX315" s="201">
        <f t="shared" si="391"/>
        <v>99.884770000000003</v>
      </c>
      <c r="AY315" s="208"/>
      <c r="AZ315" s="201">
        <f t="shared" si="392"/>
        <v>0</v>
      </c>
      <c r="BA315" s="201">
        <f t="shared" si="393"/>
        <v>0</v>
      </c>
      <c r="BB315" s="201">
        <f t="shared" si="394"/>
        <v>0</v>
      </c>
      <c r="BC315" s="201"/>
      <c r="BD315" s="223">
        <v>0</v>
      </c>
      <c r="BE315" s="201">
        <f t="shared" si="370"/>
        <v>0</v>
      </c>
      <c r="BF315" s="208"/>
      <c r="BG315" s="201">
        <f t="shared" si="366"/>
        <v>0</v>
      </c>
      <c r="BH315" s="201">
        <f t="shared" si="366"/>
        <v>499423.85</v>
      </c>
      <c r="BI315" s="201">
        <f t="shared" si="395"/>
        <v>499423.85</v>
      </c>
      <c r="BJ315" s="201">
        <f t="shared" si="396"/>
        <v>99.884770000000003</v>
      </c>
      <c r="BK315" s="201">
        <v>89</v>
      </c>
      <c r="BL315" s="224">
        <v>100</v>
      </c>
      <c r="BM315" s="211"/>
      <c r="BN315" s="211"/>
      <c r="BO315" s="212">
        <f t="shared" si="397"/>
        <v>0</v>
      </c>
      <c r="BP315" s="201">
        <f t="shared" si="398"/>
        <v>576.15000000002328</v>
      </c>
      <c r="BQ315" s="201">
        <f t="shared" si="371"/>
        <v>576.15000000002328</v>
      </c>
      <c r="BR315" s="201">
        <f t="shared" si="367"/>
        <v>0</v>
      </c>
      <c r="BS315" s="201">
        <f t="shared" si="367"/>
        <v>576.15000000002328</v>
      </c>
      <c r="BT315" s="201">
        <f t="shared" si="372"/>
        <v>576.15000000002328</v>
      </c>
      <c r="BU315" s="213">
        <f t="shared" si="369"/>
        <v>0</v>
      </c>
      <c r="BV315" s="201"/>
      <c r="BW315" s="201"/>
      <c r="BX315" s="201">
        <f t="shared" si="373"/>
        <v>0</v>
      </c>
      <c r="BY315" s="199">
        <v>35000</v>
      </c>
      <c r="BZ315" s="199">
        <v>150000</v>
      </c>
      <c r="CA315" s="199">
        <v>260000</v>
      </c>
      <c r="CB315" s="199">
        <v>55000</v>
      </c>
      <c r="CC315" s="199">
        <v>0</v>
      </c>
      <c r="CD315" s="199">
        <v>0</v>
      </c>
      <c r="CE315" s="199">
        <v>0</v>
      </c>
      <c r="CF315" s="199"/>
      <c r="CG315" s="199"/>
      <c r="CH315" s="199"/>
      <c r="CI315" s="199"/>
      <c r="CJ315" s="199"/>
      <c r="CK315" s="214" t="s">
        <v>864</v>
      </c>
      <c r="CL315" s="214" t="s">
        <v>610</v>
      </c>
      <c r="CM315" s="211">
        <v>198</v>
      </c>
      <c r="CN315" s="215"/>
      <c r="CO315" s="215"/>
      <c r="CP315" s="216"/>
      <c r="CQ315" s="217"/>
      <c r="CR315" s="211"/>
      <c r="CS315" s="218"/>
      <c r="CT315" s="218"/>
      <c r="CU315" s="218"/>
      <c r="CV315" s="211"/>
      <c r="CW315" s="211"/>
      <c r="CX315" s="211"/>
      <c r="CY315" s="211"/>
      <c r="CZ315" s="211"/>
      <c r="DA315" s="211"/>
      <c r="DB315" s="211"/>
      <c r="DC315" s="219"/>
      <c r="DD315" s="219"/>
      <c r="DE315" s="219"/>
      <c r="DF315" s="211"/>
      <c r="DG315" s="211"/>
      <c r="DH315" s="211"/>
      <c r="DI315" s="211"/>
      <c r="DJ315" s="211"/>
      <c r="DK315" s="220" t="s">
        <v>32</v>
      </c>
      <c r="DT315" s="222"/>
    </row>
    <row r="316" spans="1:124" s="176" customFormat="1" ht="42" x14ac:dyDescent="0.2">
      <c r="A316" s="195" t="s">
        <v>108</v>
      </c>
      <c r="B316" s="197" t="s">
        <v>865</v>
      </c>
      <c r="C316" s="198">
        <v>1</v>
      </c>
      <c r="D316" s="199">
        <v>940000</v>
      </c>
      <c r="E316" s="198" t="s">
        <v>297</v>
      </c>
      <c r="F316" s="198" t="s">
        <v>285</v>
      </c>
      <c r="G316" s="198" t="s">
        <v>98</v>
      </c>
      <c r="H316" s="200">
        <v>1</v>
      </c>
      <c r="I316" s="199">
        <f t="shared" si="374"/>
        <v>0</v>
      </c>
      <c r="J316" s="199">
        <f t="shared" si="375"/>
        <v>940000</v>
      </c>
      <c r="K316" s="199">
        <f t="shared" si="376"/>
        <v>940000</v>
      </c>
      <c r="L316" s="199"/>
      <c r="M316" s="199">
        <v>940000</v>
      </c>
      <c r="N316" s="199">
        <f t="shared" si="377"/>
        <v>940000</v>
      </c>
      <c r="O316" s="199"/>
      <c r="P316" s="201">
        <v>0</v>
      </c>
      <c r="Q316" s="202">
        <v>14</v>
      </c>
      <c r="R316" s="203">
        <v>45566</v>
      </c>
      <c r="S316" s="199"/>
      <c r="T316" s="199">
        <v>940000</v>
      </c>
      <c r="U316" s="204">
        <f t="shared" si="378"/>
        <v>940000</v>
      </c>
      <c r="V316" s="198"/>
      <c r="W316" s="206"/>
      <c r="X316" s="201"/>
      <c r="Y316" s="201"/>
      <c r="Z316" s="201">
        <f t="shared" si="379"/>
        <v>0</v>
      </c>
      <c r="AA316" s="198"/>
      <c r="AB316" s="206"/>
      <c r="AC316" s="207"/>
      <c r="AD316" s="201"/>
      <c r="AE316" s="204">
        <f t="shared" si="380"/>
        <v>0</v>
      </c>
      <c r="AF316" s="203">
        <f t="shared" si="381"/>
        <v>45566</v>
      </c>
      <c r="AG316" s="201">
        <f t="shared" si="382"/>
        <v>0</v>
      </c>
      <c r="AH316" s="199">
        <f t="shared" si="383"/>
        <v>940000</v>
      </c>
      <c r="AI316" s="199">
        <f t="shared" si="384"/>
        <v>940000</v>
      </c>
      <c r="AJ316" s="201">
        <f t="shared" si="365"/>
        <v>0</v>
      </c>
      <c r="AK316" s="201">
        <f t="shared" si="365"/>
        <v>940000</v>
      </c>
      <c r="AL316" s="201">
        <f t="shared" si="385"/>
        <v>940000</v>
      </c>
      <c r="AM316" s="198"/>
      <c r="AN316" s="203"/>
      <c r="AO316" s="208"/>
      <c r="AP316" s="201">
        <f t="shared" si="386"/>
        <v>0</v>
      </c>
      <c r="AQ316" s="201">
        <f t="shared" si="387"/>
        <v>938796.96</v>
      </c>
      <c r="AR316" s="201">
        <f t="shared" si="388"/>
        <v>938796.96</v>
      </c>
      <c r="AS316" s="201">
        <f t="shared" si="389"/>
        <v>99.872017021276591</v>
      </c>
      <c r="AT316" s="201"/>
      <c r="AU316" s="223">
        <v>938796.96</v>
      </c>
      <c r="AV316" s="201">
        <f t="shared" si="390"/>
        <v>938796.96</v>
      </c>
      <c r="AW316" s="322">
        <f t="shared" si="368"/>
        <v>0</v>
      </c>
      <c r="AX316" s="201">
        <f t="shared" si="391"/>
        <v>99.872017021276591</v>
      </c>
      <c r="AY316" s="208"/>
      <c r="AZ316" s="201">
        <f t="shared" si="392"/>
        <v>0</v>
      </c>
      <c r="BA316" s="201">
        <f t="shared" si="393"/>
        <v>0</v>
      </c>
      <c r="BB316" s="201">
        <f t="shared" si="394"/>
        <v>0</v>
      </c>
      <c r="BC316" s="201"/>
      <c r="BD316" s="223">
        <v>0</v>
      </c>
      <c r="BE316" s="201">
        <f t="shared" si="370"/>
        <v>0</v>
      </c>
      <c r="BF316" s="208"/>
      <c r="BG316" s="201">
        <f t="shared" si="366"/>
        <v>0</v>
      </c>
      <c r="BH316" s="201">
        <f t="shared" si="366"/>
        <v>938796.96</v>
      </c>
      <c r="BI316" s="201">
        <f t="shared" si="395"/>
        <v>938796.96</v>
      </c>
      <c r="BJ316" s="201">
        <f t="shared" si="396"/>
        <v>99.872017021276591</v>
      </c>
      <c r="BK316" s="201">
        <v>89</v>
      </c>
      <c r="BL316" s="224">
        <v>100</v>
      </c>
      <c r="BM316" s="211"/>
      <c r="BN316" s="211"/>
      <c r="BO316" s="212">
        <f t="shared" si="397"/>
        <v>0</v>
      </c>
      <c r="BP316" s="201">
        <f t="shared" si="398"/>
        <v>1203.0400000000373</v>
      </c>
      <c r="BQ316" s="201">
        <f t="shared" si="371"/>
        <v>1203.0400000000373</v>
      </c>
      <c r="BR316" s="201">
        <f t="shared" si="367"/>
        <v>0</v>
      </c>
      <c r="BS316" s="201">
        <f t="shared" si="367"/>
        <v>1203.0400000000373</v>
      </c>
      <c r="BT316" s="201">
        <f t="shared" si="372"/>
        <v>1203.0400000000373</v>
      </c>
      <c r="BU316" s="213">
        <f t="shared" si="369"/>
        <v>0</v>
      </c>
      <c r="BV316" s="201"/>
      <c r="BW316" s="201"/>
      <c r="BX316" s="201">
        <f t="shared" si="373"/>
        <v>0</v>
      </c>
      <c r="BY316" s="199">
        <v>65800</v>
      </c>
      <c r="BZ316" s="199">
        <v>282000</v>
      </c>
      <c r="CA316" s="199">
        <v>488800</v>
      </c>
      <c r="CB316" s="199">
        <v>103400</v>
      </c>
      <c r="CC316" s="199">
        <v>0</v>
      </c>
      <c r="CD316" s="199">
        <v>0</v>
      </c>
      <c r="CE316" s="199">
        <v>0</v>
      </c>
      <c r="CF316" s="199"/>
      <c r="CG316" s="199"/>
      <c r="CH316" s="199"/>
      <c r="CI316" s="199"/>
      <c r="CJ316" s="199"/>
      <c r="CK316" s="214" t="s">
        <v>866</v>
      </c>
      <c r="CL316" s="214" t="s">
        <v>610</v>
      </c>
      <c r="CM316" s="211">
        <v>198</v>
      </c>
      <c r="CN316" s="215"/>
      <c r="CO316" s="215"/>
      <c r="CP316" s="216"/>
      <c r="CQ316" s="217"/>
      <c r="CR316" s="211"/>
      <c r="CS316" s="218"/>
      <c r="CT316" s="218"/>
      <c r="CU316" s="218"/>
      <c r="CV316" s="211"/>
      <c r="CW316" s="211"/>
      <c r="CX316" s="211"/>
      <c r="CY316" s="211"/>
      <c r="CZ316" s="211"/>
      <c r="DA316" s="211"/>
      <c r="DB316" s="211"/>
      <c r="DC316" s="219"/>
      <c r="DD316" s="219"/>
      <c r="DE316" s="219"/>
      <c r="DF316" s="211"/>
      <c r="DG316" s="211"/>
      <c r="DH316" s="211"/>
      <c r="DI316" s="211"/>
      <c r="DJ316" s="211"/>
      <c r="DK316" s="220" t="s">
        <v>32</v>
      </c>
      <c r="DT316" s="222"/>
    </row>
    <row r="317" spans="1:124" s="176" customFormat="1" ht="42" x14ac:dyDescent="0.2">
      <c r="A317" s="195" t="s">
        <v>108</v>
      </c>
      <c r="B317" s="197" t="s">
        <v>867</v>
      </c>
      <c r="C317" s="198">
        <v>1</v>
      </c>
      <c r="D317" s="199">
        <v>870000</v>
      </c>
      <c r="E317" s="198" t="s">
        <v>868</v>
      </c>
      <c r="F317" s="198" t="s">
        <v>230</v>
      </c>
      <c r="G317" s="198" t="s">
        <v>98</v>
      </c>
      <c r="H317" s="200">
        <v>1</v>
      </c>
      <c r="I317" s="199">
        <f t="shared" si="374"/>
        <v>0</v>
      </c>
      <c r="J317" s="199">
        <f t="shared" si="375"/>
        <v>870000</v>
      </c>
      <c r="K317" s="199">
        <f t="shared" si="376"/>
        <v>870000</v>
      </c>
      <c r="L317" s="199"/>
      <c r="M317" s="199">
        <v>870000</v>
      </c>
      <c r="N317" s="199">
        <f t="shared" si="377"/>
        <v>870000</v>
      </c>
      <c r="O317" s="199"/>
      <c r="P317" s="201">
        <v>0</v>
      </c>
      <c r="Q317" s="202">
        <v>14</v>
      </c>
      <c r="R317" s="203">
        <v>45566</v>
      </c>
      <c r="S317" s="199"/>
      <c r="T317" s="199">
        <v>870000</v>
      </c>
      <c r="U317" s="204">
        <f t="shared" si="378"/>
        <v>870000</v>
      </c>
      <c r="V317" s="198"/>
      <c r="W317" s="206"/>
      <c r="X317" s="201"/>
      <c r="Y317" s="201"/>
      <c r="Z317" s="201">
        <f t="shared" si="379"/>
        <v>0</v>
      </c>
      <c r="AA317" s="198"/>
      <c r="AB317" s="206"/>
      <c r="AC317" s="207"/>
      <c r="AD317" s="201"/>
      <c r="AE317" s="204">
        <f t="shared" si="380"/>
        <v>0</v>
      </c>
      <c r="AF317" s="203">
        <f t="shared" si="381"/>
        <v>45566</v>
      </c>
      <c r="AG317" s="201">
        <f t="shared" si="382"/>
        <v>0</v>
      </c>
      <c r="AH317" s="199">
        <f t="shared" si="383"/>
        <v>870000</v>
      </c>
      <c r="AI317" s="199">
        <f t="shared" si="384"/>
        <v>870000</v>
      </c>
      <c r="AJ317" s="201">
        <f t="shared" si="365"/>
        <v>0</v>
      </c>
      <c r="AK317" s="201">
        <f t="shared" si="365"/>
        <v>870000</v>
      </c>
      <c r="AL317" s="201">
        <f t="shared" si="385"/>
        <v>870000</v>
      </c>
      <c r="AM317" s="198"/>
      <c r="AN317" s="203"/>
      <c r="AO317" s="208"/>
      <c r="AP317" s="201">
        <f t="shared" si="386"/>
        <v>0</v>
      </c>
      <c r="AQ317" s="201">
        <f t="shared" si="387"/>
        <v>868424.67</v>
      </c>
      <c r="AR317" s="201">
        <f t="shared" si="388"/>
        <v>868424.67</v>
      </c>
      <c r="AS317" s="201">
        <f t="shared" si="389"/>
        <v>99.818927586206897</v>
      </c>
      <c r="AT317" s="201"/>
      <c r="AU317" s="223">
        <v>868424.67</v>
      </c>
      <c r="AV317" s="201">
        <f t="shared" si="390"/>
        <v>868424.67</v>
      </c>
      <c r="AW317" s="322">
        <f t="shared" si="368"/>
        <v>0</v>
      </c>
      <c r="AX317" s="201">
        <f t="shared" si="391"/>
        <v>99.818927586206897</v>
      </c>
      <c r="AY317" s="208"/>
      <c r="AZ317" s="201">
        <f t="shared" si="392"/>
        <v>0</v>
      </c>
      <c r="BA317" s="201">
        <f t="shared" si="393"/>
        <v>0</v>
      </c>
      <c r="BB317" s="201">
        <f t="shared" si="394"/>
        <v>0</v>
      </c>
      <c r="BC317" s="201"/>
      <c r="BD317" s="223">
        <v>0</v>
      </c>
      <c r="BE317" s="201">
        <f t="shared" si="370"/>
        <v>0</v>
      </c>
      <c r="BF317" s="208"/>
      <c r="BG317" s="201">
        <f t="shared" si="366"/>
        <v>0</v>
      </c>
      <c r="BH317" s="201">
        <f t="shared" si="366"/>
        <v>868424.67</v>
      </c>
      <c r="BI317" s="201">
        <f t="shared" si="395"/>
        <v>868424.67</v>
      </c>
      <c r="BJ317" s="201">
        <f t="shared" si="396"/>
        <v>99.818927586206897</v>
      </c>
      <c r="BK317" s="201">
        <v>89</v>
      </c>
      <c r="BL317" s="224">
        <v>100</v>
      </c>
      <c r="BM317" s="211"/>
      <c r="BN317" s="211"/>
      <c r="BO317" s="212">
        <f t="shared" si="397"/>
        <v>0</v>
      </c>
      <c r="BP317" s="201">
        <f t="shared" si="398"/>
        <v>1575.3299999999581</v>
      </c>
      <c r="BQ317" s="201">
        <f t="shared" si="371"/>
        <v>1575.3299999999581</v>
      </c>
      <c r="BR317" s="201">
        <f t="shared" si="367"/>
        <v>0</v>
      </c>
      <c r="BS317" s="201">
        <f t="shared" si="367"/>
        <v>1575.3299999999581</v>
      </c>
      <c r="BT317" s="201">
        <f t="shared" si="372"/>
        <v>1575.3299999999581</v>
      </c>
      <c r="BU317" s="213">
        <f t="shared" si="369"/>
        <v>0</v>
      </c>
      <c r="BV317" s="201"/>
      <c r="BW317" s="201"/>
      <c r="BX317" s="201">
        <f t="shared" si="373"/>
        <v>0</v>
      </c>
      <c r="BY317" s="199">
        <v>60900</v>
      </c>
      <c r="BZ317" s="199">
        <v>261000</v>
      </c>
      <c r="CA317" s="199">
        <v>452400</v>
      </c>
      <c r="CB317" s="199">
        <v>95700</v>
      </c>
      <c r="CC317" s="199">
        <v>0</v>
      </c>
      <c r="CD317" s="199">
        <v>0</v>
      </c>
      <c r="CE317" s="199">
        <v>0</v>
      </c>
      <c r="CF317" s="199"/>
      <c r="CG317" s="199"/>
      <c r="CH317" s="199"/>
      <c r="CI317" s="199"/>
      <c r="CJ317" s="199"/>
      <c r="CK317" s="214" t="s">
        <v>869</v>
      </c>
      <c r="CL317" s="214" t="s">
        <v>610</v>
      </c>
      <c r="CM317" s="211">
        <v>198</v>
      </c>
      <c r="CN317" s="215"/>
      <c r="CO317" s="215"/>
      <c r="CP317" s="216"/>
      <c r="CQ317" s="217"/>
      <c r="CR317" s="211"/>
      <c r="CS317" s="218"/>
      <c r="CT317" s="218"/>
      <c r="CU317" s="218"/>
      <c r="CV317" s="211"/>
      <c r="CW317" s="211"/>
      <c r="CX317" s="211"/>
      <c r="CY317" s="211"/>
      <c r="CZ317" s="211"/>
      <c r="DA317" s="211"/>
      <c r="DB317" s="211"/>
      <c r="DC317" s="219"/>
      <c r="DD317" s="219"/>
      <c r="DE317" s="219"/>
      <c r="DF317" s="211"/>
      <c r="DG317" s="211"/>
      <c r="DH317" s="211"/>
      <c r="DI317" s="211"/>
      <c r="DJ317" s="211"/>
      <c r="DK317" s="220" t="s">
        <v>32</v>
      </c>
      <c r="DT317" s="222"/>
    </row>
    <row r="318" spans="1:124" s="176" customFormat="1" ht="42" x14ac:dyDescent="0.2">
      <c r="A318" s="195" t="s">
        <v>108</v>
      </c>
      <c r="B318" s="197" t="s">
        <v>870</v>
      </c>
      <c r="C318" s="198">
        <v>1</v>
      </c>
      <c r="D318" s="199">
        <v>650000</v>
      </c>
      <c r="E318" s="198" t="s">
        <v>288</v>
      </c>
      <c r="F318" s="198" t="s">
        <v>285</v>
      </c>
      <c r="G318" s="198" t="s">
        <v>98</v>
      </c>
      <c r="H318" s="200">
        <v>1</v>
      </c>
      <c r="I318" s="199">
        <f t="shared" si="374"/>
        <v>0</v>
      </c>
      <c r="J318" s="199">
        <f t="shared" si="375"/>
        <v>650000</v>
      </c>
      <c r="K318" s="199">
        <f t="shared" si="376"/>
        <v>650000</v>
      </c>
      <c r="L318" s="199"/>
      <c r="M318" s="199">
        <v>650000</v>
      </c>
      <c r="N318" s="199">
        <f t="shared" si="377"/>
        <v>650000</v>
      </c>
      <c r="O318" s="199"/>
      <c r="P318" s="201">
        <v>0</v>
      </c>
      <c r="Q318" s="202">
        <v>14</v>
      </c>
      <c r="R318" s="203">
        <v>45566</v>
      </c>
      <c r="S318" s="199"/>
      <c r="T318" s="199">
        <v>650000</v>
      </c>
      <c r="U318" s="204">
        <f t="shared" si="378"/>
        <v>650000</v>
      </c>
      <c r="V318" s="198"/>
      <c r="W318" s="206"/>
      <c r="X318" s="201"/>
      <c r="Y318" s="201"/>
      <c r="Z318" s="201">
        <f t="shared" si="379"/>
        <v>0</v>
      </c>
      <c r="AA318" s="198"/>
      <c r="AB318" s="206"/>
      <c r="AC318" s="207"/>
      <c r="AD318" s="201"/>
      <c r="AE318" s="204">
        <f t="shared" si="380"/>
        <v>0</v>
      </c>
      <c r="AF318" s="203">
        <f t="shared" si="381"/>
        <v>45566</v>
      </c>
      <c r="AG318" s="201">
        <f t="shared" si="382"/>
        <v>0</v>
      </c>
      <c r="AH318" s="199">
        <f t="shared" si="383"/>
        <v>650000</v>
      </c>
      <c r="AI318" s="199">
        <f t="shared" si="384"/>
        <v>650000</v>
      </c>
      <c r="AJ318" s="201">
        <f t="shared" si="365"/>
        <v>0</v>
      </c>
      <c r="AK318" s="201">
        <f t="shared" si="365"/>
        <v>650000</v>
      </c>
      <c r="AL318" s="201">
        <f t="shared" si="385"/>
        <v>650000</v>
      </c>
      <c r="AM318" s="198"/>
      <c r="AN318" s="203"/>
      <c r="AO318" s="208"/>
      <c r="AP318" s="201">
        <f t="shared" si="386"/>
        <v>0</v>
      </c>
      <c r="AQ318" s="201">
        <f t="shared" si="387"/>
        <v>645857.9</v>
      </c>
      <c r="AR318" s="201">
        <f t="shared" si="388"/>
        <v>645857.9</v>
      </c>
      <c r="AS318" s="201">
        <f t="shared" si="389"/>
        <v>99.362753846153851</v>
      </c>
      <c r="AT318" s="201"/>
      <c r="AU318" s="223">
        <v>645857.9</v>
      </c>
      <c r="AV318" s="201">
        <f t="shared" si="390"/>
        <v>645857.9</v>
      </c>
      <c r="AW318" s="201">
        <f t="shared" si="368"/>
        <v>0</v>
      </c>
      <c r="AX318" s="201">
        <f t="shared" si="391"/>
        <v>99.362753846153851</v>
      </c>
      <c r="AY318" s="208"/>
      <c r="AZ318" s="201">
        <f t="shared" si="392"/>
        <v>0</v>
      </c>
      <c r="BA318" s="201">
        <f t="shared" si="393"/>
        <v>0</v>
      </c>
      <c r="BB318" s="201">
        <f t="shared" si="394"/>
        <v>0</v>
      </c>
      <c r="BC318" s="201"/>
      <c r="BD318" s="209">
        <v>0</v>
      </c>
      <c r="BE318" s="201">
        <f t="shared" si="370"/>
        <v>0</v>
      </c>
      <c r="BF318" s="208"/>
      <c r="BG318" s="201">
        <f t="shared" si="366"/>
        <v>0</v>
      </c>
      <c r="BH318" s="201">
        <f t="shared" si="366"/>
        <v>645857.9</v>
      </c>
      <c r="BI318" s="201">
        <f t="shared" si="395"/>
        <v>645857.9</v>
      </c>
      <c r="BJ318" s="201">
        <f t="shared" si="396"/>
        <v>99.362753846153851</v>
      </c>
      <c r="BK318" s="201">
        <v>89</v>
      </c>
      <c r="BL318" s="224">
        <v>100</v>
      </c>
      <c r="BM318" s="211"/>
      <c r="BN318" s="211"/>
      <c r="BO318" s="212">
        <f t="shared" si="397"/>
        <v>0</v>
      </c>
      <c r="BP318" s="201">
        <f t="shared" si="398"/>
        <v>4142.0999999999767</v>
      </c>
      <c r="BQ318" s="201">
        <f t="shared" si="371"/>
        <v>4142.0999999999767</v>
      </c>
      <c r="BR318" s="201">
        <f t="shared" si="367"/>
        <v>0</v>
      </c>
      <c r="BS318" s="201">
        <f t="shared" si="367"/>
        <v>4142.0999999999767</v>
      </c>
      <c r="BT318" s="201">
        <f t="shared" si="372"/>
        <v>4142.0999999999767</v>
      </c>
      <c r="BU318" s="213">
        <f t="shared" si="369"/>
        <v>0</v>
      </c>
      <c r="BV318" s="201"/>
      <c r="BW318" s="201"/>
      <c r="BX318" s="201">
        <f t="shared" si="373"/>
        <v>0</v>
      </c>
      <c r="BY318" s="199">
        <v>45500</v>
      </c>
      <c r="BZ318" s="199">
        <v>195000</v>
      </c>
      <c r="CA318" s="199">
        <v>338000</v>
      </c>
      <c r="CB318" s="199">
        <v>71500</v>
      </c>
      <c r="CC318" s="199">
        <v>0</v>
      </c>
      <c r="CD318" s="199">
        <v>0</v>
      </c>
      <c r="CE318" s="199">
        <v>0</v>
      </c>
      <c r="CF318" s="199"/>
      <c r="CG318" s="199"/>
      <c r="CH318" s="199"/>
      <c r="CI318" s="199"/>
      <c r="CJ318" s="199"/>
      <c r="CK318" s="214" t="s">
        <v>871</v>
      </c>
      <c r="CL318" s="214" t="s">
        <v>610</v>
      </c>
      <c r="CM318" s="211">
        <v>198</v>
      </c>
      <c r="CN318" s="215"/>
      <c r="CO318" s="215"/>
      <c r="CP318" s="216"/>
      <c r="CQ318" s="217"/>
      <c r="CR318" s="211"/>
      <c r="CS318" s="218"/>
      <c r="CT318" s="218"/>
      <c r="CU318" s="218"/>
      <c r="CV318" s="211"/>
      <c r="CW318" s="211"/>
      <c r="CX318" s="211"/>
      <c r="CY318" s="211"/>
      <c r="CZ318" s="211"/>
      <c r="DA318" s="211"/>
      <c r="DB318" s="211"/>
      <c r="DC318" s="219"/>
      <c r="DD318" s="219"/>
      <c r="DE318" s="219"/>
      <c r="DF318" s="211"/>
      <c r="DG318" s="211"/>
      <c r="DH318" s="211"/>
      <c r="DI318" s="211"/>
      <c r="DJ318" s="211"/>
      <c r="DK318" s="220" t="s">
        <v>32</v>
      </c>
      <c r="DT318" s="222"/>
    </row>
    <row r="319" spans="1:124" s="176" customFormat="1" ht="42" x14ac:dyDescent="0.2">
      <c r="A319" s="195" t="s">
        <v>108</v>
      </c>
      <c r="B319" s="197" t="s">
        <v>872</v>
      </c>
      <c r="C319" s="198">
        <v>1</v>
      </c>
      <c r="D319" s="199">
        <v>500000</v>
      </c>
      <c r="E319" s="198" t="s">
        <v>233</v>
      </c>
      <c r="F319" s="198" t="s">
        <v>234</v>
      </c>
      <c r="G319" s="198" t="s">
        <v>98</v>
      </c>
      <c r="H319" s="200">
        <v>1</v>
      </c>
      <c r="I319" s="199">
        <f t="shared" si="374"/>
        <v>420000</v>
      </c>
      <c r="J319" s="199">
        <f t="shared" si="375"/>
        <v>80000</v>
      </c>
      <c r="K319" s="199">
        <f t="shared" si="376"/>
        <v>500000</v>
      </c>
      <c r="L319" s="199">
        <v>420000</v>
      </c>
      <c r="M319" s="199">
        <v>80000</v>
      </c>
      <c r="N319" s="199">
        <f t="shared" si="377"/>
        <v>500000</v>
      </c>
      <c r="O319" s="199"/>
      <c r="P319" s="201">
        <v>0</v>
      </c>
      <c r="Q319" s="202">
        <v>13</v>
      </c>
      <c r="R319" s="203">
        <v>45566</v>
      </c>
      <c r="S319" s="199"/>
      <c r="T319" s="199">
        <v>80000</v>
      </c>
      <c r="U319" s="204">
        <f t="shared" si="378"/>
        <v>80000</v>
      </c>
      <c r="V319" s="198">
        <v>1552</v>
      </c>
      <c r="W319" s="206">
        <v>45707</v>
      </c>
      <c r="X319" s="201">
        <v>406875</v>
      </c>
      <c r="Y319" s="201"/>
      <c r="Z319" s="201">
        <f t="shared" si="379"/>
        <v>406875</v>
      </c>
      <c r="AA319" s="198"/>
      <c r="AB319" s="206"/>
      <c r="AC319" s="207"/>
      <c r="AD319" s="201"/>
      <c r="AE319" s="204">
        <f t="shared" si="380"/>
        <v>0</v>
      </c>
      <c r="AF319" s="203">
        <f t="shared" si="381"/>
        <v>45566</v>
      </c>
      <c r="AG319" s="201">
        <f t="shared" si="382"/>
        <v>406875</v>
      </c>
      <c r="AH319" s="199">
        <f t="shared" si="383"/>
        <v>80000</v>
      </c>
      <c r="AI319" s="199">
        <f t="shared" si="384"/>
        <v>486875</v>
      </c>
      <c r="AJ319" s="201">
        <f t="shared" si="365"/>
        <v>406875</v>
      </c>
      <c r="AK319" s="201">
        <f t="shared" si="365"/>
        <v>80000</v>
      </c>
      <c r="AL319" s="201">
        <f t="shared" si="385"/>
        <v>486875</v>
      </c>
      <c r="AM319" s="198"/>
      <c r="AN319" s="203"/>
      <c r="AO319" s="208"/>
      <c r="AP319" s="201">
        <f t="shared" si="386"/>
        <v>0</v>
      </c>
      <c r="AQ319" s="201">
        <f t="shared" si="387"/>
        <v>66964.62</v>
      </c>
      <c r="AR319" s="201">
        <f t="shared" si="388"/>
        <v>66964.62</v>
      </c>
      <c r="AS319" s="201">
        <f t="shared" si="389"/>
        <v>13.753965596919127</v>
      </c>
      <c r="AT319" s="201"/>
      <c r="AU319" s="223">
        <v>66964.62</v>
      </c>
      <c r="AV319" s="201">
        <f t="shared" si="390"/>
        <v>66964.62</v>
      </c>
      <c r="AW319" s="201">
        <f t="shared" si="368"/>
        <v>0</v>
      </c>
      <c r="AX319" s="201">
        <f t="shared" si="391"/>
        <v>13.753965596919127</v>
      </c>
      <c r="AY319" s="208"/>
      <c r="AZ319" s="201">
        <f t="shared" si="392"/>
        <v>0</v>
      </c>
      <c r="BA319" s="201">
        <f t="shared" si="393"/>
        <v>406875</v>
      </c>
      <c r="BB319" s="201">
        <f t="shared" si="394"/>
        <v>406875</v>
      </c>
      <c r="BC319" s="201"/>
      <c r="BD319" s="209">
        <v>406875</v>
      </c>
      <c r="BE319" s="201">
        <f t="shared" si="370"/>
        <v>406875</v>
      </c>
      <c r="BF319" s="208"/>
      <c r="BG319" s="201">
        <f t="shared" si="366"/>
        <v>0</v>
      </c>
      <c r="BH319" s="201">
        <f t="shared" si="366"/>
        <v>473839.62</v>
      </c>
      <c r="BI319" s="201">
        <f t="shared" si="395"/>
        <v>473839.62</v>
      </c>
      <c r="BJ319" s="201">
        <f t="shared" si="396"/>
        <v>97.322643388960202</v>
      </c>
      <c r="BK319" s="201">
        <v>89</v>
      </c>
      <c r="BL319" s="224">
        <v>10</v>
      </c>
      <c r="BM319" s="211"/>
      <c r="BN319" s="211"/>
      <c r="BO319" s="212">
        <f t="shared" si="397"/>
        <v>406875</v>
      </c>
      <c r="BP319" s="201">
        <f t="shared" si="398"/>
        <v>13035.380000000005</v>
      </c>
      <c r="BQ319" s="201">
        <f t="shared" si="371"/>
        <v>419910.38</v>
      </c>
      <c r="BR319" s="201">
        <f t="shared" si="367"/>
        <v>406875</v>
      </c>
      <c r="BS319" s="201">
        <f t="shared" si="367"/>
        <v>13035.380000000005</v>
      </c>
      <c r="BT319" s="201">
        <f t="shared" si="372"/>
        <v>419910.38</v>
      </c>
      <c r="BU319" s="213">
        <f t="shared" si="369"/>
        <v>0</v>
      </c>
      <c r="BV319" s="201"/>
      <c r="BW319" s="201"/>
      <c r="BX319" s="201">
        <f t="shared" si="373"/>
        <v>0</v>
      </c>
      <c r="BY319" s="199">
        <v>35000</v>
      </c>
      <c r="BZ319" s="199">
        <v>150000</v>
      </c>
      <c r="CA319" s="199">
        <v>260000</v>
      </c>
      <c r="CB319" s="199">
        <v>55000</v>
      </c>
      <c r="CC319" s="199">
        <v>0</v>
      </c>
      <c r="CD319" s="199">
        <v>0</v>
      </c>
      <c r="CE319" s="199">
        <v>0</v>
      </c>
      <c r="CF319" s="199"/>
      <c r="CG319" s="199"/>
      <c r="CH319" s="199"/>
      <c r="CI319" s="199"/>
      <c r="CJ319" s="199"/>
      <c r="CK319" s="214" t="s">
        <v>873</v>
      </c>
      <c r="CL319" s="214" t="s">
        <v>610</v>
      </c>
      <c r="CM319" s="211">
        <v>198</v>
      </c>
      <c r="CN319" s="215"/>
      <c r="CO319" s="215"/>
      <c r="CP319" s="216"/>
      <c r="CQ319" s="217"/>
      <c r="CR319" s="211"/>
      <c r="CS319" s="218"/>
      <c r="CT319" s="218"/>
      <c r="CU319" s="218"/>
      <c r="CV319" s="211"/>
      <c r="CW319" s="211"/>
      <c r="CX319" s="211"/>
      <c r="CY319" s="211"/>
      <c r="CZ319" s="211"/>
      <c r="DA319" s="211"/>
      <c r="DB319" s="211"/>
      <c r="DC319" s="219"/>
      <c r="DD319" s="219"/>
      <c r="DE319" s="219"/>
      <c r="DF319" s="211"/>
      <c r="DG319" s="211"/>
      <c r="DH319" s="211"/>
      <c r="DI319" s="211"/>
      <c r="DJ319" s="211"/>
      <c r="DK319" s="220" t="s">
        <v>53</v>
      </c>
      <c r="DT319" s="222"/>
    </row>
    <row r="320" spans="1:124" s="176" customFormat="1" ht="42" x14ac:dyDescent="0.2">
      <c r="A320" s="195" t="s">
        <v>108</v>
      </c>
      <c r="B320" s="197" t="s">
        <v>874</v>
      </c>
      <c r="C320" s="198">
        <v>1</v>
      </c>
      <c r="D320" s="199">
        <v>600000</v>
      </c>
      <c r="E320" s="198" t="s">
        <v>278</v>
      </c>
      <c r="F320" s="198" t="s">
        <v>327</v>
      </c>
      <c r="G320" s="198" t="s">
        <v>98</v>
      </c>
      <c r="H320" s="200">
        <v>1</v>
      </c>
      <c r="I320" s="199">
        <f t="shared" si="374"/>
        <v>0</v>
      </c>
      <c r="J320" s="199">
        <f t="shared" si="375"/>
        <v>600000</v>
      </c>
      <c r="K320" s="199">
        <f t="shared" si="376"/>
        <v>600000</v>
      </c>
      <c r="L320" s="199"/>
      <c r="M320" s="199">
        <v>600000</v>
      </c>
      <c r="N320" s="199">
        <f t="shared" si="377"/>
        <v>600000</v>
      </c>
      <c r="O320" s="199"/>
      <c r="P320" s="201">
        <v>0</v>
      </c>
      <c r="Q320" s="202">
        <v>14</v>
      </c>
      <c r="R320" s="203">
        <v>45566</v>
      </c>
      <c r="S320" s="199"/>
      <c r="T320" s="199">
        <v>600000</v>
      </c>
      <c r="U320" s="204">
        <f t="shared" si="378"/>
        <v>600000</v>
      </c>
      <c r="V320" s="198"/>
      <c r="W320" s="206"/>
      <c r="X320" s="201"/>
      <c r="Y320" s="201"/>
      <c r="Z320" s="201">
        <f t="shared" si="379"/>
        <v>0</v>
      </c>
      <c r="AA320" s="198"/>
      <c r="AB320" s="206"/>
      <c r="AC320" s="207"/>
      <c r="AD320" s="201"/>
      <c r="AE320" s="204">
        <f t="shared" si="380"/>
        <v>0</v>
      </c>
      <c r="AF320" s="203">
        <f t="shared" si="381"/>
        <v>45566</v>
      </c>
      <c r="AG320" s="201">
        <f t="shared" si="382"/>
        <v>0</v>
      </c>
      <c r="AH320" s="199">
        <f t="shared" si="383"/>
        <v>600000</v>
      </c>
      <c r="AI320" s="199">
        <f t="shared" si="384"/>
        <v>600000</v>
      </c>
      <c r="AJ320" s="201">
        <f t="shared" si="365"/>
        <v>0</v>
      </c>
      <c r="AK320" s="201">
        <f t="shared" si="365"/>
        <v>600000</v>
      </c>
      <c r="AL320" s="201">
        <f t="shared" si="385"/>
        <v>600000</v>
      </c>
      <c r="AM320" s="198"/>
      <c r="AN320" s="203"/>
      <c r="AO320" s="208"/>
      <c r="AP320" s="201">
        <f t="shared" si="386"/>
        <v>0</v>
      </c>
      <c r="AQ320" s="201">
        <f t="shared" si="387"/>
        <v>599404.80000000005</v>
      </c>
      <c r="AR320" s="201">
        <f t="shared" si="388"/>
        <v>599404.80000000005</v>
      </c>
      <c r="AS320" s="201">
        <f t="shared" si="389"/>
        <v>99.900800000000018</v>
      </c>
      <c r="AT320" s="201"/>
      <c r="AU320" s="223">
        <v>599404.80000000005</v>
      </c>
      <c r="AV320" s="201">
        <f t="shared" si="390"/>
        <v>599404.80000000005</v>
      </c>
      <c r="AW320" s="201">
        <f t="shared" si="368"/>
        <v>0</v>
      </c>
      <c r="AX320" s="201">
        <f t="shared" si="391"/>
        <v>99.900800000000018</v>
      </c>
      <c r="AY320" s="208"/>
      <c r="AZ320" s="201">
        <f t="shared" si="392"/>
        <v>0</v>
      </c>
      <c r="BA320" s="201">
        <f t="shared" si="393"/>
        <v>0</v>
      </c>
      <c r="BB320" s="201">
        <f t="shared" si="394"/>
        <v>0</v>
      </c>
      <c r="BC320" s="201"/>
      <c r="BD320" s="209">
        <v>0</v>
      </c>
      <c r="BE320" s="201">
        <f t="shared" si="370"/>
        <v>0</v>
      </c>
      <c r="BF320" s="208"/>
      <c r="BG320" s="201">
        <f t="shared" si="366"/>
        <v>0</v>
      </c>
      <c r="BH320" s="201">
        <f t="shared" si="366"/>
        <v>599404.80000000005</v>
      </c>
      <c r="BI320" s="201">
        <f t="shared" si="395"/>
        <v>599404.80000000005</v>
      </c>
      <c r="BJ320" s="201">
        <f t="shared" si="396"/>
        <v>99.900800000000018</v>
      </c>
      <c r="BK320" s="201">
        <v>89</v>
      </c>
      <c r="BL320" s="224">
        <v>70</v>
      </c>
      <c r="BM320" s="211"/>
      <c r="BN320" s="211"/>
      <c r="BO320" s="212">
        <f t="shared" si="397"/>
        <v>0</v>
      </c>
      <c r="BP320" s="201">
        <f t="shared" si="398"/>
        <v>595.19999999995343</v>
      </c>
      <c r="BQ320" s="201">
        <f t="shared" si="371"/>
        <v>595.19999999995343</v>
      </c>
      <c r="BR320" s="201">
        <f t="shared" si="367"/>
        <v>0</v>
      </c>
      <c r="BS320" s="201">
        <f t="shared" si="367"/>
        <v>595.19999999995343</v>
      </c>
      <c r="BT320" s="201">
        <f t="shared" si="372"/>
        <v>595.19999999995343</v>
      </c>
      <c r="BU320" s="213">
        <f t="shared" si="369"/>
        <v>0</v>
      </c>
      <c r="BV320" s="201"/>
      <c r="BW320" s="201"/>
      <c r="BX320" s="201">
        <f t="shared" si="373"/>
        <v>0</v>
      </c>
      <c r="BY320" s="199">
        <v>42000</v>
      </c>
      <c r="BZ320" s="199">
        <v>180000</v>
      </c>
      <c r="CA320" s="199">
        <v>312000</v>
      </c>
      <c r="CB320" s="199">
        <v>66000</v>
      </c>
      <c r="CC320" s="199">
        <v>0</v>
      </c>
      <c r="CD320" s="199">
        <v>0</v>
      </c>
      <c r="CE320" s="199">
        <v>0</v>
      </c>
      <c r="CF320" s="199"/>
      <c r="CG320" s="199"/>
      <c r="CH320" s="199"/>
      <c r="CI320" s="199"/>
      <c r="CJ320" s="199"/>
      <c r="CK320" s="214" t="s">
        <v>875</v>
      </c>
      <c r="CL320" s="214" t="s">
        <v>610</v>
      </c>
      <c r="CM320" s="211">
        <v>198</v>
      </c>
      <c r="CN320" s="215"/>
      <c r="CO320" s="215"/>
      <c r="CP320" s="216"/>
      <c r="CQ320" s="217"/>
      <c r="CR320" s="211"/>
      <c r="CS320" s="218"/>
      <c r="CT320" s="218"/>
      <c r="CU320" s="218"/>
      <c r="CV320" s="211"/>
      <c r="CW320" s="211"/>
      <c r="CX320" s="211"/>
      <c r="CY320" s="211"/>
      <c r="CZ320" s="211"/>
      <c r="DA320" s="211"/>
      <c r="DB320" s="211"/>
      <c r="DC320" s="219"/>
      <c r="DD320" s="219"/>
      <c r="DE320" s="219"/>
      <c r="DF320" s="211"/>
      <c r="DG320" s="211"/>
      <c r="DH320" s="211"/>
      <c r="DI320" s="211"/>
      <c r="DJ320" s="211"/>
      <c r="DK320" s="220" t="s">
        <v>32</v>
      </c>
      <c r="DT320" s="222"/>
    </row>
    <row r="321" spans="1:124" s="176" customFormat="1" ht="42" x14ac:dyDescent="0.2">
      <c r="A321" s="195" t="s">
        <v>108</v>
      </c>
      <c r="B321" s="197" t="s">
        <v>876</v>
      </c>
      <c r="C321" s="198">
        <v>1</v>
      </c>
      <c r="D321" s="199">
        <v>600000</v>
      </c>
      <c r="E321" s="198" t="s">
        <v>636</v>
      </c>
      <c r="F321" s="198" t="s">
        <v>238</v>
      </c>
      <c r="G321" s="198" t="s">
        <v>98</v>
      </c>
      <c r="H321" s="200">
        <v>1</v>
      </c>
      <c r="I321" s="199">
        <f t="shared" si="374"/>
        <v>0</v>
      </c>
      <c r="J321" s="199">
        <f t="shared" si="375"/>
        <v>600000</v>
      </c>
      <c r="K321" s="199">
        <f t="shared" si="376"/>
        <v>600000</v>
      </c>
      <c r="L321" s="199"/>
      <c r="M321" s="199">
        <v>600000</v>
      </c>
      <c r="N321" s="199">
        <f t="shared" si="377"/>
        <v>600000</v>
      </c>
      <c r="O321" s="199"/>
      <c r="P321" s="201">
        <v>0</v>
      </c>
      <c r="Q321" s="202">
        <v>14</v>
      </c>
      <c r="R321" s="203">
        <v>45566</v>
      </c>
      <c r="S321" s="199"/>
      <c r="T321" s="199">
        <v>600000</v>
      </c>
      <c r="U321" s="204">
        <f t="shared" si="378"/>
        <v>600000</v>
      </c>
      <c r="V321" s="198"/>
      <c r="W321" s="206"/>
      <c r="X321" s="201"/>
      <c r="Y321" s="201"/>
      <c r="Z321" s="201">
        <f t="shared" si="379"/>
        <v>0</v>
      </c>
      <c r="AA321" s="198"/>
      <c r="AB321" s="206"/>
      <c r="AC321" s="207"/>
      <c r="AD321" s="201"/>
      <c r="AE321" s="204">
        <f t="shared" si="380"/>
        <v>0</v>
      </c>
      <c r="AF321" s="203">
        <f t="shared" si="381"/>
        <v>45566</v>
      </c>
      <c r="AG321" s="201">
        <f t="shared" si="382"/>
        <v>0</v>
      </c>
      <c r="AH321" s="199">
        <f t="shared" si="383"/>
        <v>600000</v>
      </c>
      <c r="AI321" s="199">
        <f t="shared" si="384"/>
        <v>600000</v>
      </c>
      <c r="AJ321" s="201">
        <f t="shared" si="365"/>
        <v>0</v>
      </c>
      <c r="AK321" s="201">
        <f t="shared" si="365"/>
        <v>600000</v>
      </c>
      <c r="AL321" s="201">
        <f t="shared" si="385"/>
        <v>600000</v>
      </c>
      <c r="AM321" s="198"/>
      <c r="AN321" s="203"/>
      <c r="AO321" s="208"/>
      <c r="AP321" s="201">
        <f t="shared" si="386"/>
        <v>0</v>
      </c>
      <c r="AQ321" s="201">
        <f t="shared" si="387"/>
        <v>598869.29</v>
      </c>
      <c r="AR321" s="201">
        <f t="shared" si="388"/>
        <v>598869.29</v>
      </c>
      <c r="AS321" s="201">
        <f t="shared" si="389"/>
        <v>99.811548333333334</v>
      </c>
      <c r="AT321" s="201"/>
      <c r="AU321" s="223">
        <v>598869.29</v>
      </c>
      <c r="AV321" s="201">
        <f t="shared" si="390"/>
        <v>598869.29</v>
      </c>
      <c r="AW321" s="201">
        <f t="shared" si="368"/>
        <v>0</v>
      </c>
      <c r="AX321" s="201">
        <f t="shared" si="391"/>
        <v>99.811548333333334</v>
      </c>
      <c r="AY321" s="208"/>
      <c r="AZ321" s="201">
        <f t="shared" si="392"/>
        <v>0</v>
      </c>
      <c r="BA321" s="201">
        <f t="shared" si="393"/>
        <v>0</v>
      </c>
      <c r="BB321" s="201">
        <f t="shared" si="394"/>
        <v>0</v>
      </c>
      <c r="BC321" s="201"/>
      <c r="BD321" s="209">
        <v>0</v>
      </c>
      <c r="BE321" s="201">
        <f t="shared" si="370"/>
        <v>0</v>
      </c>
      <c r="BF321" s="208"/>
      <c r="BG321" s="201">
        <f t="shared" si="366"/>
        <v>0</v>
      </c>
      <c r="BH321" s="201">
        <f t="shared" si="366"/>
        <v>598869.29</v>
      </c>
      <c r="BI321" s="201">
        <f t="shared" si="395"/>
        <v>598869.29</v>
      </c>
      <c r="BJ321" s="201">
        <f t="shared" si="396"/>
        <v>99.811548333333334</v>
      </c>
      <c r="BK321" s="201">
        <v>89</v>
      </c>
      <c r="BL321" s="224">
        <v>100</v>
      </c>
      <c r="BM321" s="211"/>
      <c r="BN321" s="211"/>
      <c r="BO321" s="212">
        <f t="shared" si="397"/>
        <v>0</v>
      </c>
      <c r="BP321" s="201">
        <f t="shared" si="398"/>
        <v>1130.7099999999627</v>
      </c>
      <c r="BQ321" s="201">
        <f t="shared" si="371"/>
        <v>1130.7099999999627</v>
      </c>
      <c r="BR321" s="201">
        <f t="shared" si="367"/>
        <v>0</v>
      </c>
      <c r="BS321" s="201">
        <f t="shared" si="367"/>
        <v>1130.7099999999627</v>
      </c>
      <c r="BT321" s="201">
        <f t="shared" si="372"/>
        <v>1130.7099999999627</v>
      </c>
      <c r="BU321" s="213">
        <f t="shared" si="369"/>
        <v>0</v>
      </c>
      <c r="BV321" s="201"/>
      <c r="BW321" s="201"/>
      <c r="BX321" s="201">
        <f t="shared" si="373"/>
        <v>0</v>
      </c>
      <c r="BY321" s="199">
        <v>42000</v>
      </c>
      <c r="BZ321" s="199">
        <v>180000</v>
      </c>
      <c r="CA321" s="199">
        <v>312000</v>
      </c>
      <c r="CB321" s="199">
        <v>66000</v>
      </c>
      <c r="CC321" s="199">
        <v>0</v>
      </c>
      <c r="CD321" s="199">
        <v>0</v>
      </c>
      <c r="CE321" s="199">
        <v>0</v>
      </c>
      <c r="CF321" s="199"/>
      <c r="CG321" s="199"/>
      <c r="CH321" s="199"/>
      <c r="CI321" s="199"/>
      <c r="CJ321" s="199"/>
      <c r="CK321" s="214" t="s">
        <v>877</v>
      </c>
      <c r="CL321" s="214" t="s">
        <v>610</v>
      </c>
      <c r="CM321" s="211">
        <v>198</v>
      </c>
      <c r="CN321" s="215"/>
      <c r="CO321" s="215"/>
      <c r="CP321" s="216"/>
      <c r="CQ321" s="217"/>
      <c r="CR321" s="211"/>
      <c r="CS321" s="218"/>
      <c r="CT321" s="218"/>
      <c r="CU321" s="218"/>
      <c r="CV321" s="211"/>
      <c r="CW321" s="211"/>
      <c r="CX321" s="211"/>
      <c r="CY321" s="211"/>
      <c r="CZ321" s="211"/>
      <c r="DA321" s="211"/>
      <c r="DB321" s="211"/>
      <c r="DC321" s="219"/>
      <c r="DD321" s="219"/>
      <c r="DE321" s="219"/>
      <c r="DF321" s="211"/>
      <c r="DG321" s="211"/>
      <c r="DH321" s="211"/>
      <c r="DI321" s="211"/>
      <c r="DJ321" s="211"/>
      <c r="DK321" s="220" t="s">
        <v>32</v>
      </c>
      <c r="DT321" s="222"/>
    </row>
    <row r="322" spans="1:124" s="176" customFormat="1" ht="42" x14ac:dyDescent="0.2">
      <c r="A322" s="195" t="s">
        <v>108</v>
      </c>
      <c r="B322" s="197" t="s">
        <v>878</v>
      </c>
      <c r="C322" s="198">
        <v>1</v>
      </c>
      <c r="D322" s="199">
        <v>520000</v>
      </c>
      <c r="E322" s="198" t="s">
        <v>351</v>
      </c>
      <c r="F322" s="198" t="s">
        <v>230</v>
      </c>
      <c r="G322" s="198" t="s">
        <v>98</v>
      </c>
      <c r="H322" s="200">
        <v>1</v>
      </c>
      <c r="I322" s="199">
        <f t="shared" si="374"/>
        <v>0</v>
      </c>
      <c r="J322" s="199">
        <f t="shared" si="375"/>
        <v>520000</v>
      </c>
      <c r="K322" s="199">
        <f t="shared" si="376"/>
        <v>520000</v>
      </c>
      <c r="L322" s="199"/>
      <c r="M322" s="199">
        <v>520000</v>
      </c>
      <c r="N322" s="199">
        <f t="shared" si="377"/>
        <v>520000</v>
      </c>
      <c r="O322" s="199"/>
      <c r="P322" s="201">
        <v>0</v>
      </c>
      <c r="Q322" s="202">
        <v>14</v>
      </c>
      <c r="R322" s="203">
        <v>45566</v>
      </c>
      <c r="S322" s="199"/>
      <c r="T322" s="199">
        <v>520000</v>
      </c>
      <c r="U322" s="204">
        <f t="shared" si="378"/>
        <v>520000</v>
      </c>
      <c r="V322" s="198"/>
      <c r="W322" s="206"/>
      <c r="X322" s="201"/>
      <c r="Y322" s="201"/>
      <c r="Z322" s="201">
        <f t="shared" si="379"/>
        <v>0</v>
      </c>
      <c r="AA322" s="198"/>
      <c r="AB322" s="206"/>
      <c r="AC322" s="207"/>
      <c r="AD322" s="201"/>
      <c r="AE322" s="204">
        <f t="shared" si="380"/>
        <v>0</v>
      </c>
      <c r="AF322" s="203">
        <f t="shared" si="381"/>
        <v>45566</v>
      </c>
      <c r="AG322" s="201">
        <f t="shared" si="382"/>
        <v>0</v>
      </c>
      <c r="AH322" s="199">
        <f t="shared" si="383"/>
        <v>520000</v>
      </c>
      <c r="AI322" s="199">
        <f t="shared" si="384"/>
        <v>520000</v>
      </c>
      <c r="AJ322" s="201">
        <f t="shared" si="365"/>
        <v>0</v>
      </c>
      <c r="AK322" s="201">
        <f t="shared" si="365"/>
        <v>520000</v>
      </c>
      <c r="AL322" s="201">
        <f t="shared" si="385"/>
        <v>520000</v>
      </c>
      <c r="AM322" s="198"/>
      <c r="AN322" s="203"/>
      <c r="AO322" s="208"/>
      <c r="AP322" s="201">
        <f t="shared" si="386"/>
        <v>0</v>
      </c>
      <c r="AQ322" s="201">
        <f t="shared" si="387"/>
        <v>412470.15</v>
      </c>
      <c r="AR322" s="201">
        <f t="shared" si="388"/>
        <v>412470.15</v>
      </c>
      <c r="AS322" s="201">
        <f t="shared" si="389"/>
        <v>79.321182692307687</v>
      </c>
      <c r="AT322" s="201"/>
      <c r="AU322" s="223">
        <v>412470.15</v>
      </c>
      <c r="AV322" s="201">
        <f t="shared" si="390"/>
        <v>412470.15</v>
      </c>
      <c r="AW322" s="201">
        <f t="shared" si="368"/>
        <v>0</v>
      </c>
      <c r="AX322" s="201">
        <f t="shared" si="391"/>
        <v>79.321182692307687</v>
      </c>
      <c r="AY322" s="208"/>
      <c r="AZ322" s="201">
        <f t="shared" si="392"/>
        <v>0</v>
      </c>
      <c r="BA322" s="201">
        <f t="shared" si="393"/>
        <v>0</v>
      </c>
      <c r="BB322" s="201">
        <f t="shared" si="394"/>
        <v>0</v>
      </c>
      <c r="BC322" s="201"/>
      <c r="BD322" s="209">
        <v>0</v>
      </c>
      <c r="BE322" s="201">
        <f t="shared" si="370"/>
        <v>0</v>
      </c>
      <c r="BF322" s="208"/>
      <c r="BG322" s="201">
        <f t="shared" si="366"/>
        <v>0</v>
      </c>
      <c r="BH322" s="201">
        <f t="shared" si="366"/>
        <v>412470.15</v>
      </c>
      <c r="BI322" s="201">
        <f t="shared" si="395"/>
        <v>412470.15</v>
      </c>
      <c r="BJ322" s="201">
        <f t="shared" si="396"/>
        <v>79.321182692307687</v>
      </c>
      <c r="BK322" s="201">
        <v>89</v>
      </c>
      <c r="BL322" s="224">
        <v>75</v>
      </c>
      <c r="BM322" s="211"/>
      <c r="BN322" s="211"/>
      <c r="BO322" s="212">
        <f t="shared" si="397"/>
        <v>0</v>
      </c>
      <c r="BP322" s="201">
        <f t="shared" si="398"/>
        <v>107529.84999999998</v>
      </c>
      <c r="BQ322" s="201">
        <f t="shared" si="371"/>
        <v>107529.84999999998</v>
      </c>
      <c r="BR322" s="201">
        <f t="shared" si="367"/>
        <v>0</v>
      </c>
      <c r="BS322" s="201">
        <f t="shared" si="367"/>
        <v>107529.84999999998</v>
      </c>
      <c r="BT322" s="201">
        <f t="shared" si="372"/>
        <v>107529.84999999998</v>
      </c>
      <c r="BU322" s="213">
        <f t="shared" si="369"/>
        <v>0</v>
      </c>
      <c r="BV322" s="201"/>
      <c r="BW322" s="201"/>
      <c r="BX322" s="201">
        <f t="shared" si="373"/>
        <v>0</v>
      </c>
      <c r="BY322" s="199">
        <v>36400</v>
      </c>
      <c r="BZ322" s="199">
        <v>156000</v>
      </c>
      <c r="CA322" s="199">
        <v>270400</v>
      </c>
      <c r="CB322" s="199">
        <v>57200</v>
      </c>
      <c r="CC322" s="199">
        <v>0</v>
      </c>
      <c r="CD322" s="199">
        <v>0</v>
      </c>
      <c r="CE322" s="199">
        <v>0</v>
      </c>
      <c r="CF322" s="199"/>
      <c r="CG322" s="199"/>
      <c r="CH322" s="199"/>
      <c r="CI322" s="199"/>
      <c r="CJ322" s="199"/>
      <c r="CK322" s="214" t="s">
        <v>879</v>
      </c>
      <c r="CL322" s="214" t="s">
        <v>610</v>
      </c>
      <c r="CM322" s="211">
        <v>198</v>
      </c>
      <c r="CN322" s="215"/>
      <c r="CO322" s="215"/>
      <c r="CP322" s="216"/>
      <c r="CQ322" s="217"/>
      <c r="CR322" s="211"/>
      <c r="CS322" s="218"/>
      <c r="CT322" s="218"/>
      <c r="CU322" s="218"/>
      <c r="CV322" s="211"/>
      <c r="CW322" s="211"/>
      <c r="CX322" s="211"/>
      <c r="CY322" s="211"/>
      <c r="CZ322" s="211"/>
      <c r="DA322" s="211"/>
      <c r="DB322" s="211"/>
      <c r="DC322" s="219"/>
      <c r="DD322" s="219"/>
      <c r="DE322" s="219"/>
      <c r="DF322" s="211"/>
      <c r="DG322" s="211"/>
      <c r="DH322" s="211"/>
      <c r="DI322" s="211"/>
      <c r="DJ322" s="211"/>
      <c r="DK322" s="220" t="s">
        <v>32</v>
      </c>
      <c r="DT322" s="222"/>
    </row>
    <row r="323" spans="1:124" s="176" customFormat="1" ht="42" x14ac:dyDescent="0.2">
      <c r="A323" s="195" t="s">
        <v>108</v>
      </c>
      <c r="B323" s="197" t="s">
        <v>880</v>
      </c>
      <c r="C323" s="198">
        <v>1</v>
      </c>
      <c r="D323" s="199">
        <v>300000</v>
      </c>
      <c r="E323" s="198" t="s">
        <v>318</v>
      </c>
      <c r="F323" s="198" t="s">
        <v>318</v>
      </c>
      <c r="G323" s="198" t="s">
        <v>98</v>
      </c>
      <c r="H323" s="200">
        <v>1</v>
      </c>
      <c r="I323" s="199">
        <f t="shared" si="374"/>
        <v>0</v>
      </c>
      <c r="J323" s="199">
        <f t="shared" si="375"/>
        <v>300000</v>
      </c>
      <c r="K323" s="199">
        <f t="shared" si="376"/>
        <v>300000</v>
      </c>
      <c r="L323" s="199"/>
      <c r="M323" s="199">
        <v>300000</v>
      </c>
      <c r="N323" s="199">
        <f t="shared" si="377"/>
        <v>300000</v>
      </c>
      <c r="O323" s="199"/>
      <c r="P323" s="201">
        <v>0</v>
      </c>
      <c r="Q323" s="202">
        <v>14</v>
      </c>
      <c r="R323" s="203">
        <v>45566</v>
      </c>
      <c r="S323" s="199"/>
      <c r="T323" s="199">
        <v>300000</v>
      </c>
      <c r="U323" s="204">
        <f t="shared" si="378"/>
        <v>300000</v>
      </c>
      <c r="V323" s="198"/>
      <c r="W323" s="206"/>
      <c r="X323" s="201"/>
      <c r="Y323" s="201"/>
      <c r="Z323" s="201">
        <f t="shared" si="379"/>
        <v>0</v>
      </c>
      <c r="AA323" s="198"/>
      <c r="AB323" s="206"/>
      <c r="AC323" s="207"/>
      <c r="AD323" s="201"/>
      <c r="AE323" s="204">
        <f t="shared" si="380"/>
        <v>0</v>
      </c>
      <c r="AF323" s="203">
        <f t="shared" si="381"/>
        <v>45566</v>
      </c>
      <c r="AG323" s="201">
        <f t="shared" si="382"/>
        <v>0</v>
      </c>
      <c r="AH323" s="199">
        <f t="shared" si="383"/>
        <v>300000</v>
      </c>
      <c r="AI323" s="199">
        <f t="shared" si="384"/>
        <v>300000</v>
      </c>
      <c r="AJ323" s="201">
        <f t="shared" si="365"/>
        <v>0</v>
      </c>
      <c r="AK323" s="201">
        <f t="shared" si="365"/>
        <v>300000</v>
      </c>
      <c r="AL323" s="201">
        <f t="shared" si="385"/>
        <v>300000</v>
      </c>
      <c r="AM323" s="198"/>
      <c r="AN323" s="203"/>
      <c r="AO323" s="208"/>
      <c r="AP323" s="201">
        <f t="shared" si="386"/>
        <v>0</v>
      </c>
      <c r="AQ323" s="201">
        <f t="shared" si="387"/>
        <v>299637.75</v>
      </c>
      <c r="AR323" s="201">
        <f t="shared" si="388"/>
        <v>299637.75</v>
      </c>
      <c r="AS323" s="201">
        <f t="shared" si="389"/>
        <v>99.879249999999999</v>
      </c>
      <c r="AT323" s="201"/>
      <c r="AU323" s="223">
        <v>299637.75</v>
      </c>
      <c r="AV323" s="201">
        <f t="shared" si="390"/>
        <v>299637.75</v>
      </c>
      <c r="AW323" s="201">
        <f t="shared" si="368"/>
        <v>0</v>
      </c>
      <c r="AX323" s="201">
        <f t="shared" si="391"/>
        <v>99.879249999999999</v>
      </c>
      <c r="AY323" s="208"/>
      <c r="AZ323" s="201">
        <f t="shared" si="392"/>
        <v>0</v>
      </c>
      <c r="BA323" s="201">
        <f t="shared" si="393"/>
        <v>0</v>
      </c>
      <c r="BB323" s="201">
        <f t="shared" si="394"/>
        <v>0</v>
      </c>
      <c r="BC323" s="201"/>
      <c r="BD323" s="223">
        <v>0</v>
      </c>
      <c r="BE323" s="201">
        <f t="shared" si="370"/>
        <v>0</v>
      </c>
      <c r="BF323" s="208"/>
      <c r="BG323" s="201">
        <f t="shared" si="366"/>
        <v>0</v>
      </c>
      <c r="BH323" s="201">
        <f t="shared" si="366"/>
        <v>299637.75</v>
      </c>
      <c r="BI323" s="201">
        <f t="shared" si="395"/>
        <v>299637.75</v>
      </c>
      <c r="BJ323" s="201">
        <f t="shared" si="396"/>
        <v>99.879249999999999</v>
      </c>
      <c r="BK323" s="201">
        <v>89</v>
      </c>
      <c r="BL323" s="224">
        <v>90</v>
      </c>
      <c r="BM323" s="211"/>
      <c r="BN323" s="211"/>
      <c r="BO323" s="212">
        <f t="shared" si="397"/>
        <v>0</v>
      </c>
      <c r="BP323" s="201">
        <f t="shared" si="398"/>
        <v>362.25</v>
      </c>
      <c r="BQ323" s="201">
        <f t="shared" si="371"/>
        <v>362.25</v>
      </c>
      <c r="BR323" s="201">
        <f t="shared" si="367"/>
        <v>0</v>
      </c>
      <c r="BS323" s="201">
        <f t="shared" si="367"/>
        <v>362.25</v>
      </c>
      <c r="BT323" s="201">
        <f t="shared" si="372"/>
        <v>362.25</v>
      </c>
      <c r="BU323" s="213">
        <f t="shared" si="369"/>
        <v>0</v>
      </c>
      <c r="BV323" s="201"/>
      <c r="BW323" s="201"/>
      <c r="BX323" s="201">
        <f t="shared" si="373"/>
        <v>0</v>
      </c>
      <c r="BY323" s="199">
        <v>21000</v>
      </c>
      <c r="BZ323" s="199">
        <v>90000</v>
      </c>
      <c r="CA323" s="199">
        <v>156000</v>
      </c>
      <c r="CB323" s="199">
        <v>33000</v>
      </c>
      <c r="CC323" s="199">
        <v>0</v>
      </c>
      <c r="CD323" s="199">
        <v>0</v>
      </c>
      <c r="CE323" s="199"/>
      <c r="CF323" s="199"/>
      <c r="CG323" s="199"/>
      <c r="CH323" s="199"/>
      <c r="CI323" s="199"/>
      <c r="CJ323" s="199"/>
      <c r="CK323" s="214" t="s">
        <v>881</v>
      </c>
      <c r="CL323" s="214" t="s">
        <v>610</v>
      </c>
      <c r="CM323" s="211">
        <v>198</v>
      </c>
      <c r="CN323" s="215"/>
      <c r="CO323" s="215"/>
      <c r="CP323" s="216"/>
      <c r="CQ323" s="217"/>
      <c r="CR323" s="211"/>
      <c r="CS323" s="218"/>
      <c r="CT323" s="218"/>
      <c r="CU323" s="218"/>
      <c r="CV323" s="211"/>
      <c r="CW323" s="211"/>
      <c r="CX323" s="211"/>
      <c r="CY323" s="211"/>
      <c r="CZ323" s="211"/>
      <c r="DA323" s="211"/>
      <c r="DB323" s="211"/>
      <c r="DC323" s="219"/>
      <c r="DD323" s="219"/>
      <c r="DE323" s="219"/>
      <c r="DF323" s="211"/>
      <c r="DG323" s="211"/>
      <c r="DH323" s="211"/>
      <c r="DI323" s="211"/>
      <c r="DJ323" s="211"/>
      <c r="DK323" s="220" t="s">
        <v>32</v>
      </c>
      <c r="DT323" s="222"/>
    </row>
    <row r="324" spans="1:124" s="176" customFormat="1" ht="42" x14ac:dyDescent="0.2">
      <c r="A324" s="195" t="s">
        <v>108</v>
      </c>
      <c r="B324" s="197" t="s">
        <v>882</v>
      </c>
      <c r="C324" s="198">
        <v>1</v>
      </c>
      <c r="D324" s="199">
        <v>750000</v>
      </c>
      <c r="E324" s="198" t="s">
        <v>343</v>
      </c>
      <c r="F324" s="198" t="s">
        <v>234</v>
      </c>
      <c r="G324" s="198" t="s">
        <v>98</v>
      </c>
      <c r="H324" s="200">
        <v>1</v>
      </c>
      <c r="I324" s="199">
        <f t="shared" si="374"/>
        <v>0</v>
      </c>
      <c r="J324" s="199">
        <f t="shared" si="375"/>
        <v>750000</v>
      </c>
      <c r="K324" s="199">
        <f t="shared" si="376"/>
        <v>750000</v>
      </c>
      <c r="L324" s="199"/>
      <c r="M324" s="199">
        <v>750000</v>
      </c>
      <c r="N324" s="199">
        <f t="shared" si="377"/>
        <v>750000</v>
      </c>
      <c r="O324" s="199"/>
      <c r="P324" s="201">
        <v>0</v>
      </c>
      <c r="Q324" s="202">
        <v>14</v>
      </c>
      <c r="R324" s="203">
        <v>45566</v>
      </c>
      <c r="S324" s="199"/>
      <c r="T324" s="199">
        <v>750000</v>
      </c>
      <c r="U324" s="204">
        <f t="shared" si="378"/>
        <v>750000</v>
      </c>
      <c r="V324" s="198"/>
      <c r="W324" s="206"/>
      <c r="X324" s="201"/>
      <c r="Y324" s="201"/>
      <c r="Z324" s="201">
        <f t="shared" si="379"/>
        <v>0</v>
      </c>
      <c r="AA324" s="198"/>
      <c r="AB324" s="206"/>
      <c r="AC324" s="207"/>
      <c r="AD324" s="201"/>
      <c r="AE324" s="204">
        <f t="shared" si="380"/>
        <v>0</v>
      </c>
      <c r="AF324" s="203">
        <f t="shared" si="381"/>
        <v>45566</v>
      </c>
      <c r="AG324" s="201">
        <f t="shared" si="382"/>
        <v>0</v>
      </c>
      <c r="AH324" s="199">
        <f t="shared" si="383"/>
        <v>750000</v>
      </c>
      <c r="AI324" s="199">
        <f t="shared" si="384"/>
        <v>750000</v>
      </c>
      <c r="AJ324" s="201">
        <f t="shared" si="365"/>
        <v>0</v>
      </c>
      <c r="AK324" s="201">
        <f t="shared" si="365"/>
        <v>750000</v>
      </c>
      <c r="AL324" s="201">
        <f t="shared" si="385"/>
        <v>750000</v>
      </c>
      <c r="AM324" s="198"/>
      <c r="AN324" s="203"/>
      <c r="AO324" s="208"/>
      <c r="AP324" s="201">
        <f t="shared" si="386"/>
        <v>0</v>
      </c>
      <c r="AQ324" s="201">
        <f t="shared" si="387"/>
        <v>384393.82</v>
      </c>
      <c r="AR324" s="201">
        <f t="shared" si="388"/>
        <v>384393.82</v>
      </c>
      <c r="AS324" s="201">
        <f t="shared" si="389"/>
        <v>51.252509333333336</v>
      </c>
      <c r="AT324" s="201"/>
      <c r="AU324" s="223">
        <v>384393.82</v>
      </c>
      <c r="AV324" s="201">
        <f t="shared" si="390"/>
        <v>384393.82</v>
      </c>
      <c r="AW324" s="201">
        <f t="shared" si="368"/>
        <v>0</v>
      </c>
      <c r="AX324" s="201">
        <f t="shared" si="391"/>
        <v>51.252509333333336</v>
      </c>
      <c r="AY324" s="208"/>
      <c r="AZ324" s="201">
        <f t="shared" si="392"/>
        <v>0</v>
      </c>
      <c r="BA324" s="201">
        <f t="shared" si="393"/>
        <v>0</v>
      </c>
      <c r="BB324" s="201">
        <f t="shared" si="394"/>
        <v>0</v>
      </c>
      <c r="BC324" s="201"/>
      <c r="BD324" s="223">
        <v>0</v>
      </c>
      <c r="BE324" s="201">
        <f t="shared" si="370"/>
        <v>0</v>
      </c>
      <c r="BF324" s="208"/>
      <c r="BG324" s="201">
        <f t="shared" si="366"/>
        <v>0</v>
      </c>
      <c r="BH324" s="201">
        <f t="shared" si="366"/>
        <v>384393.82</v>
      </c>
      <c r="BI324" s="201">
        <f t="shared" si="395"/>
        <v>384393.82</v>
      </c>
      <c r="BJ324" s="201">
        <f t="shared" si="396"/>
        <v>51.252509333333336</v>
      </c>
      <c r="BK324" s="201">
        <v>89</v>
      </c>
      <c r="BL324" s="224">
        <v>40</v>
      </c>
      <c r="BM324" s="211"/>
      <c r="BN324" s="211"/>
      <c r="BO324" s="212">
        <f t="shared" si="397"/>
        <v>0</v>
      </c>
      <c r="BP324" s="201">
        <f t="shared" si="398"/>
        <v>365606.18</v>
      </c>
      <c r="BQ324" s="201">
        <f t="shared" si="371"/>
        <v>365606.18</v>
      </c>
      <c r="BR324" s="201">
        <f t="shared" si="367"/>
        <v>0</v>
      </c>
      <c r="BS324" s="201">
        <f t="shared" si="367"/>
        <v>365606.18</v>
      </c>
      <c r="BT324" s="201">
        <f t="shared" si="372"/>
        <v>365606.18</v>
      </c>
      <c r="BU324" s="213">
        <f t="shared" si="369"/>
        <v>0</v>
      </c>
      <c r="BV324" s="201"/>
      <c r="BW324" s="201"/>
      <c r="BX324" s="201">
        <f t="shared" si="373"/>
        <v>0</v>
      </c>
      <c r="BY324" s="199">
        <v>52500</v>
      </c>
      <c r="BZ324" s="199">
        <v>225000</v>
      </c>
      <c r="CA324" s="199">
        <v>390000</v>
      </c>
      <c r="CB324" s="199">
        <v>82500</v>
      </c>
      <c r="CC324" s="199">
        <v>0</v>
      </c>
      <c r="CD324" s="199">
        <v>0</v>
      </c>
      <c r="CE324" s="199"/>
      <c r="CF324" s="199"/>
      <c r="CG324" s="199"/>
      <c r="CH324" s="199"/>
      <c r="CI324" s="199"/>
      <c r="CJ324" s="199"/>
      <c r="CK324" s="214" t="s">
        <v>883</v>
      </c>
      <c r="CL324" s="214" t="s">
        <v>610</v>
      </c>
      <c r="CM324" s="211">
        <v>198</v>
      </c>
      <c r="CN324" s="215"/>
      <c r="CO324" s="215"/>
      <c r="CP324" s="216"/>
      <c r="CQ324" s="217"/>
      <c r="CR324" s="211"/>
      <c r="CS324" s="218"/>
      <c r="CT324" s="218"/>
      <c r="CU324" s="218"/>
      <c r="CV324" s="211"/>
      <c r="CW324" s="211"/>
      <c r="CX324" s="211"/>
      <c r="CY324" s="211"/>
      <c r="CZ324" s="211"/>
      <c r="DA324" s="211"/>
      <c r="DB324" s="211"/>
      <c r="DC324" s="219"/>
      <c r="DD324" s="219"/>
      <c r="DE324" s="219"/>
      <c r="DF324" s="211"/>
      <c r="DG324" s="211"/>
      <c r="DH324" s="211"/>
      <c r="DI324" s="211"/>
      <c r="DJ324" s="211"/>
      <c r="DK324" s="220" t="s">
        <v>32</v>
      </c>
      <c r="DT324" s="222"/>
    </row>
    <row r="325" spans="1:124" s="176" customFormat="1" ht="42" x14ac:dyDescent="0.2">
      <c r="A325" s="195" t="s">
        <v>108</v>
      </c>
      <c r="B325" s="197" t="s">
        <v>884</v>
      </c>
      <c r="C325" s="198">
        <v>1</v>
      </c>
      <c r="D325" s="199">
        <v>450000</v>
      </c>
      <c r="E325" s="198" t="s">
        <v>278</v>
      </c>
      <c r="F325" s="198" t="s">
        <v>279</v>
      </c>
      <c r="G325" s="198" t="s">
        <v>98</v>
      </c>
      <c r="H325" s="200">
        <v>1</v>
      </c>
      <c r="I325" s="199">
        <f t="shared" si="374"/>
        <v>0</v>
      </c>
      <c r="J325" s="199">
        <f t="shared" si="375"/>
        <v>450000</v>
      </c>
      <c r="K325" s="199">
        <f t="shared" si="376"/>
        <v>450000</v>
      </c>
      <c r="L325" s="199"/>
      <c r="M325" s="199">
        <v>450000</v>
      </c>
      <c r="N325" s="199">
        <f t="shared" si="377"/>
        <v>450000</v>
      </c>
      <c r="O325" s="199"/>
      <c r="P325" s="201">
        <v>0</v>
      </c>
      <c r="Q325" s="202">
        <v>14</v>
      </c>
      <c r="R325" s="203">
        <v>45566</v>
      </c>
      <c r="S325" s="199"/>
      <c r="T325" s="199">
        <v>450000</v>
      </c>
      <c r="U325" s="204">
        <f t="shared" si="378"/>
        <v>450000</v>
      </c>
      <c r="V325" s="198"/>
      <c r="W325" s="206"/>
      <c r="X325" s="201"/>
      <c r="Y325" s="201"/>
      <c r="Z325" s="201">
        <f t="shared" si="379"/>
        <v>0</v>
      </c>
      <c r="AA325" s="198"/>
      <c r="AB325" s="206"/>
      <c r="AC325" s="207"/>
      <c r="AD325" s="201"/>
      <c r="AE325" s="204">
        <f t="shared" si="380"/>
        <v>0</v>
      </c>
      <c r="AF325" s="203">
        <f t="shared" si="381"/>
        <v>45566</v>
      </c>
      <c r="AG325" s="201">
        <f t="shared" si="382"/>
        <v>0</v>
      </c>
      <c r="AH325" s="199">
        <f t="shared" si="383"/>
        <v>450000</v>
      </c>
      <c r="AI325" s="199">
        <f t="shared" si="384"/>
        <v>450000</v>
      </c>
      <c r="AJ325" s="201">
        <f t="shared" si="365"/>
        <v>0</v>
      </c>
      <c r="AK325" s="201">
        <f t="shared" si="365"/>
        <v>450000</v>
      </c>
      <c r="AL325" s="201">
        <f t="shared" si="385"/>
        <v>450000</v>
      </c>
      <c r="AM325" s="198"/>
      <c r="AN325" s="203"/>
      <c r="AO325" s="208"/>
      <c r="AP325" s="201">
        <f t="shared" si="386"/>
        <v>0</v>
      </c>
      <c r="AQ325" s="201">
        <f t="shared" si="387"/>
        <v>447773.15</v>
      </c>
      <c r="AR325" s="201">
        <f t="shared" si="388"/>
        <v>447773.15</v>
      </c>
      <c r="AS325" s="201">
        <f t="shared" si="389"/>
        <v>99.50514444444444</v>
      </c>
      <c r="AT325" s="201"/>
      <c r="AU325" s="223">
        <v>447773.15</v>
      </c>
      <c r="AV325" s="201">
        <f t="shared" si="390"/>
        <v>447773.15</v>
      </c>
      <c r="AW325" s="201">
        <f t="shared" si="368"/>
        <v>0</v>
      </c>
      <c r="AX325" s="201">
        <f t="shared" si="391"/>
        <v>99.50514444444444</v>
      </c>
      <c r="AY325" s="208"/>
      <c r="AZ325" s="201">
        <f t="shared" si="392"/>
        <v>0</v>
      </c>
      <c r="BA325" s="201">
        <f t="shared" si="393"/>
        <v>0</v>
      </c>
      <c r="BB325" s="201">
        <f t="shared" si="394"/>
        <v>0</v>
      </c>
      <c r="BC325" s="201"/>
      <c r="BD325" s="223">
        <v>0</v>
      </c>
      <c r="BE325" s="201">
        <f t="shared" si="370"/>
        <v>0</v>
      </c>
      <c r="BF325" s="208"/>
      <c r="BG325" s="201">
        <f t="shared" si="366"/>
        <v>0</v>
      </c>
      <c r="BH325" s="201">
        <f t="shared" si="366"/>
        <v>447773.15</v>
      </c>
      <c r="BI325" s="201">
        <f t="shared" si="395"/>
        <v>447773.15</v>
      </c>
      <c r="BJ325" s="201">
        <f t="shared" si="396"/>
        <v>99.50514444444444</v>
      </c>
      <c r="BK325" s="201">
        <v>89</v>
      </c>
      <c r="BL325" s="224">
        <v>90</v>
      </c>
      <c r="BM325" s="211"/>
      <c r="BN325" s="211"/>
      <c r="BO325" s="212">
        <f t="shared" si="397"/>
        <v>0</v>
      </c>
      <c r="BP325" s="201">
        <f t="shared" si="398"/>
        <v>2226.8499999999767</v>
      </c>
      <c r="BQ325" s="201">
        <f t="shared" si="371"/>
        <v>2226.8499999999767</v>
      </c>
      <c r="BR325" s="201">
        <f t="shared" si="367"/>
        <v>0</v>
      </c>
      <c r="BS325" s="201">
        <f t="shared" si="367"/>
        <v>2226.8499999999767</v>
      </c>
      <c r="BT325" s="201">
        <f t="shared" si="372"/>
        <v>2226.8499999999767</v>
      </c>
      <c r="BU325" s="213">
        <f t="shared" si="369"/>
        <v>0</v>
      </c>
      <c r="BV325" s="201"/>
      <c r="BW325" s="201"/>
      <c r="BX325" s="201">
        <f t="shared" si="373"/>
        <v>0</v>
      </c>
      <c r="BY325" s="199">
        <v>31500</v>
      </c>
      <c r="BZ325" s="199">
        <v>135000</v>
      </c>
      <c r="CA325" s="199">
        <v>234000</v>
      </c>
      <c r="CB325" s="199">
        <v>49500</v>
      </c>
      <c r="CC325" s="199">
        <v>0</v>
      </c>
      <c r="CD325" s="199">
        <v>0</v>
      </c>
      <c r="CE325" s="199"/>
      <c r="CF325" s="199"/>
      <c r="CG325" s="199"/>
      <c r="CH325" s="199"/>
      <c r="CI325" s="199"/>
      <c r="CJ325" s="199"/>
      <c r="CK325" s="214" t="s">
        <v>885</v>
      </c>
      <c r="CL325" s="214" t="s">
        <v>610</v>
      </c>
      <c r="CM325" s="211">
        <v>198</v>
      </c>
      <c r="CN325" s="215"/>
      <c r="CO325" s="215"/>
      <c r="CP325" s="216"/>
      <c r="CQ325" s="217"/>
      <c r="CR325" s="211"/>
      <c r="CS325" s="218"/>
      <c r="CT325" s="218"/>
      <c r="CU325" s="218"/>
      <c r="CV325" s="211"/>
      <c r="CW325" s="211"/>
      <c r="CX325" s="211"/>
      <c r="CY325" s="211"/>
      <c r="CZ325" s="211"/>
      <c r="DA325" s="211"/>
      <c r="DB325" s="211"/>
      <c r="DC325" s="219"/>
      <c r="DD325" s="219"/>
      <c r="DE325" s="219"/>
      <c r="DF325" s="211"/>
      <c r="DG325" s="211"/>
      <c r="DH325" s="211"/>
      <c r="DI325" s="211"/>
      <c r="DJ325" s="211"/>
      <c r="DK325" s="220" t="s">
        <v>32</v>
      </c>
      <c r="DT325" s="222"/>
    </row>
    <row r="326" spans="1:124" s="176" customFormat="1" ht="42" x14ac:dyDescent="0.2">
      <c r="A326" s="195" t="s">
        <v>108</v>
      </c>
      <c r="B326" s="197" t="s">
        <v>886</v>
      </c>
      <c r="C326" s="198">
        <v>1</v>
      </c>
      <c r="D326" s="199">
        <v>980000</v>
      </c>
      <c r="E326" s="198" t="s">
        <v>318</v>
      </c>
      <c r="F326" s="198" t="s">
        <v>318</v>
      </c>
      <c r="G326" s="198" t="s">
        <v>98</v>
      </c>
      <c r="H326" s="200">
        <v>1</v>
      </c>
      <c r="I326" s="199">
        <f t="shared" si="374"/>
        <v>0</v>
      </c>
      <c r="J326" s="199">
        <f t="shared" si="375"/>
        <v>980000</v>
      </c>
      <c r="K326" s="199">
        <f t="shared" si="376"/>
        <v>980000</v>
      </c>
      <c r="L326" s="199"/>
      <c r="M326" s="199">
        <v>980000</v>
      </c>
      <c r="N326" s="199">
        <f t="shared" si="377"/>
        <v>980000</v>
      </c>
      <c r="O326" s="199"/>
      <c r="P326" s="201">
        <v>0</v>
      </c>
      <c r="Q326" s="202">
        <v>14</v>
      </c>
      <c r="R326" s="203">
        <v>45566</v>
      </c>
      <c r="S326" s="199"/>
      <c r="T326" s="199">
        <v>980000</v>
      </c>
      <c r="U326" s="204">
        <f t="shared" si="378"/>
        <v>980000</v>
      </c>
      <c r="V326" s="198">
        <v>2476</v>
      </c>
      <c r="W326" s="206">
        <v>45827</v>
      </c>
      <c r="X326" s="201"/>
      <c r="Y326" s="201">
        <v>-244177.8</v>
      </c>
      <c r="Z326" s="201">
        <f t="shared" si="379"/>
        <v>-244177.8</v>
      </c>
      <c r="AA326" s="198"/>
      <c r="AB326" s="206"/>
      <c r="AC326" s="207"/>
      <c r="AD326" s="201"/>
      <c r="AE326" s="204">
        <f t="shared" si="380"/>
        <v>0</v>
      </c>
      <c r="AF326" s="203">
        <f t="shared" si="381"/>
        <v>45566</v>
      </c>
      <c r="AG326" s="201">
        <f t="shared" si="382"/>
        <v>0</v>
      </c>
      <c r="AH326" s="199">
        <f t="shared" si="383"/>
        <v>735822.2</v>
      </c>
      <c r="AI326" s="199">
        <f t="shared" si="384"/>
        <v>735822.2</v>
      </c>
      <c r="AJ326" s="201">
        <f t="shared" si="365"/>
        <v>0</v>
      </c>
      <c r="AK326" s="201">
        <f t="shared" si="365"/>
        <v>735822.2</v>
      </c>
      <c r="AL326" s="201">
        <f t="shared" si="385"/>
        <v>735822.2</v>
      </c>
      <c r="AM326" s="198"/>
      <c r="AN326" s="203"/>
      <c r="AO326" s="208"/>
      <c r="AP326" s="201">
        <f t="shared" si="386"/>
        <v>0</v>
      </c>
      <c r="AQ326" s="201">
        <f t="shared" si="387"/>
        <v>735305.4</v>
      </c>
      <c r="AR326" s="201">
        <f t="shared" si="388"/>
        <v>735305.4</v>
      </c>
      <c r="AS326" s="201">
        <f t="shared" si="389"/>
        <v>99.92976564175423</v>
      </c>
      <c r="AT326" s="201"/>
      <c r="AU326" s="223">
        <v>735305.4</v>
      </c>
      <c r="AV326" s="201">
        <f t="shared" si="390"/>
        <v>735305.4</v>
      </c>
      <c r="AW326" s="201">
        <f t="shared" si="368"/>
        <v>0</v>
      </c>
      <c r="AX326" s="201">
        <f t="shared" si="391"/>
        <v>99.92976564175423</v>
      </c>
      <c r="AY326" s="208"/>
      <c r="AZ326" s="201">
        <f t="shared" si="392"/>
        <v>0</v>
      </c>
      <c r="BA326" s="201">
        <f t="shared" si="393"/>
        <v>0</v>
      </c>
      <c r="BB326" s="201">
        <f t="shared" si="394"/>
        <v>0</v>
      </c>
      <c r="BC326" s="201"/>
      <c r="BD326" s="223">
        <v>0</v>
      </c>
      <c r="BE326" s="201">
        <f t="shared" si="370"/>
        <v>0</v>
      </c>
      <c r="BF326" s="208"/>
      <c r="BG326" s="201">
        <f t="shared" si="366"/>
        <v>0</v>
      </c>
      <c r="BH326" s="201">
        <f t="shared" si="366"/>
        <v>735305.4</v>
      </c>
      <c r="BI326" s="201">
        <f t="shared" si="395"/>
        <v>735305.4</v>
      </c>
      <c r="BJ326" s="201">
        <f t="shared" si="396"/>
        <v>99.92976564175423</v>
      </c>
      <c r="BK326" s="201">
        <v>89</v>
      </c>
      <c r="BL326" s="224">
        <v>70</v>
      </c>
      <c r="BM326" s="211"/>
      <c r="BN326" s="211"/>
      <c r="BO326" s="212">
        <f t="shared" si="397"/>
        <v>0</v>
      </c>
      <c r="BP326" s="201">
        <f t="shared" si="398"/>
        <v>516.79999999993015</v>
      </c>
      <c r="BQ326" s="201">
        <f t="shared" si="371"/>
        <v>516.79999999993015</v>
      </c>
      <c r="BR326" s="201">
        <f t="shared" si="367"/>
        <v>0</v>
      </c>
      <c r="BS326" s="201">
        <f t="shared" si="367"/>
        <v>516.79999999993015</v>
      </c>
      <c r="BT326" s="201">
        <f t="shared" si="372"/>
        <v>516.79999999993015</v>
      </c>
      <c r="BU326" s="213">
        <f t="shared" si="369"/>
        <v>0</v>
      </c>
      <c r="BV326" s="201">
        <v>244177.8</v>
      </c>
      <c r="BW326" s="201"/>
      <c r="BX326" s="201">
        <f t="shared" si="373"/>
        <v>244177.8</v>
      </c>
      <c r="BY326" s="199">
        <v>68600</v>
      </c>
      <c r="BZ326" s="199">
        <v>294000</v>
      </c>
      <c r="CA326" s="199">
        <v>509600</v>
      </c>
      <c r="CB326" s="199">
        <v>107800</v>
      </c>
      <c r="CC326" s="199">
        <v>0</v>
      </c>
      <c r="CD326" s="199">
        <v>0</v>
      </c>
      <c r="CE326" s="199"/>
      <c r="CF326" s="199"/>
      <c r="CG326" s="199"/>
      <c r="CH326" s="199"/>
      <c r="CI326" s="199"/>
      <c r="CJ326" s="199"/>
      <c r="CK326" s="214" t="s">
        <v>887</v>
      </c>
      <c r="CL326" s="214" t="s">
        <v>610</v>
      </c>
      <c r="CM326" s="211">
        <v>198</v>
      </c>
      <c r="CN326" s="215"/>
      <c r="CO326" s="215"/>
      <c r="CP326" s="216"/>
      <c r="CQ326" s="217"/>
      <c r="CR326" s="211"/>
      <c r="CS326" s="218"/>
      <c r="CT326" s="218"/>
      <c r="CU326" s="218"/>
      <c r="CV326" s="211"/>
      <c r="CW326" s="211"/>
      <c r="CX326" s="211"/>
      <c r="CY326" s="211"/>
      <c r="CZ326" s="211"/>
      <c r="DA326" s="211"/>
      <c r="DB326" s="211"/>
      <c r="DC326" s="219"/>
      <c r="DD326" s="219"/>
      <c r="DE326" s="219"/>
      <c r="DF326" s="211"/>
      <c r="DG326" s="211"/>
      <c r="DH326" s="211"/>
      <c r="DI326" s="211"/>
      <c r="DJ326" s="211"/>
      <c r="DK326" s="220" t="s">
        <v>32</v>
      </c>
      <c r="DT326" s="222"/>
    </row>
    <row r="327" spans="1:124" s="176" customFormat="1" ht="42" x14ac:dyDescent="0.2">
      <c r="A327" s="195" t="s">
        <v>108</v>
      </c>
      <c r="B327" s="197" t="s">
        <v>888</v>
      </c>
      <c r="C327" s="198">
        <v>1</v>
      </c>
      <c r="D327" s="199">
        <v>950000</v>
      </c>
      <c r="E327" s="198" t="s">
        <v>130</v>
      </c>
      <c r="F327" s="198" t="s">
        <v>234</v>
      </c>
      <c r="G327" s="198" t="s">
        <v>98</v>
      </c>
      <c r="H327" s="200">
        <v>1</v>
      </c>
      <c r="I327" s="199">
        <f t="shared" si="374"/>
        <v>0</v>
      </c>
      <c r="J327" s="199">
        <f t="shared" si="375"/>
        <v>950000</v>
      </c>
      <c r="K327" s="199">
        <f t="shared" si="376"/>
        <v>950000</v>
      </c>
      <c r="L327" s="199"/>
      <c r="M327" s="199">
        <v>950000</v>
      </c>
      <c r="N327" s="199">
        <f t="shared" si="377"/>
        <v>950000</v>
      </c>
      <c r="O327" s="199"/>
      <c r="P327" s="201">
        <v>0</v>
      </c>
      <c r="Q327" s="202">
        <v>14</v>
      </c>
      <c r="R327" s="203">
        <v>45566</v>
      </c>
      <c r="S327" s="199"/>
      <c r="T327" s="199">
        <v>950000</v>
      </c>
      <c r="U327" s="204">
        <f t="shared" si="378"/>
        <v>950000</v>
      </c>
      <c r="V327" s="198"/>
      <c r="W327" s="206"/>
      <c r="X327" s="201"/>
      <c r="Y327" s="201"/>
      <c r="Z327" s="201">
        <f t="shared" si="379"/>
        <v>0</v>
      </c>
      <c r="AA327" s="198"/>
      <c r="AB327" s="206"/>
      <c r="AC327" s="207"/>
      <c r="AD327" s="201"/>
      <c r="AE327" s="204">
        <f t="shared" si="380"/>
        <v>0</v>
      </c>
      <c r="AF327" s="203">
        <f t="shared" si="381"/>
        <v>45566</v>
      </c>
      <c r="AG327" s="201">
        <f t="shared" si="382"/>
        <v>0</v>
      </c>
      <c r="AH327" s="199">
        <f t="shared" si="383"/>
        <v>950000</v>
      </c>
      <c r="AI327" s="199">
        <f t="shared" si="384"/>
        <v>950000</v>
      </c>
      <c r="AJ327" s="201">
        <f t="shared" si="365"/>
        <v>0</v>
      </c>
      <c r="AK327" s="201">
        <f t="shared" si="365"/>
        <v>950000</v>
      </c>
      <c r="AL327" s="201">
        <f t="shared" si="385"/>
        <v>950000</v>
      </c>
      <c r="AM327" s="198"/>
      <c r="AN327" s="203"/>
      <c r="AO327" s="208"/>
      <c r="AP327" s="201">
        <f t="shared" si="386"/>
        <v>0</v>
      </c>
      <c r="AQ327" s="201">
        <f t="shared" si="387"/>
        <v>948727.45</v>
      </c>
      <c r="AR327" s="201">
        <f t="shared" si="388"/>
        <v>948727.45</v>
      </c>
      <c r="AS327" s="201">
        <f t="shared" si="389"/>
        <v>99.86604736842105</v>
      </c>
      <c r="AT327" s="201"/>
      <c r="AU327" s="223">
        <v>948727.45</v>
      </c>
      <c r="AV327" s="201">
        <f t="shared" si="390"/>
        <v>948727.45</v>
      </c>
      <c r="AW327" s="201">
        <f t="shared" si="368"/>
        <v>0</v>
      </c>
      <c r="AX327" s="201">
        <f t="shared" si="391"/>
        <v>99.86604736842105</v>
      </c>
      <c r="AY327" s="208"/>
      <c r="AZ327" s="201">
        <f t="shared" si="392"/>
        <v>0</v>
      </c>
      <c r="BA327" s="201">
        <f t="shared" si="393"/>
        <v>0</v>
      </c>
      <c r="BB327" s="201">
        <f t="shared" si="394"/>
        <v>0</v>
      </c>
      <c r="BC327" s="201"/>
      <c r="BD327" s="223">
        <v>0</v>
      </c>
      <c r="BE327" s="201">
        <f t="shared" si="370"/>
        <v>0</v>
      </c>
      <c r="BF327" s="208"/>
      <c r="BG327" s="201">
        <f t="shared" si="366"/>
        <v>0</v>
      </c>
      <c r="BH327" s="201">
        <f t="shared" si="366"/>
        <v>948727.45</v>
      </c>
      <c r="BI327" s="201">
        <f t="shared" si="395"/>
        <v>948727.45</v>
      </c>
      <c r="BJ327" s="201">
        <f t="shared" si="396"/>
        <v>99.86604736842105</v>
      </c>
      <c r="BK327" s="201">
        <v>89</v>
      </c>
      <c r="BL327" s="224">
        <v>90</v>
      </c>
      <c r="BM327" s="211"/>
      <c r="BN327" s="211"/>
      <c r="BO327" s="212">
        <f t="shared" si="397"/>
        <v>0</v>
      </c>
      <c r="BP327" s="201">
        <f t="shared" si="398"/>
        <v>1272.5500000000466</v>
      </c>
      <c r="BQ327" s="201">
        <f t="shared" si="371"/>
        <v>1272.5500000000466</v>
      </c>
      <c r="BR327" s="201">
        <f t="shared" si="367"/>
        <v>0</v>
      </c>
      <c r="BS327" s="201">
        <f t="shared" si="367"/>
        <v>1272.5500000000466</v>
      </c>
      <c r="BT327" s="201">
        <f t="shared" si="372"/>
        <v>1272.5500000000466</v>
      </c>
      <c r="BU327" s="213">
        <f t="shared" si="369"/>
        <v>0</v>
      </c>
      <c r="BV327" s="201"/>
      <c r="BW327" s="201"/>
      <c r="BX327" s="201">
        <f t="shared" si="373"/>
        <v>0</v>
      </c>
      <c r="BY327" s="199">
        <v>66500</v>
      </c>
      <c r="BZ327" s="199">
        <v>285000</v>
      </c>
      <c r="CA327" s="199">
        <v>494000</v>
      </c>
      <c r="CB327" s="199">
        <v>104500</v>
      </c>
      <c r="CC327" s="199">
        <v>0</v>
      </c>
      <c r="CD327" s="199">
        <v>0</v>
      </c>
      <c r="CE327" s="199"/>
      <c r="CF327" s="199"/>
      <c r="CG327" s="199"/>
      <c r="CH327" s="199"/>
      <c r="CI327" s="199"/>
      <c r="CJ327" s="199"/>
      <c r="CK327" s="214" t="s">
        <v>889</v>
      </c>
      <c r="CL327" s="214" t="s">
        <v>610</v>
      </c>
      <c r="CM327" s="211">
        <v>198</v>
      </c>
      <c r="CN327" s="215"/>
      <c r="CO327" s="215"/>
      <c r="CP327" s="216"/>
      <c r="CQ327" s="217"/>
      <c r="CR327" s="211"/>
      <c r="CS327" s="218"/>
      <c r="CT327" s="218"/>
      <c r="CU327" s="218"/>
      <c r="CV327" s="211"/>
      <c r="CW327" s="211"/>
      <c r="CX327" s="211"/>
      <c r="CY327" s="211"/>
      <c r="CZ327" s="211"/>
      <c r="DA327" s="211"/>
      <c r="DB327" s="211"/>
      <c r="DC327" s="219"/>
      <c r="DD327" s="219"/>
      <c r="DE327" s="219"/>
      <c r="DF327" s="211"/>
      <c r="DG327" s="211"/>
      <c r="DH327" s="211"/>
      <c r="DI327" s="211"/>
      <c r="DJ327" s="211"/>
      <c r="DK327" s="220" t="s">
        <v>32</v>
      </c>
      <c r="DT327" s="222"/>
    </row>
    <row r="328" spans="1:124" s="176" customFormat="1" ht="42" x14ac:dyDescent="0.2">
      <c r="A328" s="195" t="s">
        <v>108</v>
      </c>
      <c r="B328" s="197" t="s">
        <v>890</v>
      </c>
      <c r="C328" s="198">
        <v>1</v>
      </c>
      <c r="D328" s="199">
        <v>980000</v>
      </c>
      <c r="E328" s="198" t="s">
        <v>714</v>
      </c>
      <c r="F328" s="198" t="s">
        <v>106</v>
      </c>
      <c r="G328" s="198" t="s">
        <v>98</v>
      </c>
      <c r="H328" s="200">
        <v>1</v>
      </c>
      <c r="I328" s="199">
        <f t="shared" si="374"/>
        <v>0</v>
      </c>
      <c r="J328" s="199">
        <f t="shared" si="375"/>
        <v>980000</v>
      </c>
      <c r="K328" s="199">
        <f t="shared" si="376"/>
        <v>980000</v>
      </c>
      <c r="L328" s="199"/>
      <c r="M328" s="199">
        <v>980000</v>
      </c>
      <c r="N328" s="199">
        <f t="shared" si="377"/>
        <v>980000</v>
      </c>
      <c r="O328" s="199"/>
      <c r="P328" s="201">
        <v>0</v>
      </c>
      <c r="Q328" s="202">
        <v>14</v>
      </c>
      <c r="R328" s="203">
        <v>45566</v>
      </c>
      <c r="S328" s="199"/>
      <c r="T328" s="199">
        <v>980000</v>
      </c>
      <c r="U328" s="204">
        <f t="shared" si="378"/>
        <v>980000</v>
      </c>
      <c r="V328" s="198"/>
      <c r="W328" s="206"/>
      <c r="X328" s="201"/>
      <c r="Y328" s="201"/>
      <c r="Z328" s="201">
        <f t="shared" si="379"/>
        <v>0</v>
      </c>
      <c r="AA328" s="198"/>
      <c r="AB328" s="206"/>
      <c r="AC328" s="207"/>
      <c r="AD328" s="201"/>
      <c r="AE328" s="204">
        <f t="shared" si="380"/>
        <v>0</v>
      </c>
      <c r="AF328" s="203">
        <f t="shared" si="381"/>
        <v>45566</v>
      </c>
      <c r="AG328" s="201">
        <f t="shared" si="382"/>
        <v>0</v>
      </c>
      <c r="AH328" s="199">
        <f t="shared" si="383"/>
        <v>980000</v>
      </c>
      <c r="AI328" s="199">
        <f t="shared" si="384"/>
        <v>980000</v>
      </c>
      <c r="AJ328" s="201">
        <f t="shared" si="365"/>
        <v>0</v>
      </c>
      <c r="AK328" s="201">
        <f t="shared" si="365"/>
        <v>980000</v>
      </c>
      <c r="AL328" s="201">
        <f t="shared" si="385"/>
        <v>980000</v>
      </c>
      <c r="AM328" s="198"/>
      <c r="AN328" s="203"/>
      <c r="AO328" s="208"/>
      <c r="AP328" s="201">
        <f t="shared" si="386"/>
        <v>0</v>
      </c>
      <c r="AQ328" s="201">
        <f t="shared" si="387"/>
        <v>979888.36</v>
      </c>
      <c r="AR328" s="201">
        <f t="shared" si="388"/>
        <v>979888.36</v>
      </c>
      <c r="AS328" s="201">
        <f t="shared" si="389"/>
        <v>99.988608163265312</v>
      </c>
      <c r="AT328" s="201"/>
      <c r="AU328" s="223">
        <v>979888.36</v>
      </c>
      <c r="AV328" s="201">
        <f t="shared" si="390"/>
        <v>979888.36</v>
      </c>
      <c r="AW328" s="201">
        <f t="shared" si="368"/>
        <v>0</v>
      </c>
      <c r="AX328" s="201">
        <f t="shared" si="391"/>
        <v>99.988608163265312</v>
      </c>
      <c r="AY328" s="208"/>
      <c r="AZ328" s="201">
        <f t="shared" si="392"/>
        <v>0</v>
      </c>
      <c r="BA328" s="201">
        <f t="shared" si="393"/>
        <v>0</v>
      </c>
      <c r="BB328" s="201">
        <f t="shared" si="394"/>
        <v>0</v>
      </c>
      <c r="BC328" s="201"/>
      <c r="BD328" s="223">
        <v>0</v>
      </c>
      <c r="BE328" s="201">
        <f t="shared" si="370"/>
        <v>0</v>
      </c>
      <c r="BF328" s="208"/>
      <c r="BG328" s="201">
        <f t="shared" si="366"/>
        <v>0</v>
      </c>
      <c r="BH328" s="201">
        <f t="shared" si="366"/>
        <v>979888.36</v>
      </c>
      <c r="BI328" s="201">
        <f t="shared" si="395"/>
        <v>979888.36</v>
      </c>
      <c r="BJ328" s="201">
        <f t="shared" si="396"/>
        <v>99.988608163265312</v>
      </c>
      <c r="BK328" s="201">
        <v>89</v>
      </c>
      <c r="BL328" s="224">
        <v>90</v>
      </c>
      <c r="BM328" s="211"/>
      <c r="BN328" s="211"/>
      <c r="BO328" s="212">
        <f t="shared" si="397"/>
        <v>0</v>
      </c>
      <c r="BP328" s="201">
        <f t="shared" si="398"/>
        <v>111.64000000001397</v>
      </c>
      <c r="BQ328" s="201">
        <f t="shared" si="371"/>
        <v>111.64000000001397</v>
      </c>
      <c r="BR328" s="201">
        <f t="shared" si="367"/>
        <v>0</v>
      </c>
      <c r="BS328" s="201">
        <f t="shared" si="367"/>
        <v>111.64000000001397</v>
      </c>
      <c r="BT328" s="201">
        <f t="shared" si="372"/>
        <v>111.64000000001397</v>
      </c>
      <c r="BU328" s="213">
        <f t="shared" si="369"/>
        <v>0</v>
      </c>
      <c r="BV328" s="201"/>
      <c r="BW328" s="201"/>
      <c r="BX328" s="201">
        <f t="shared" si="373"/>
        <v>0</v>
      </c>
      <c r="BY328" s="199">
        <v>68600</v>
      </c>
      <c r="BZ328" s="199">
        <v>294000</v>
      </c>
      <c r="CA328" s="199">
        <v>509600</v>
      </c>
      <c r="CB328" s="199">
        <v>107800</v>
      </c>
      <c r="CC328" s="199">
        <v>0</v>
      </c>
      <c r="CD328" s="199">
        <v>0</v>
      </c>
      <c r="CE328" s="199"/>
      <c r="CF328" s="199"/>
      <c r="CG328" s="199"/>
      <c r="CH328" s="199"/>
      <c r="CI328" s="199"/>
      <c r="CJ328" s="199"/>
      <c r="CK328" s="214" t="s">
        <v>891</v>
      </c>
      <c r="CL328" s="214" t="s">
        <v>610</v>
      </c>
      <c r="CM328" s="211">
        <v>198</v>
      </c>
      <c r="CN328" s="215"/>
      <c r="CO328" s="215"/>
      <c r="CP328" s="216"/>
      <c r="CQ328" s="217"/>
      <c r="CR328" s="211"/>
      <c r="CS328" s="218"/>
      <c r="CT328" s="218"/>
      <c r="CU328" s="218"/>
      <c r="CV328" s="211"/>
      <c r="CW328" s="211"/>
      <c r="CX328" s="211"/>
      <c r="CY328" s="211"/>
      <c r="CZ328" s="211"/>
      <c r="DA328" s="211"/>
      <c r="DB328" s="211"/>
      <c r="DC328" s="219"/>
      <c r="DD328" s="219"/>
      <c r="DE328" s="219"/>
      <c r="DF328" s="211"/>
      <c r="DG328" s="211"/>
      <c r="DH328" s="211"/>
      <c r="DI328" s="211"/>
      <c r="DJ328" s="211"/>
      <c r="DK328" s="220" t="s">
        <v>32</v>
      </c>
      <c r="DT328" s="222"/>
    </row>
    <row r="329" spans="1:124" s="176" customFormat="1" ht="42" x14ac:dyDescent="0.2">
      <c r="A329" s="195" t="s">
        <v>108</v>
      </c>
      <c r="B329" s="197" t="s">
        <v>892</v>
      </c>
      <c r="C329" s="198">
        <v>1</v>
      </c>
      <c r="D329" s="199">
        <v>980000</v>
      </c>
      <c r="E329" s="198" t="s">
        <v>665</v>
      </c>
      <c r="F329" s="198" t="s">
        <v>665</v>
      </c>
      <c r="G329" s="198" t="s">
        <v>98</v>
      </c>
      <c r="H329" s="200">
        <v>1</v>
      </c>
      <c r="I329" s="199">
        <f t="shared" si="374"/>
        <v>0</v>
      </c>
      <c r="J329" s="199">
        <f t="shared" si="375"/>
        <v>980000</v>
      </c>
      <c r="K329" s="199">
        <f t="shared" si="376"/>
        <v>980000</v>
      </c>
      <c r="L329" s="199"/>
      <c r="M329" s="199">
        <v>980000</v>
      </c>
      <c r="N329" s="199">
        <f t="shared" si="377"/>
        <v>980000</v>
      </c>
      <c r="O329" s="199"/>
      <c r="P329" s="201">
        <v>0</v>
      </c>
      <c r="Q329" s="202">
        <v>14</v>
      </c>
      <c r="R329" s="203">
        <v>45566</v>
      </c>
      <c r="S329" s="199"/>
      <c r="T329" s="199">
        <v>980000</v>
      </c>
      <c r="U329" s="204">
        <f t="shared" si="378"/>
        <v>980000</v>
      </c>
      <c r="V329" s="198"/>
      <c r="W329" s="206"/>
      <c r="X329" s="201"/>
      <c r="Y329" s="201"/>
      <c r="Z329" s="201">
        <f t="shared" si="379"/>
        <v>0</v>
      </c>
      <c r="AA329" s="198"/>
      <c r="AB329" s="206"/>
      <c r="AC329" s="207"/>
      <c r="AD329" s="201"/>
      <c r="AE329" s="204">
        <f t="shared" si="380"/>
        <v>0</v>
      </c>
      <c r="AF329" s="203">
        <f t="shared" si="381"/>
        <v>45566</v>
      </c>
      <c r="AG329" s="201">
        <f t="shared" si="382"/>
        <v>0</v>
      </c>
      <c r="AH329" s="199">
        <f t="shared" si="383"/>
        <v>980000</v>
      </c>
      <c r="AI329" s="199">
        <f t="shared" si="384"/>
        <v>980000</v>
      </c>
      <c r="AJ329" s="201">
        <f t="shared" si="365"/>
        <v>0</v>
      </c>
      <c r="AK329" s="201">
        <f t="shared" si="365"/>
        <v>980000</v>
      </c>
      <c r="AL329" s="201">
        <f t="shared" si="385"/>
        <v>980000</v>
      </c>
      <c r="AM329" s="198"/>
      <c r="AN329" s="203"/>
      <c r="AO329" s="208"/>
      <c r="AP329" s="201">
        <f t="shared" si="386"/>
        <v>0</v>
      </c>
      <c r="AQ329" s="201">
        <f t="shared" si="387"/>
        <v>903937.51</v>
      </c>
      <c r="AR329" s="201">
        <f t="shared" si="388"/>
        <v>903937.51</v>
      </c>
      <c r="AS329" s="201">
        <f t="shared" si="389"/>
        <v>92.238521428571431</v>
      </c>
      <c r="AT329" s="201"/>
      <c r="AU329" s="223">
        <v>903937.51</v>
      </c>
      <c r="AV329" s="201">
        <f t="shared" si="390"/>
        <v>903937.51</v>
      </c>
      <c r="AW329" s="322">
        <f t="shared" si="368"/>
        <v>0</v>
      </c>
      <c r="AX329" s="201">
        <f t="shared" si="391"/>
        <v>92.238521428571431</v>
      </c>
      <c r="AY329" s="208"/>
      <c r="AZ329" s="201">
        <f t="shared" si="392"/>
        <v>0</v>
      </c>
      <c r="BA329" s="201">
        <f t="shared" si="393"/>
        <v>0</v>
      </c>
      <c r="BB329" s="201">
        <f t="shared" si="394"/>
        <v>0</v>
      </c>
      <c r="BC329" s="201"/>
      <c r="BD329" s="223">
        <v>0</v>
      </c>
      <c r="BE329" s="201">
        <f t="shared" si="370"/>
        <v>0</v>
      </c>
      <c r="BF329" s="208"/>
      <c r="BG329" s="201">
        <f t="shared" si="366"/>
        <v>0</v>
      </c>
      <c r="BH329" s="201">
        <f t="shared" si="366"/>
        <v>903937.51</v>
      </c>
      <c r="BI329" s="201">
        <f t="shared" si="395"/>
        <v>903937.51</v>
      </c>
      <c r="BJ329" s="201">
        <f t="shared" si="396"/>
        <v>92.238521428571431</v>
      </c>
      <c r="BK329" s="201">
        <v>89</v>
      </c>
      <c r="BL329" s="224">
        <v>80</v>
      </c>
      <c r="BM329" s="211"/>
      <c r="BN329" s="211"/>
      <c r="BO329" s="212">
        <f t="shared" si="397"/>
        <v>0</v>
      </c>
      <c r="BP329" s="201">
        <f t="shared" si="398"/>
        <v>76062.489999999991</v>
      </c>
      <c r="BQ329" s="201">
        <f t="shared" si="371"/>
        <v>76062.489999999991</v>
      </c>
      <c r="BR329" s="201">
        <f t="shared" si="367"/>
        <v>0</v>
      </c>
      <c r="BS329" s="201">
        <f t="shared" si="367"/>
        <v>76062.489999999991</v>
      </c>
      <c r="BT329" s="201">
        <f t="shared" si="372"/>
        <v>76062.489999999991</v>
      </c>
      <c r="BU329" s="213">
        <f t="shared" si="369"/>
        <v>0</v>
      </c>
      <c r="BV329" s="201"/>
      <c r="BW329" s="201"/>
      <c r="BX329" s="201">
        <f t="shared" si="373"/>
        <v>0</v>
      </c>
      <c r="BY329" s="199">
        <v>68600</v>
      </c>
      <c r="BZ329" s="199">
        <v>294000</v>
      </c>
      <c r="CA329" s="199">
        <v>509600</v>
      </c>
      <c r="CB329" s="199">
        <v>107800</v>
      </c>
      <c r="CC329" s="199">
        <v>0</v>
      </c>
      <c r="CD329" s="199">
        <v>0</v>
      </c>
      <c r="CE329" s="199"/>
      <c r="CF329" s="199"/>
      <c r="CG329" s="199"/>
      <c r="CH329" s="199"/>
      <c r="CI329" s="199"/>
      <c r="CJ329" s="199"/>
      <c r="CK329" s="214" t="s">
        <v>893</v>
      </c>
      <c r="CL329" s="214" t="s">
        <v>610</v>
      </c>
      <c r="CM329" s="211">
        <v>198</v>
      </c>
      <c r="CN329" s="215"/>
      <c r="CO329" s="215"/>
      <c r="CP329" s="216"/>
      <c r="CQ329" s="217"/>
      <c r="CR329" s="211"/>
      <c r="CS329" s="218"/>
      <c r="CT329" s="218"/>
      <c r="CU329" s="218"/>
      <c r="CV329" s="211"/>
      <c r="CW329" s="211"/>
      <c r="CX329" s="211"/>
      <c r="CY329" s="211"/>
      <c r="CZ329" s="211"/>
      <c r="DA329" s="211"/>
      <c r="DB329" s="211"/>
      <c r="DC329" s="219"/>
      <c r="DD329" s="219"/>
      <c r="DE329" s="219"/>
      <c r="DF329" s="211"/>
      <c r="DG329" s="211"/>
      <c r="DH329" s="211"/>
      <c r="DI329" s="211"/>
      <c r="DJ329" s="211"/>
      <c r="DK329" s="220" t="s">
        <v>32</v>
      </c>
      <c r="DT329" s="222"/>
    </row>
    <row r="330" spans="1:124" s="176" customFormat="1" ht="42" x14ac:dyDescent="0.2">
      <c r="A330" s="195" t="s">
        <v>108</v>
      </c>
      <c r="B330" s="197" t="s">
        <v>894</v>
      </c>
      <c r="C330" s="198">
        <v>1</v>
      </c>
      <c r="D330" s="199">
        <v>600000</v>
      </c>
      <c r="E330" s="198" t="s">
        <v>895</v>
      </c>
      <c r="F330" s="198" t="s">
        <v>327</v>
      </c>
      <c r="G330" s="198" t="s">
        <v>98</v>
      </c>
      <c r="H330" s="200">
        <v>1</v>
      </c>
      <c r="I330" s="199">
        <f t="shared" si="374"/>
        <v>0</v>
      </c>
      <c r="J330" s="199">
        <f t="shared" si="375"/>
        <v>600000</v>
      </c>
      <c r="K330" s="199">
        <f t="shared" si="376"/>
        <v>600000</v>
      </c>
      <c r="L330" s="199"/>
      <c r="M330" s="199">
        <v>600000</v>
      </c>
      <c r="N330" s="199">
        <f t="shared" si="377"/>
        <v>600000</v>
      </c>
      <c r="O330" s="199"/>
      <c r="P330" s="201">
        <v>0</v>
      </c>
      <c r="Q330" s="202">
        <v>14</v>
      </c>
      <c r="R330" s="203">
        <v>45566</v>
      </c>
      <c r="S330" s="199"/>
      <c r="T330" s="199">
        <v>600000</v>
      </c>
      <c r="U330" s="204">
        <f t="shared" si="378"/>
        <v>600000</v>
      </c>
      <c r="V330" s="198"/>
      <c r="W330" s="206"/>
      <c r="X330" s="201"/>
      <c r="Y330" s="201"/>
      <c r="Z330" s="201">
        <f t="shared" si="379"/>
        <v>0</v>
      </c>
      <c r="AA330" s="198"/>
      <c r="AB330" s="206"/>
      <c r="AC330" s="207"/>
      <c r="AD330" s="201"/>
      <c r="AE330" s="204">
        <f t="shared" si="380"/>
        <v>0</v>
      </c>
      <c r="AF330" s="203">
        <f t="shared" si="381"/>
        <v>45566</v>
      </c>
      <c r="AG330" s="201">
        <f t="shared" si="382"/>
        <v>0</v>
      </c>
      <c r="AH330" s="199">
        <f t="shared" si="383"/>
        <v>600000</v>
      </c>
      <c r="AI330" s="199">
        <f t="shared" si="384"/>
        <v>600000</v>
      </c>
      <c r="AJ330" s="201">
        <f t="shared" si="365"/>
        <v>0</v>
      </c>
      <c r="AK330" s="201">
        <f t="shared" si="365"/>
        <v>600000</v>
      </c>
      <c r="AL330" s="201">
        <f t="shared" si="385"/>
        <v>600000</v>
      </c>
      <c r="AM330" s="198"/>
      <c r="AN330" s="203"/>
      <c r="AO330" s="208"/>
      <c r="AP330" s="201">
        <f t="shared" si="386"/>
        <v>0</v>
      </c>
      <c r="AQ330" s="201">
        <f t="shared" si="387"/>
        <v>598934.55000000005</v>
      </c>
      <c r="AR330" s="201">
        <f t="shared" si="388"/>
        <v>598934.55000000005</v>
      </c>
      <c r="AS330" s="201">
        <f t="shared" si="389"/>
        <v>99.82242500000001</v>
      </c>
      <c r="AT330" s="201"/>
      <c r="AU330" s="209">
        <v>598934.55000000005</v>
      </c>
      <c r="AV330" s="201">
        <f t="shared" si="390"/>
        <v>598934.55000000005</v>
      </c>
      <c r="AW330" s="322">
        <f t="shared" si="368"/>
        <v>0</v>
      </c>
      <c r="AX330" s="201">
        <f t="shared" si="391"/>
        <v>99.82242500000001</v>
      </c>
      <c r="AY330" s="208"/>
      <c r="AZ330" s="201">
        <f t="shared" si="392"/>
        <v>0</v>
      </c>
      <c r="BA330" s="201">
        <f t="shared" si="393"/>
        <v>0</v>
      </c>
      <c r="BB330" s="201">
        <f t="shared" si="394"/>
        <v>0</v>
      </c>
      <c r="BC330" s="201"/>
      <c r="BD330" s="223">
        <v>0</v>
      </c>
      <c r="BE330" s="201">
        <f t="shared" si="370"/>
        <v>0</v>
      </c>
      <c r="BF330" s="208"/>
      <c r="BG330" s="201">
        <f t="shared" si="366"/>
        <v>0</v>
      </c>
      <c r="BH330" s="201">
        <f t="shared" si="366"/>
        <v>598934.55000000005</v>
      </c>
      <c r="BI330" s="201">
        <f t="shared" si="395"/>
        <v>598934.55000000005</v>
      </c>
      <c r="BJ330" s="201">
        <f t="shared" si="396"/>
        <v>99.82242500000001</v>
      </c>
      <c r="BK330" s="201">
        <v>89</v>
      </c>
      <c r="BL330" s="224">
        <v>95</v>
      </c>
      <c r="BM330" s="211"/>
      <c r="BN330" s="211"/>
      <c r="BO330" s="212">
        <f t="shared" si="397"/>
        <v>0</v>
      </c>
      <c r="BP330" s="201">
        <f t="shared" si="398"/>
        <v>1065.4499999999534</v>
      </c>
      <c r="BQ330" s="201">
        <f t="shared" si="371"/>
        <v>1065.4499999999534</v>
      </c>
      <c r="BR330" s="201">
        <f t="shared" si="367"/>
        <v>0</v>
      </c>
      <c r="BS330" s="201">
        <f t="shared" si="367"/>
        <v>1065.4499999999534</v>
      </c>
      <c r="BT330" s="201">
        <f t="shared" si="372"/>
        <v>1065.4499999999534</v>
      </c>
      <c r="BU330" s="213">
        <f t="shared" si="369"/>
        <v>0</v>
      </c>
      <c r="BV330" s="201"/>
      <c r="BW330" s="201"/>
      <c r="BX330" s="201">
        <f t="shared" si="373"/>
        <v>0</v>
      </c>
      <c r="BY330" s="199">
        <v>42000</v>
      </c>
      <c r="BZ330" s="199">
        <v>180000</v>
      </c>
      <c r="CA330" s="199">
        <v>312000</v>
      </c>
      <c r="CB330" s="199">
        <v>66000</v>
      </c>
      <c r="CC330" s="199">
        <v>0</v>
      </c>
      <c r="CD330" s="199">
        <v>0</v>
      </c>
      <c r="CE330" s="199"/>
      <c r="CF330" s="199"/>
      <c r="CG330" s="199"/>
      <c r="CH330" s="199"/>
      <c r="CI330" s="199"/>
      <c r="CJ330" s="199"/>
      <c r="CK330" s="214" t="s">
        <v>896</v>
      </c>
      <c r="CL330" s="214" t="s">
        <v>610</v>
      </c>
      <c r="CM330" s="211">
        <v>198</v>
      </c>
      <c r="CN330" s="215"/>
      <c r="CO330" s="215"/>
      <c r="CP330" s="216"/>
      <c r="CQ330" s="217"/>
      <c r="CR330" s="211"/>
      <c r="CS330" s="218"/>
      <c r="CT330" s="218"/>
      <c r="CU330" s="218"/>
      <c r="CV330" s="211"/>
      <c r="CW330" s="211"/>
      <c r="CX330" s="211"/>
      <c r="CY330" s="211"/>
      <c r="CZ330" s="211"/>
      <c r="DA330" s="211"/>
      <c r="DB330" s="211"/>
      <c r="DC330" s="219"/>
      <c r="DD330" s="219"/>
      <c r="DE330" s="219"/>
      <c r="DF330" s="211"/>
      <c r="DG330" s="211"/>
      <c r="DH330" s="211"/>
      <c r="DI330" s="211"/>
      <c r="DJ330" s="211"/>
      <c r="DK330" s="220" t="s">
        <v>32</v>
      </c>
      <c r="DT330" s="222"/>
    </row>
    <row r="331" spans="1:124" s="176" customFormat="1" ht="42" x14ac:dyDescent="0.2">
      <c r="A331" s="195" t="s">
        <v>108</v>
      </c>
      <c r="B331" s="197" t="s">
        <v>897</v>
      </c>
      <c r="C331" s="198">
        <v>1</v>
      </c>
      <c r="D331" s="199">
        <v>650000</v>
      </c>
      <c r="E331" s="247" t="s">
        <v>664</v>
      </c>
      <c r="F331" s="247" t="s">
        <v>665</v>
      </c>
      <c r="G331" s="247" t="s">
        <v>98</v>
      </c>
      <c r="H331" s="297">
        <v>1</v>
      </c>
      <c r="I331" s="298">
        <f t="shared" si="374"/>
        <v>0</v>
      </c>
      <c r="J331" s="298">
        <f t="shared" si="375"/>
        <v>650000</v>
      </c>
      <c r="K331" s="298">
        <f t="shared" si="376"/>
        <v>650000</v>
      </c>
      <c r="L331" s="298"/>
      <c r="M331" s="298">
        <v>650000</v>
      </c>
      <c r="N331" s="298">
        <f t="shared" si="377"/>
        <v>650000</v>
      </c>
      <c r="O331" s="298"/>
      <c r="P331" s="299">
        <v>0</v>
      </c>
      <c r="Q331" s="300"/>
      <c r="R331" s="301"/>
      <c r="S331" s="298"/>
      <c r="T331" s="298"/>
      <c r="U331" s="302">
        <f t="shared" si="378"/>
        <v>0</v>
      </c>
      <c r="V331" s="247"/>
      <c r="W331" s="304"/>
      <c r="X331" s="299"/>
      <c r="Y331" s="299"/>
      <c r="Z331" s="299">
        <f t="shared" si="379"/>
        <v>0</v>
      </c>
      <c r="AA331" s="247"/>
      <c r="AB331" s="304"/>
      <c r="AC331" s="305"/>
      <c r="AD331" s="299"/>
      <c r="AE331" s="302">
        <f t="shared" si="380"/>
        <v>0</v>
      </c>
      <c r="AF331" s="203">
        <f t="shared" si="381"/>
        <v>0</v>
      </c>
      <c r="AG331" s="299">
        <f t="shared" si="382"/>
        <v>0</v>
      </c>
      <c r="AH331" s="298">
        <f t="shared" si="383"/>
        <v>0</v>
      </c>
      <c r="AI331" s="298">
        <f t="shared" si="384"/>
        <v>0</v>
      </c>
      <c r="AJ331" s="201">
        <f t="shared" si="365"/>
        <v>0</v>
      </c>
      <c r="AK331" s="201">
        <f t="shared" si="365"/>
        <v>0</v>
      </c>
      <c r="AL331" s="201">
        <f t="shared" si="385"/>
        <v>0</v>
      </c>
      <c r="AM331" s="247"/>
      <c r="AN331" s="301"/>
      <c r="AO331" s="208"/>
      <c r="AP331" s="299">
        <f t="shared" si="386"/>
        <v>0</v>
      </c>
      <c r="AQ331" s="299">
        <f t="shared" si="387"/>
        <v>0</v>
      </c>
      <c r="AR331" s="299">
        <f t="shared" si="388"/>
        <v>0</v>
      </c>
      <c r="AS331" s="299">
        <f t="shared" si="389"/>
        <v>0</v>
      </c>
      <c r="AT331" s="201"/>
      <c r="AU331" s="209"/>
      <c r="AV331" s="201">
        <f t="shared" si="390"/>
        <v>0</v>
      </c>
      <c r="AW331" s="201" t="e">
        <f t="shared" si="368"/>
        <v>#DIV/0!</v>
      </c>
      <c r="AX331" s="201">
        <f t="shared" si="391"/>
        <v>0</v>
      </c>
      <c r="AY331" s="208"/>
      <c r="AZ331" s="299">
        <f t="shared" si="392"/>
        <v>0</v>
      </c>
      <c r="BA331" s="299">
        <f t="shared" si="393"/>
        <v>0</v>
      </c>
      <c r="BB331" s="299">
        <f t="shared" si="394"/>
        <v>0</v>
      </c>
      <c r="BC331" s="201"/>
      <c r="BD331" s="223"/>
      <c r="BE331" s="201">
        <f t="shared" si="370"/>
        <v>0</v>
      </c>
      <c r="BF331" s="208"/>
      <c r="BG331" s="201">
        <f t="shared" si="366"/>
        <v>0</v>
      </c>
      <c r="BH331" s="201">
        <f t="shared" si="366"/>
        <v>0</v>
      </c>
      <c r="BI331" s="201">
        <f t="shared" si="395"/>
        <v>0</v>
      </c>
      <c r="BJ331" s="201" t="e">
        <f t="shared" si="396"/>
        <v>#DIV/0!</v>
      </c>
      <c r="BK331" s="201"/>
      <c r="BL331" s="210"/>
      <c r="BM331" s="211" t="s">
        <v>602</v>
      </c>
      <c r="BN331" s="211"/>
      <c r="BO331" s="212">
        <f t="shared" si="397"/>
        <v>0</v>
      </c>
      <c r="BP331" s="201">
        <f t="shared" si="398"/>
        <v>0</v>
      </c>
      <c r="BQ331" s="201">
        <f t="shared" si="371"/>
        <v>0</v>
      </c>
      <c r="BR331" s="201">
        <f t="shared" si="367"/>
        <v>0</v>
      </c>
      <c r="BS331" s="201">
        <f t="shared" si="367"/>
        <v>0</v>
      </c>
      <c r="BT331" s="201">
        <f t="shared" si="372"/>
        <v>0</v>
      </c>
      <c r="BU331" s="213">
        <f t="shared" si="369"/>
        <v>0</v>
      </c>
      <c r="BV331" s="201"/>
      <c r="BW331" s="201"/>
      <c r="BX331" s="201">
        <f t="shared" si="373"/>
        <v>0</v>
      </c>
      <c r="BY331" s="199"/>
      <c r="BZ331" s="199"/>
      <c r="CA331" s="199"/>
      <c r="CB331" s="199"/>
      <c r="CC331" s="199">
        <v>0</v>
      </c>
      <c r="CD331" s="199">
        <v>0</v>
      </c>
      <c r="CE331" s="199"/>
      <c r="CF331" s="199"/>
      <c r="CG331" s="199"/>
      <c r="CH331" s="199"/>
      <c r="CI331" s="199"/>
      <c r="CJ331" s="199"/>
      <c r="CK331" s="214"/>
      <c r="CL331" s="214"/>
      <c r="CM331" s="211">
        <v>191</v>
      </c>
      <c r="CN331" s="215"/>
      <c r="CO331" s="215"/>
      <c r="CP331" s="216"/>
      <c r="CQ331" s="217"/>
      <c r="CR331" s="211"/>
      <c r="CS331" s="218"/>
      <c r="CT331" s="218"/>
      <c r="CU331" s="218"/>
      <c r="CV331" s="211"/>
      <c r="CW331" s="211"/>
      <c r="CX331" s="211"/>
      <c r="CY331" s="211"/>
      <c r="CZ331" s="211"/>
      <c r="DA331" s="211"/>
      <c r="DB331" s="211"/>
      <c r="DC331" s="219"/>
      <c r="DD331" s="219"/>
      <c r="DE331" s="219"/>
      <c r="DF331" s="211"/>
      <c r="DG331" s="211"/>
      <c r="DH331" s="211"/>
      <c r="DI331" s="211"/>
      <c r="DJ331" s="211"/>
      <c r="DK331" s="220" t="s">
        <v>32</v>
      </c>
      <c r="DT331" s="222"/>
    </row>
    <row r="332" spans="1:124" s="176" customFormat="1" ht="63" x14ac:dyDescent="0.2">
      <c r="A332" s="294" t="s">
        <v>94</v>
      </c>
      <c r="B332" s="197" t="s">
        <v>898</v>
      </c>
      <c r="C332" s="198">
        <v>1</v>
      </c>
      <c r="D332" s="199">
        <v>550000</v>
      </c>
      <c r="E332" s="198" t="s">
        <v>767</v>
      </c>
      <c r="F332" s="198" t="s">
        <v>106</v>
      </c>
      <c r="G332" s="198" t="s">
        <v>98</v>
      </c>
      <c r="H332" s="200">
        <v>1</v>
      </c>
      <c r="I332" s="199">
        <f t="shared" si="374"/>
        <v>0</v>
      </c>
      <c r="J332" s="199">
        <f t="shared" si="375"/>
        <v>550000</v>
      </c>
      <c r="K332" s="199">
        <f t="shared" si="376"/>
        <v>550000</v>
      </c>
      <c r="L332" s="199"/>
      <c r="M332" s="199">
        <v>550000</v>
      </c>
      <c r="N332" s="199">
        <f t="shared" si="377"/>
        <v>550000</v>
      </c>
      <c r="O332" s="199"/>
      <c r="P332" s="201">
        <v>0</v>
      </c>
      <c r="Q332" s="202">
        <v>14</v>
      </c>
      <c r="R332" s="203">
        <v>45566</v>
      </c>
      <c r="S332" s="199"/>
      <c r="T332" s="199">
        <v>550000</v>
      </c>
      <c r="U332" s="204">
        <f t="shared" si="378"/>
        <v>550000</v>
      </c>
      <c r="V332" s="198"/>
      <c r="W332" s="206"/>
      <c r="X332" s="201"/>
      <c r="Y332" s="201">
        <v>-2712.47999999998</v>
      </c>
      <c r="Z332" s="201">
        <f t="shared" si="379"/>
        <v>-2712.47999999998</v>
      </c>
      <c r="AA332" s="198"/>
      <c r="AB332" s="206"/>
      <c r="AC332" s="207"/>
      <c r="AD332" s="201"/>
      <c r="AE332" s="204">
        <f t="shared" si="380"/>
        <v>0</v>
      </c>
      <c r="AF332" s="203">
        <f t="shared" si="381"/>
        <v>45566</v>
      </c>
      <c r="AG332" s="201">
        <f t="shared" si="382"/>
        <v>0</v>
      </c>
      <c r="AH332" s="199">
        <f t="shared" si="383"/>
        <v>547287.52</v>
      </c>
      <c r="AI332" s="199">
        <f t="shared" si="384"/>
        <v>547287.52</v>
      </c>
      <c r="AJ332" s="201">
        <f t="shared" si="365"/>
        <v>0</v>
      </c>
      <c r="AK332" s="201">
        <f t="shared" si="365"/>
        <v>547287.52</v>
      </c>
      <c r="AL332" s="201">
        <f t="shared" si="385"/>
        <v>547287.52</v>
      </c>
      <c r="AM332" s="198"/>
      <c r="AN332" s="203"/>
      <c r="AO332" s="208"/>
      <c r="AP332" s="201">
        <f t="shared" si="386"/>
        <v>0</v>
      </c>
      <c r="AQ332" s="201">
        <f t="shared" si="387"/>
        <v>547287.52</v>
      </c>
      <c r="AR332" s="201">
        <f t="shared" si="388"/>
        <v>547287.52</v>
      </c>
      <c r="AS332" s="201">
        <f t="shared" si="389"/>
        <v>100</v>
      </c>
      <c r="AT332" s="201"/>
      <c r="AU332" s="209">
        <v>547287.52</v>
      </c>
      <c r="AV332" s="201">
        <f t="shared" si="390"/>
        <v>547287.52</v>
      </c>
      <c r="AW332" s="322">
        <f t="shared" si="368"/>
        <v>0</v>
      </c>
      <c r="AX332" s="201">
        <f t="shared" si="391"/>
        <v>100</v>
      </c>
      <c r="AY332" s="208"/>
      <c r="AZ332" s="201">
        <f t="shared" si="392"/>
        <v>0</v>
      </c>
      <c r="BA332" s="201">
        <f t="shared" si="393"/>
        <v>0</v>
      </c>
      <c r="BB332" s="201">
        <f t="shared" si="394"/>
        <v>0</v>
      </c>
      <c r="BC332" s="201"/>
      <c r="BD332" s="209">
        <v>0</v>
      </c>
      <c r="BE332" s="201">
        <f t="shared" si="370"/>
        <v>0</v>
      </c>
      <c r="BF332" s="208"/>
      <c r="BG332" s="201">
        <f t="shared" si="366"/>
        <v>0</v>
      </c>
      <c r="BH332" s="201">
        <f t="shared" si="366"/>
        <v>547287.52</v>
      </c>
      <c r="BI332" s="201">
        <f t="shared" si="395"/>
        <v>547287.52</v>
      </c>
      <c r="BJ332" s="201">
        <f t="shared" si="396"/>
        <v>100</v>
      </c>
      <c r="BK332" s="201">
        <v>40</v>
      </c>
      <c r="BL332" s="210">
        <v>100</v>
      </c>
      <c r="BM332" s="211"/>
      <c r="BN332" s="211"/>
      <c r="BO332" s="212">
        <f t="shared" si="397"/>
        <v>0</v>
      </c>
      <c r="BP332" s="201">
        <f t="shared" si="398"/>
        <v>0</v>
      </c>
      <c r="BQ332" s="201">
        <f t="shared" si="371"/>
        <v>0</v>
      </c>
      <c r="BR332" s="201">
        <f t="shared" si="367"/>
        <v>0</v>
      </c>
      <c r="BS332" s="201">
        <f t="shared" si="367"/>
        <v>0</v>
      </c>
      <c r="BT332" s="201">
        <f t="shared" si="372"/>
        <v>0</v>
      </c>
      <c r="BU332" s="213">
        <f t="shared" si="369"/>
        <v>0</v>
      </c>
      <c r="BV332" s="201">
        <v>2712.4799999999814</v>
      </c>
      <c r="BW332" s="201"/>
      <c r="BX332" s="201">
        <f t="shared" si="373"/>
        <v>2712.4799999999814</v>
      </c>
      <c r="BY332" s="199">
        <v>183300</v>
      </c>
      <c r="BZ332" s="199">
        <v>183300</v>
      </c>
      <c r="CA332" s="199">
        <v>183400</v>
      </c>
      <c r="CB332" s="199">
        <v>0</v>
      </c>
      <c r="CC332" s="199">
        <v>0</v>
      </c>
      <c r="CD332" s="199">
        <v>0</v>
      </c>
      <c r="CE332" s="199"/>
      <c r="CF332" s="199"/>
      <c r="CG332" s="199"/>
      <c r="CH332" s="199"/>
      <c r="CI332" s="199"/>
      <c r="CJ332" s="199"/>
      <c r="CK332" s="214" t="s">
        <v>899</v>
      </c>
      <c r="CL332" s="214" t="s">
        <v>610</v>
      </c>
      <c r="CM332" s="211">
        <v>198</v>
      </c>
      <c r="CN332" s="215"/>
      <c r="CO332" s="215"/>
      <c r="CP332" s="216"/>
      <c r="CQ332" s="217"/>
      <c r="CR332" s="211"/>
      <c r="CS332" s="218"/>
      <c r="CT332" s="218"/>
      <c r="CU332" s="218"/>
      <c r="CV332" s="211"/>
      <c r="CW332" s="211"/>
      <c r="CX332" s="211"/>
      <c r="CY332" s="211"/>
      <c r="CZ332" s="211"/>
      <c r="DA332" s="211"/>
      <c r="DB332" s="211"/>
      <c r="DC332" s="219"/>
      <c r="DD332" s="219"/>
      <c r="DE332" s="219"/>
      <c r="DF332" s="211"/>
      <c r="DG332" s="211"/>
      <c r="DH332" s="211"/>
      <c r="DI332" s="211"/>
      <c r="DJ332" s="211"/>
      <c r="DK332" s="220" t="s">
        <v>32</v>
      </c>
      <c r="DT332" s="222"/>
    </row>
    <row r="333" spans="1:124" s="176" customFormat="1" ht="42" x14ac:dyDescent="0.2">
      <c r="A333" s="195" t="s">
        <v>108</v>
      </c>
      <c r="B333" s="197" t="s">
        <v>900</v>
      </c>
      <c r="C333" s="198">
        <v>1</v>
      </c>
      <c r="D333" s="199">
        <v>500000</v>
      </c>
      <c r="E333" s="198" t="s">
        <v>665</v>
      </c>
      <c r="F333" s="198" t="s">
        <v>665</v>
      </c>
      <c r="G333" s="198" t="s">
        <v>98</v>
      </c>
      <c r="H333" s="200">
        <v>1</v>
      </c>
      <c r="I333" s="199">
        <f t="shared" si="374"/>
        <v>0</v>
      </c>
      <c r="J333" s="199">
        <f t="shared" si="375"/>
        <v>500000</v>
      </c>
      <c r="K333" s="199">
        <f t="shared" si="376"/>
        <v>500000</v>
      </c>
      <c r="L333" s="199"/>
      <c r="M333" s="199">
        <v>500000</v>
      </c>
      <c r="N333" s="199">
        <f t="shared" si="377"/>
        <v>500000</v>
      </c>
      <c r="O333" s="199"/>
      <c r="P333" s="201">
        <v>0</v>
      </c>
      <c r="Q333" s="202">
        <v>14</v>
      </c>
      <c r="R333" s="203">
        <v>45566</v>
      </c>
      <c r="S333" s="199"/>
      <c r="T333" s="199">
        <v>500000</v>
      </c>
      <c r="U333" s="204">
        <f t="shared" si="378"/>
        <v>500000</v>
      </c>
      <c r="V333" s="198"/>
      <c r="W333" s="206"/>
      <c r="X333" s="201"/>
      <c r="Y333" s="201"/>
      <c r="Z333" s="201">
        <f t="shared" si="379"/>
        <v>0</v>
      </c>
      <c r="AA333" s="198"/>
      <c r="AB333" s="206"/>
      <c r="AC333" s="207"/>
      <c r="AD333" s="201"/>
      <c r="AE333" s="204">
        <f t="shared" si="380"/>
        <v>0</v>
      </c>
      <c r="AF333" s="203">
        <f t="shared" si="381"/>
        <v>45566</v>
      </c>
      <c r="AG333" s="201">
        <f t="shared" si="382"/>
        <v>0</v>
      </c>
      <c r="AH333" s="199">
        <f t="shared" si="383"/>
        <v>500000</v>
      </c>
      <c r="AI333" s="199">
        <f t="shared" si="384"/>
        <v>500000</v>
      </c>
      <c r="AJ333" s="201">
        <f t="shared" si="365"/>
        <v>0</v>
      </c>
      <c r="AK333" s="201">
        <f t="shared" si="365"/>
        <v>500000</v>
      </c>
      <c r="AL333" s="201">
        <f t="shared" si="385"/>
        <v>500000</v>
      </c>
      <c r="AM333" s="198"/>
      <c r="AN333" s="203"/>
      <c r="AO333" s="208"/>
      <c r="AP333" s="201">
        <f t="shared" si="386"/>
        <v>0</v>
      </c>
      <c r="AQ333" s="201">
        <f t="shared" si="387"/>
        <v>499031.11</v>
      </c>
      <c r="AR333" s="201">
        <f t="shared" si="388"/>
        <v>499031.11</v>
      </c>
      <c r="AS333" s="201">
        <f t="shared" si="389"/>
        <v>99.806222000000005</v>
      </c>
      <c r="AT333" s="201"/>
      <c r="AU333" s="223">
        <v>499031.11</v>
      </c>
      <c r="AV333" s="201">
        <f t="shared" si="390"/>
        <v>499031.11</v>
      </c>
      <c r="AW333" s="322">
        <f t="shared" si="368"/>
        <v>0</v>
      </c>
      <c r="AX333" s="201">
        <f t="shared" si="391"/>
        <v>99.806222000000005</v>
      </c>
      <c r="AY333" s="208"/>
      <c r="AZ333" s="201">
        <f t="shared" si="392"/>
        <v>0</v>
      </c>
      <c r="BA333" s="201">
        <f t="shared" si="393"/>
        <v>0</v>
      </c>
      <c r="BB333" s="201">
        <f t="shared" si="394"/>
        <v>0</v>
      </c>
      <c r="BC333" s="201"/>
      <c r="BD333" s="223">
        <v>0</v>
      </c>
      <c r="BE333" s="201">
        <f t="shared" si="370"/>
        <v>0</v>
      </c>
      <c r="BF333" s="208"/>
      <c r="BG333" s="201">
        <f t="shared" si="366"/>
        <v>0</v>
      </c>
      <c r="BH333" s="201">
        <f t="shared" si="366"/>
        <v>499031.11</v>
      </c>
      <c r="BI333" s="201">
        <f t="shared" si="395"/>
        <v>499031.11</v>
      </c>
      <c r="BJ333" s="201">
        <f t="shared" si="396"/>
        <v>99.806222000000005</v>
      </c>
      <c r="BK333" s="201">
        <v>89</v>
      </c>
      <c r="BL333" s="224">
        <v>90</v>
      </c>
      <c r="BM333" s="211"/>
      <c r="BN333" s="211"/>
      <c r="BO333" s="212">
        <f t="shared" si="397"/>
        <v>0</v>
      </c>
      <c r="BP333" s="201">
        <f t="shared" si="398"/>
        <v>968.89000000001397</v>
      </c>
      <c r="BQ333" s="201">
        <f t="shared" si="371"/>
        <v>968.89000000001397</v>
      </c>
      <c r="BR333" s="201">
        <f t="shared" si="367"/>
        <v>0</v>
      </c>
      <c r="BS333" s="201">
        <f t="shared" si="367"/>
        <v>968.89000000001397</v>
      </c>
      <c r="BT333" s="201">
        <f t="shared" si="372"/>
        <v>968.89000000001397</v>
      </c>
      <c r="BU333" s="213">
        <f t="shared" si="369"/>
        <v>0</v>
      </c>
      <c r="BV333" s="201"/>
      <c r="BW333" s="201"/>
      <c r="BX333" s="201">
        <f t="shared" si="373"/>
        <v>0</v>
      </c>
      <c r="BY333" s="199">
        <v>35000</v>
      </c>
      <c r="BZ333" s="199">
        <v>150000</v>
      </c>
      <c r="CA333" s="199">
        <v>260000</v>
      </c>
      <c r="CB333" s="199">
        <v>55000</v>
      </c>
      <c r="CC333" s="199">
        <v>0</v>
      </c>
      <c r="CD333" s="199">
        <v>0</v>
      </c>
      <c r="CE333" s="199"/>
      <c r="CF333" s="199"/>
      <c r="CG333" s="199"/>
      <c r="CH333" s="199"/>
      <c r="CI333" s="199"/>
      <c r="CJ333" s="199"/>
      <c r="CK333" s="214" t="s">
        <v>901</v>
      </c>
      <c r="CL333" s="214" t="s">
        <v>610</v>
      </c>
      <c r="CM333" s="211">
        <v>198</v>
      </c>
      <c r="CN333" s="215"/>
      <c r="CO333" s="215"/>
      <c r="CP333" s="216"/>
      <c r="CQ333" s="217"/>
      <c r="CR333" s="211"/>
      <c r="CS333" s="218"/>
      <c r="CT333" s="218"/>
      <c r="CU333" s="218"/>
      <c r="CV333" s="211"/>
      <c r="CW333" s="211"/>
      <c r="CX333" s="211"/>
      <c r="CY333" s="211"/>
      <c r="CZ333" s="211"/>
      <c r="DA333" s="211"/>
      <c r="DB333" s="211"/>
      <c r="DC333" s="219"/>
      <c r="DD333" s="219"/>
      <c r="DE333" s="219"/>
      <c r="DF333" s="211"/>
      <c r="DG333" s="211"/>
      <c r="DH333" s="211"/>
      <c r="DI333" s="211"/>
      <c r="DJ333" s="211"/>
      <c r="DK333" s="220" t="s">
        <v>32</v>
      </c>
      <c r="DT333" s="222"/>
    </row>
    <row r="334" spans="1:124" s="176" customFormat="1" ht="42" x14ac:dyDescent="0.2">
      <c r="A334" s="195" t="s">
        <v>108</v>
      </c>
      <c r="B334" s="197" t="s">
        <v>902</v>
      </c>
      <c r="C334" s="198">
        <v>1</v>
      </c>
      <c r="D334" s="199">
        <v>400000</v>
      </c>
      <c r="E334" s="198" t="s">
        <v>714</v>
      </c>
      <c r="F334" s="198" t="s">
        <v>106</v>
      </c>
      <c r="G334" s="198" t="s">
        <v>98</v>
      </c>
      <c r="H334" s="200">
        <v>1</v>
      </c>
      <c r="I334" s="199">
        <f t="shared" si="374"/>
        <v>0</v>
      </c>
      <c r="J334" s="199">
        <f t="shared" si="375"/>
        <v>400000</v>
      </c>
      <c r="K334" s="199">
        <f t="shared" si="376"/>
        <v>400000</v>
      </c>
      <c r="L334" s="199"/>
      <c r="M334" s="199">
        <v>400000</v>
      </c>
      <c r="N334" s="199">
        <f t="shared" si="377"/>
        <v>400000</v>
      </c>
      <c r="O334" s="199"/>
      <c r="P334" s="201">
        <v>0</v>
      </c>
      <c r="Q334" s="202">
        <v>14</v>
      </c>
      <c r="R334" s="203">
        <v>45566</v>
      </c>
      <c r="S334" s="199"/>
      <c r="T334" s="199">
        <v>400000</v>
      </c>
      <c r="U334" s="204">
        <f t="shared" si="378"/>
        <v>400000</v>
      </c>
      <c r="V334" s="198"/>
      <c r="W334" s="206"/>
      <c r="X334" s="201"/>
      <c r="Y334" s="201"/>
      <c r="Z334" s="201">
        <f t="shared" si="379"/>
        <v>0</v>
      </c>
      <c r="AA334" s="198"/>
      <c r="AB334" s="206"/>
      <c r="AC334" s="207"/>
      <c r="AD334" s="201"/>
      <c r="AE334" s="204">
        <f t="shared" si="380"/>
        <v>0</v>
      </c>
      <c r="AF334" s="203">
        <f t="shared" si="381"/>
        <v>45566</v>
      </c>
      <c r="AG334" s="201">
        <f t="shared" si="382"/>
        <v>0</v>
      </c>
      <c r="AH334" s="199">
        <f t="shared" si="383"/>
        <v>400000</v>
      </c>
      <c r="AI334" s="199">
        <f t="shared" si="384"/>
        <v>400000</v>
      </c>
      <c r="AJ334" s="201">
        <f t="shared" si="365"/>
        <v>0</v>
      </c>
      <c r="AK334" s="201">
        <f t="shared" si="365"/>
        <v>400000</v>
      </c>
      <c r="AL334" s="201">
        <f t="shared" si="385"/>
        <v>400000</v>
      </c>
      <c r="AM334" s="198"/>
      <c r="AN334" s="203"/>
      <c r="AO334" s="208"/>
      <c r="AP334" s="201">
        <f t="shared" si="386"/>
        <v>0</v>
      </c>
      <c r="AQ334" s="201">
        <f t="shared" si="387"/>
        <v>399645.54</v>
      </c>
      <c r="AR334" s="201">
        <f t="shared" si="388"/>
        <v>399645.54</v>
      </c>
      <c r="AS334" s="201">
        <f t="shared" si="389"/>
        <v>99.911384999999996</v>
      </c>
      <c r="AT334" s="201"/>
      <c r="AU334" s="223">
        <v>399645.54</v>
      </c>
      <c r="AV334" s="201">
        <f t="shared" si="390"/>
        <v>399645.54</v>
      </c>
      <c r="AW334" s="322">
        <f t="shared" si="368"/>
        <v>0</v>
      </c>
      <c r="AX334" s="201">
        <f t="shared" si="391"/>
        <v>99.911384999999996</v>
      </c>
      <c r="AY334" s="208"/>
      <c r="AZ334" s="201">
        <f t="shared" si="392"/>
        <v>0</v>
      </c>
      <c r="BA334" s="201">
        <f t="shared" si="393"/>
        <v>0</v>
      </c>
      <c r="BB334" s="201">
        <f t="shared" si="394"/>
        <v>0</v>
      </c>
      <c r="BC334" s="201"/>
      <c r="BD334" s="223">
        <v>0</v>
      </c>
      <c r="BE334" s="201">
        <f t="shared" si="370"/>
        <v>0</v>
      </c>
      <c r="BF334" s="208"/>
      <c r="BG334" s="201">
        <f t="shared" si="366"/>
        <v>0</v>
      </c>
      <c r="BH334" s="201">
        <f t="shared" si="366"/>
        <v>399645.54</v>
      </c>
      <c r="BI334" s="201">
        <f t="shared" si="395"/>
        <v>399645.54</v>
      </c>
      <c r="BJ334" s="201">
        <f t="shared" si="396"/>
        <v>99.911384999999996</v>
      </c>
      <c r="BK334" s="201">
        <v>89</v>
      </c>
      <c r="BL334" s="224">
        <v>80</v>
      </c>
      <c r="BM334" s="211"/>
      <c r="BN334" s="211"/>
      <c r="BO334" s="212">
        <f t="shared" si="397"/>
        <v>0</v>
      </c>
      <c r="BP334" s="201">
        <f t="shared" si="398"/>
        <v>354.46000000002095</v>
      </c>
      <c r="BQ334" s="201">
        <f t="shared" si="371"/>
        <v>354.46000000002095</v>
      </c>
      <c r="BR334" s="201">
        <f t="shared" si="367"/>
        <v>0</v>
      </c>
      <c r="BS334" s="201">
        <f t="shared" si="367"/>
        <v>354.46000000002095</v>
      </c>
      <c r="BT334" s="201">
        <f t="shared" si="372"/>
        <v>354.46000000002095</v>
      </c>
      <c r="BU334" s="213">
        <f t="shared" si="369"/>
        <v>0</v>
      </c>
      <c r="BV334" s="201"/>
      <c r="BW334" s="201"/>
      <c r="BX334" s="201">
        <f t="shared" si="373"/>
        <v>0</v>
      </c>
      <c r="BY334" s="199">
        <v>28000</v>
      </c>
      <c r="BZ334" s="199">
        <v>120000</v>
      </c>
      <c r="CA334" s="199">
        <v>208000</v>
      </c>
      <c r="CB334" s="199">
        <v>44000</v>
      </c>
      <c r="CC334" s="199">
        <v>0</v>
      </c>
      <c r="CD334" s="199">
        <v>0</v>
      </c>
      <c r="CE334" s="199"/>
      <c r="CF334" s="199"/>
      <c r="CG334" s="199"/>
      <c r="CH334" s="199"/>
      <c r="CI334" s="199"/>
      <c r="CJ334" s="199"/>
      <c r="CK334" s="214" t="s">
        <v>903</v>
      </c>
      <c r="CL334" s="214" t="s">
        <v>610</v>
      </c>
      <c r="CM334" s="211">
        <v>198</v>
      </c>
      <c r="CN334" s="215"/>
      <c r="CO334" s="215"/>
      <c r="CP334" s="216"/>
      <c r="CQ334" s="217"/>
      <c r="CR334" s="211"/>
      <c r="CS334" s="218"/>
      <c r="CT334" s="218"/>
      <c r="CU334" s="218"/>
      <c r="CV334" s="211"/>
      <c r="CW334" s="211"/>
      <c r="CX334" s="211"/>
      <c r="CY334" s="211"/>
      <c r="CZ334" s="211"/>
      <c r="DA334" s="211"/>
      <c r="DB334" s="211"/>
      <c r="DC334" s="219"/>
      <c r="DD334" s="219"/>
      <c r="DE334" s="219"/>
      <c r="DF334" s="211"/>
      <c r="DG334" s="211"/>
      <c r="DH334" s="211"/>
      <c r="DI334" s="211"/>
      <c r="DJ334" s="211"/>
      <c r="DK334" s="220" t="s">
        <v>32</v>
      </c>
      <c r="DT334" s="222"/>
    </row>
    <row r="335" spans="1:124" s="176" customFormat="1" ht="42" x14ac:dyDescent="0.2">
      <c r="A335" s="195" t="s">
        <v>108</v>
      </c>
      <c r="B335" s="197" t="s">
        <v>904</v>
      </c>
      <c r="C335" s="198">
        <v>1</v>
      </c>
      <c r="D335" s="199">
        <v>400000</v>
      </c>
      <c r="E335" s="198" t="s">
        <v>225</v>
      </c>
      <c r="F335" s="198" t="s">
        <v>111</v>
      </c>
      <c r="G335" s="198" t="s">
        <v>98</v>
      </c>
      <c r="H335" s="200">
        <v>1</v>
      </c>
      <c r="I335" s="199">
        <f t="shared" si="374"/>
        <v>0</v>
      </c>
      <c r="J335" s="199">
        <f t="shared" si="375"/>
        <v>400000</v>
      </c>
      <c r="K335" s="199">
        <f t="shared" si="376"/>
        <v>400000</v>
      </c>
      <c r="L335" s="199"/>
      <c r="M335" s="199">
        <v>400000</v>
      </c>
      <c r="N335" s="199">
        <f t="shared" si="377"/>
        <v>400000</v>
      </c>
      <c r="O335" s="199"/>
      <c r="P335" s="201">
        <v>0</v>
      </c>
      <c r="Q335" s="202">
        <v>14</v>
      </c>
      <c r="R335" s="203">
        <v>45566</v>
      </c>
      <c r="S335" s="199"/>
      <c r="T335" s="199">
        <v>400000</v>
      </c>
      <c r="U335" s="204">
        <f t="shared" si="378"/>
        <v>400000</v>
      </c>
      <c r="V335" s="198"/>
      <c r="W335" s="206"/>
      <c r="X335" s="201"/>
      <c r="Y335" s="201"/>
      <c r="Z335" s="201">
        <f t="shared" si="379"/>
        <v>0</v>
      </c>
      <c r="AA335" s="198"/>
      <c r="AB335" s="206"/>
      <c r="AC335" s="207"/>
      <c r="AD335" s="201"/>
      <c r="AE335" s="204">
        <f t="shared" si="380"/>
        <v>0</v>
      </c>
      <c r="AF335" s="203">
        <f t="shared" si="381"/>
        <v>45566</v>
      </c>
      <c r="AG335" s="201">
        <f t="shared" si="382"/>
        <v>0</v>
      </c>
      <c r="AH335" s="199">
        <f t="shared" si="383"/>
        <v>400000</v>
      </c>
      <c r="AI335" s="199">
        <f t="shared" si="384"/>
        <v>400000</v>
      </c>
      <c r="AJ335" s="201">
        <f t="shared" si="365"/>
        <v>0</v>
      </c>
      <c r="AK335" s="201">
        <f t="shared" si="365"/>
        <v>400000</v>
      </c>
      <c r="AL335" s="201">
        <f t="shared" si="385"/>
        <v>400000</v>
      </c>
      <c r="AM335" s="198"/>
      <c r="AN335" s="203"/>
      <c r="AO335" s="208"/>
      <c r="AP335" s="201">
        <f t="shared" si="386"/>
        <v>0</v>
      </c>
      <c r="AQ335" s="201">
        <f t="shared" si="387"/>
        <v>399574.33</v>
      </c>
      <c r="AR335" s="201">
        <f t="shared" si="388"/>
        <v>399574.33</v>
      </c>
      <c r="AS335" s="201">
        <f t="shared" si="389"/>
        <v>99.893582499999994</v>
      </c>
      <c r="AT335" s="201"/>
      <c r="AU335" s="223">
        <v>399574.33</v>
      </c>
      <c r="AV335" s="201">
        <f t="shared" si="390"/>
        <v>399574.33</v>
      </c>
      <c r="AW335" s="322">
        <f t="shared" si="368"/>
        <v>0</v>
      </c>
      <c r="AX335" s="201">
        <f t="shared" si="391"/>
        <v>99.893582499999994</v>
      </c>
      <c r="AY335" s="208"/>
      <c r="AZ335" s="201">
        <f t="shared" si="392"/>
        <v>0</v>
      </c>
      <c r="BA335" s="201">
        <f t="shared" si="393"/>
        <v>0</v>
      </c>
      <c r="BB335" s="201">
        <f t="shared" si="394"/>
        <v>0</v>
      </c>
      <c r="BC335" s="201"/>
      <c r="BD335" s="223">
        <v>0</v>
      </c>
      <c r="BE335" s="201">
        <f t="shared" si="370"/>
        <v>0</v>
      </c>
      <c r="BF335" s="208"/>
      <c r="BG335" s="201">
        <f t="shared" si="366"/>
        <v>0</v>
      </c>
      <c r="BH335" s="201">
        <f t="shared" si="366"/>
        <v>399574.33</v>
      </c>
      <c r="BI335" s="201">
        <f t="shared" si="395"/>
        <v>399574.33</v>
      </c>
      <c r="BJ335" s="201">
        <f t="shared" si="396"/>
        <v>99.893582499999994</v>
      </c>
      <c r="BK335" s="201">
        <v>89</v>
      </c>
      <c r="BL335" s="224">
        <v>90</v>
      </c>
      <c r="BM335" s="211"/>
      <c r="BN335" s="211"/>
      <c r="BO335" s="212">
        <f t="shared" si="397"/>
        <v>0</v>
      </c>
      <c r="BP335" s="201">
        <f t="shared" si="398"/>
        <v>425.6699999999837</v>
      </c>
      <c r="BQ335" s="201">
        <f t="shared" si="371"/>
        <v>425.6699999999837</v>
      </c>
      <c r="BR335" s="201">
        <f t="shared" si="367"/>
        <v>0</v>
      </c>
      <c r="BS335" s="201">
        <f t="shared" si="367"/>
        <v>425.6699999999837</v>
      </c>
      <c r="BT335" s="201">
        <f t="shared" si="372"/>
        <v>425.6699999999837</v>
      </c>
      <c r="BU335" s="213">
        <f t="shared" si="369"/>
        <v>0</v>
      </c>
      <c r="BV335" s="201"/>
      <c r="BW335" s="201"/>
      <c r="BX335" s="201">
        <f t="shared" si="373"/>
        <v>0</v>
      </c>
      <c r="BY335" s="199">
        <v>28000</v>
      </c>
      <c r="BZ335" s="199">
        <v>120000</v>
      </c>
      <c r="CA335" s="199">
        <v>208000</v>
      </c>
      <c r="CB335" s="199">
        <v>44000</v>
      </c>
      <c r="CC335" s="199">
        <v>0</v>
      </c>
      <c r="CD335" s="199">
        <v>0</v>
      </c>
      <c r="CE335" s="199"/>
      <c r="CF335" s="199"/>
      <c r="CG335" s="199"/>
      <c r="CH335" s="199"/>
      <c r="CI335" s="199"/>
      <c r="CJ335" s="199"/>
      <c r="CK335" s="214" t="s">
        <v>905</v>
      </c>
      <c r="CL335" s="214" t="s">
        <v>610</v>
      </c>
      <c r="CM335" s="211">
        <v>198</v>
      </c>
      <c r="CN335" s="215"/>
      <c r="CO335" s="215"/>
      <c r="CP335" s="216"/>
      <c r="CQ335" s="217"/>
      <c r="CR335" s="211"/>
      <c r="CS335" s="218"/>
      <c r="CT335" s="218"/>
      <c r="CU335" s="218"/>
      <c r="CV335" s="211"/>
      <c r="CW335" s="211"/>
      <c r="CX335" s="211"/>
      <c r="CY335" s="211"/>
      <c r="CZ335" s="211"/>
      <c r="DA335" s="211"/>
      <c r="DB335" s="211"/>
      <c r="DC335" s="219"/>
      <c r="DD335" s="219"/>
      <c r="DE335" s="219"/>
      <c r="DF335" s="211"/>
      <c r="DG335" s="211"/>
      <c r="DH335" s="211"/>
      <c r="DI335" s="211"/>
      <c r="DJ335" s="211"/>
      <c r="DK335" s="220" t="s">
        <v>32</v>
      </c>
      <c r="DT335" s="222"/>
    </row>
    <row r="336" spans="1:124" s="176" customFormat="1" ht="42" x14ac:dyDescent="0.2">
      <c r="A336" s="294" t="s">
        <v>94</v>
      </c>
      <c r="B336" s="197" t="s">
        <v>906</v>
      </c>
      <c r="C336" s="198">
        <v>1</v>
      </c>
      <c r="D336" s="199">
        <v>650000</v>
      </c>
      <c r="E336" s="198" t="s">
        <v>159</v>
      </c>
      <c r="F336" s="198" t="s">
        <v>111</v>
      </c>
      <c r="G336" s="198" t="s">
        <v>98</v>
      </c>
      <c r="H336" s="200">
        <v>1</v>
      </c>
      <c r="I336" s="199">
        <f t="shared" si="374"/>
        <v>0</v>
      </c>
      <c r="J336" s="199">
        <f t="shared" si="375"/>
        <v>650000</v>
      </c>
      <c r="K336" s="199">
        <f t="shared" si="376"/>
        <v>650000</v>
      </c>
      <c r="L336" s="199"/>
      <c r="M336" s="199">
        <v>650000</v>
      </c>
      <c r="N336" s="199">
        <f t="shared" si="377"/>
        <v>650000</v>
      </c>
      <c r="O336" s="199"/>
      <c r="P336" s="201">
        <v>0</v>
      </c>
      <c r="Q336" s="202">
        <v>14</v>
      </c>
      <c r="R336" s="203">
        <v>45566</v>
      </c>
      <c r="S336" s="199"/>
      <c r="T336" s="199">
        <v>650000</v>
      </c>
      <c r="U336" s="204">
        <f t="shared" si="378"/>
        <v>650000</v>
      </c>
      <c r="V336" s="198"/>
      <c r="W336" s="206"/>
      <c r="X336" s="201"/>
      <c r="Y336" s="201"/>
      <c r="Z336" s="201">
        <f t="shared" si="379"/>
        <v>0</v>
      </c>
      <c r="AA336" s="198"/>
      <c r="AB336" s="206"/>
      <c r="AC336" s="207"/>
      <c r="AD336" s="201"/>
      <c r="AE336" s="204">
        <f t="shared" si="380"/>
        <v>0</v>
      </c>
      <c r="AF336" s="203">
        <f t="shared" si="381"/>
        <v>45566</v>
      </c>
      <c r="AG336" s="201">
        <f t="shared" si="382"/>
        <v>0</v>
      </c>
      <c r="AH336" s="199">
        <f t="shared" si="383"/>
        <v>650000</v>
      </c>
      <c r="AI336" s="199">
        <f t="shared" si="384"/>
        <v>650000</v>
      </c>
      <c r="AJ336" s="201">
        <f t="shared" si="365"/>
        <v>0</v>
      </c>
      <c r="AK336" s="201">
        <f t="shared" si="365"/>
        <v>650000</v>
      </c>
      <c r="AL336" s="201">
        <f t="shared" si="385"/>
        <v>650000</v>
      </c>
      <c r="AM336" s="198"/>
      <c r="AN336" s="203"/>
      <c r="AO336" s="208"/>
      <c r="AP336" s="201">
        <f t="shared" si="386"/>
        <v>0</v>
      </c>
      <c r="AQ336" s="201">
        <f t="shared" si="387"/>
        <v>645590.5</v>
      </c>
      <c r="AR336" s="201">
        <f t="shared" si="388"/>
        <v>645590.5</v>
      </c>
      <c r="AS336" s="201">
        <f t="shared" si="389"/>
        <v>99.321615384615384</v>
      </c>
      <c r="AT336" s="201"/>
      <c r="AU336" s="209">
        <v>645590.5</v>
      </c>
      <c r="AV336" s="201">
        <f t="shared" si="390"/>
        <v>645590.5</v>
      </c>
      <c r="AW336" s="322">
        <f t="shared" si="368"/>
        <v>0</v>
      </c>
      <c r="AX336" s="201">
        <f t="shared" si="391"/>
        <v>99.321615384615384</v>
      </c>
      <c r="AY336" s="208"/>
      <c r="AZ336" s="201">
        <f t="shared" si="392"/>
        <v>0</v>
      </c>
      <c r="BA336" s="201">
        <f t="shared" si="393"/>
        <v>0</v>
      </c>
      <c r="BB336" s="201">
        <f t="shared" si="394"/>
        <v>0</v>
      </c>
      <c r="BC336" s="201"/>
      <c r="BD336" s="209">
        <v>0</v>
      </c>
      <c r="BE336" s="201">
        <f t="shared" si="370"/>
        <v>0</v>
      </c>
      <c r="BF336" s="208"/>
      <c r="BG336" s="201">
        <f t="shared" si="366"/>
        <v>0</v>
      </c>
      <c r="BH336" s="201">
        <f t="shared" si="366"/>
        <v>645590.5</v>
      </c>
      <c r="BI336" s="201">
        <f t="shared" si="395"/>
        <v>645590.5</v>
      </c>
      <c r="BJ336" s="201">
        <f t="shared" si="396"/>
        <v>99.321615384615384</v>
      </c>
      <c r="BK336" s="201">
        <v>20</v>
      </c>
      <c r="BL336" s="210">
        <v>90</v>
      </c>
      <c r="BM336" s="211"/>
      <c r="BN336" s="211"/>
      <c r="BO336" s="212">
        <f t="shared" si="397"/>
        <v>0</v>
      </c>
      <c r="BP336" s="201">
        <f t="shared" si="398"/>
        <v>4409.5</v>
      </c>
      <c r="BQ336" s="201">
        <f t="shared" si="371"/>
        <v>4409.5</v>
      </c>
      <c r="BR336" s="201">
        <f t="shared" si="367"/>
        <v>0</v>
      </c>
      <c r="BS336" s="201">
        <f t="shared" si="367"/>
        <v>4409.5</v>
      </c>
      <c r="BT336" s="201">
        <f t="shared" si="372"/>
        <v>4409.5</v>
      </c>
      <c r="BU336" s="213">
        <f t="shared" si="369"/>
        <v>0</v>
      </c>
      <c r="BV336" s="201"/>
      <c r="BW336" s="201"/>
      <c r="BX336" s="201">
        <f t="shared" si="373"/>
        <v>0</v>
      </c>
      <c r="BY336" s="199">
        <v>216600</v>
      </c>
      <c r="BZ336" s="199">
        <v>216600</v>
      </c>
      <c r="CA336" s="199">
        <v>216800</v>
      </c>
      <c r="CB336" s="199"/>
      <c r="CC336" s="199"/>
      <c r="CD336" s="199"/>
      <c r="CE336" s="199"/>
      <c r="CF336" s="199"/>
      <c r="CG336" s="199"/>
      <c r="CH336" s="199"/>
      <c r="CI336" s="199"/>
      <c r="CJ336" s="199"/>
      <c r="CK336" s="214" t="s">
        <v>907</v>
      </c>
      <c r="CL336" s="214" t="s">
        <v>610</v>
      </c>
      <c r="CM336" s="211">
        <v>198</v>
      </c>
      <c r="CN336" s="215"/>
      <c r="CO336" s="215"/>
      <c r="CP336" s="216"/>
      <c r="CQ336" s="217"/>
      <c r="CR336" s="211"/>
      <c r="CS336" s="218"/>
      <c r="CT336" s="218"/>
      <c r="CU336" s="218"/>
      <c r="CV336" s="211"/>
      <c r="CW336" s="211"/>
      <c r="CX336" s="211"/>
      <c r="CY336" s="211"/>
      <c r="CZ336" s="211"/>
      <c r="DA336" s="211"/>
      <c r="DB336" s="211"/>
      <c r="DC336" s="219"/>
      <c r="DD336" s="219"/>
      <c r="DE336" s="219"/>
      <c r="DF336" s="211"/>
      <c r="DG336" s="211"/>
      <c r="DH336" s="211"/>
      <c r="DI336" s="211"/>
      <c r="DJ336" s="211"/>
      <c r="DK336" s="220" t="s">
        <v>32</v>
      </c>
      <c r="DT336" s="222"/>
    </row>
    <row r="337" spans="1:124" s="176" customFormat="1" ht="42" x14ac:dyDescent="0.2">
      <c r="A337" s="195" t="s">
        <v>108</v>
      </c>
      <c r="B337" s="197" t="s">
        <v>908</v>
      </c>
      <c r="C337" s="198">
        <v>1</v>
      </c>
      <c r="D337" s="199">
        <v>2250000</v>
      </c>
      <c r="E337" s="198" t="s">
        <v>653</v>
      </c>
      <c r="F337" s="198" t="s">
        <v>106</v>
      </c>
      <c r="G337" s="198" t="s">
        <v>98</v>
      </c>
      <c r="H337" s="200">
        <v>1</v>
      </c>
      <c r="I337" s="199">
        <f t="shared" si="374"/>
        <v>0</v>
      </c>
      <c r="J337" s="199">
        <f t="shared" si="375"/>
        <v>2250000</v>
      </c>
      <c r="K337" s="199">
        <f t="shared" si="376"/>
        <v>2250000</v>
      </c>
      <c r="L337" s="199"/>
      <c r="M337" s="199">
        <v>2250000</v>
      </c>
      <c r="N337" s="199">
        <f t="shared" si="377"/>
        <v>2250000</v>
      </c>
      <c r="O337" s="199">
        <v>0</v>
      </c>
      <c r="P337" s="201">
        <v>0</v>
      </c>
      <c r="Q337" s="202">
        <v>14</v>
      </c>
      <c r="R337" s="203">
        <v>45566</v>
      </c>
      <c r="S337" s="199"/>
      <c r="T337" s="199">
        <v>2250000</v>
      </c>
      <c r="U337" s="204">
        <f t="shared" si="378"/>
        <v>2250000</v>
      </c>
      <c r="V337" s="205"/>
      <c r="W337" s="200"/>
      <c r="X337" s="201"/>
      <c r="Y337" s="201"/>
      <c r="Z337" s="201">
        <f t="shared" si="379"/>
        <v>0</v>
      </c>
      <c r="AA337" s="198"/>
      <c r="AB337" s="206"/>
      <c r="AC337" s="207"/>
      <c r="AD337" s="201"/>
      <c r="AE337" s="204">
        <f t="shared" si="380"/>
        <v>0</v>
      </c>
      <c r="AF337" s="203">
        <f t="shared" si="381"/>
        <v>45566</v>
      </c>
      <c r="AG337" s="201">
        <f t="shared" si="382"/>
        <v>0</v>
      </c>
      <c r="AH337" s="199">
        <f t="shared" si="383"/>
        <v>2250000</v>
      </c>
      <c r="AI337" s="199">
        <f t="shared" si="384"/>
        <v>2250000</v>
      </c>
      <c r="AJ337" s="201">
        <f t="shared" si="365"/>
        <v>0</v>
      </c>
      <c r="AK337" s="201">
        <f t="shared" si="365"/>
        <v>2250000</v>
      </c>
      <c r="AL337" s="201">
        <f t="shared" si="385"/>
        <v>2250000</v>
      </c>
      <c r="AM337" s="198"/>
      <c r="AN337" s="203"/>
      <c r="AO337" s="208"/>
      <c r="AP337" s="201">
        <f t="shared" si="386"/>
        <v>0</v>
      </c>
      <c r="AQ337" s="201">
        <f t="shared" si="387"/>
        <v>1075898.6000000001</v>
      </c>
      <c r="AR337" s="201">
        <f t="shared" si="388"/>
        <v>1075898.6000000001</v>
      </c>
      <c r="AS337" s="201">
        <f t="shared" si="389"/>
        <v>47.817715555555559</v>
      </c>
      <c r="AT337" s="201"/>
      <c r="AU337" s="223">
        <v>1075898.6000000001</v>
      </c>
      <c r="AV337" s="201">
        <f t="shared" si="390"/>
        <v>1075898.6000000001</v>
      </c>
      <c r="AW337" s="201">
        <f t="shared" si="368"/>
        <v>15</v>
      </c>
      <c r="AX337" s="201">
        <f t="shared" si="391"/>
        <v>47.817715555555559</v>
      </c>
      <c r="AY337" s="208"/>
      <c r="AZ337" s="201">
        <f t="shared" si="392"/>
        <v>0</v>
      </c>
      <c r="BA337" s="201">
        <f t="shared" si="393"/>
        <v>133580</v>
      </c>
      <c r="BB337" s="201">
        <f t="shared" si="394"/>
        <v>133580</v>
      </c>
      <c r="BC337" s="201"/>
      <c r="BD337" s="209">
        <v>133580</v>
      </c>
      <c r="BE337" s="201">
        <f t="shared" ref="BE337:BE424" si="399">SUM(BC337:BD337)</f>
        <v>133580</v>
      </c>
      <c r="BF337" s="208"/>
      <c r="BG337" s="201">
        <f t="shared" si="366"/>
        <v>0</v>
      </c>
      <c r="BH337" s="201">
        <f t="shared" si="366"/>
        <v>1209478.6000000001</v>
      </c>
      <c r="BI337" s="201">
        <f t="shared" si="395"/>
        <v>1209478.6000000001</v>
      </c>
      <c r="BJ337" s="201">
        <f t="shared" si="396"/>
        <v>53.754604444444453</v>
      </c>
      <c r="BK337" s="201">
        <v>10</v>
      </c>
      <c r="BL337" s="210">
        <v>30</v>
      </c>
      <c r="BM337" s="211"/>
      <c r="BN337" s="211"/>
      <c r="BO337" s="212">
        <f t="shared" si="397"/>
        <v>0</v>
      </c>
      <c r="BP337" s="201">
        <f t="shared" si="398"/>
        <v>1174101.3999999999</v>
      </c>
      <c r="BQ337" s="201">
        <f t="shared" ref="BQ337:BQ424" si="400">SUM(BO337:BP337)</f>
        <v>1174101.3999999999</v>
      </c>
      <c r="BR337" s="201">
        <f t="shared" si="367"/>
        <v>0</v>
      </c>
      <c r="BS337" s="201">
        <f t="shared" si="367"/>
        <v>1174101.3999999999</v>
      </c>
      <c r="BT337" s="201">
        <f t="shared" ref="BT337:BT424" si="401">SUM(BR337:BS337)</f>
        <v>1174101.3999999999</v>
      </c>
      <c r="BU337" s="213">
        <f t="shared" si="369"/>
        <v>0</v>
      </c>
      <c r="BV337" s="201"/>
      <c r="BW337" s="201"/>
      <c r="BX337" s="201">
        <f t="shared" ref="BX337:BX424" si="402">SUM(BV337:BW337)</f>
        <v>0</v>
      </c>
      <c r="BY337" s="199">
        <v>22500</v>
      </c>
      <c r="BZ337" s="199">
        <v>67500</v>
      </c>
      <c r="CA337" s="199">
        <v>135000</v>
      </c>
      <c r="CB337" s="199">
        <v>180000</v>
      </c>
      <c r="CC337" s="199">
        <v>225000</v>
      </c>
      <c r="CD337" s="199">
        <v>360000</v>
      </c>
      <c r="CE337" s="199">
        <v>495000</v>
      </c>
      <c r="CF337" s="199">
        <v>337500</v>
      </c>
      <c r="CG337" s="199">
        <v>180000</v>
      </c>
      <c r="CH337" s="199">
        <v>112500</v>
      </c>
      <c r="CI337" s="199">
        <v>90000</v>
      </c>
      <c r="CJ337" s="199">
        <v>45000</v>
      </c>
      <c r="CK337" s="214" t="s">
        <v>909</v>
      </c>
      <c r="CL337" s="214" t="s">
        <v>610</v>
      </c>
      <c r="CM337" s="211">
        <v>198</v>
      </c>
      <c r="CN337" s="215"/>
      <c r="CO337" s="215"/>
      <c r="CP337" s="216"/>
      <c r="CQ337" s="217"/>
      <c r="CR337" s="211"/>
      <c r="CS337" s="218"/>
      <c r="CT337" s="218"/>
      <c r="CU337" s="218"/>
      <c r="CV337" s="211"/>
      <c r="CW337" s="211"/>
      <c r="CX337" s="211"/>
      <c r="CY337" s="211"/>
      <c r="CZ337" s="211"/>
      <c r="DA337" s="211"/>
      <c r="DB337" s="211"/>
      <c r="DC337" s="219"/>
      <c r="DD337" s="219"/>
      <c r="DE337" s="219"/>
      <c r="DF337" s="211"/>
      <c r="DG337" s="211"/>
      <c r="DH337" s="211"/>
      <c r="DI337" s="211"/>
      <c r="DJ337" s="211"/>
      <c r="DK337" s="220" t="s">
        <v>32</v>
      </c>
      <c r="DL337" s="248"/>
      <c r="DT337" s="222"/>
    </row>
    <row r="338" spans="1:124" s="176" customFormat="1" ht="42" x14ac:dyDescent="0.2">
      <c r="A338" s="195" t="s">
        <v>108</v>
      </c>
      <c r="B338" s="197" t="s">
        <v>910</v>
      </c>
      <c r="C338" s="198">
        <v>1</v>
      </c>
      <c r="D338" s="199">
        <v>950000</v>
      </c>
      <c r="E338" s="198" t="s">
        <v>911</v>
      </c>
      <c r="F338" s="198" t="s">
        <v>106</v>
      </c>
      <c r="G338" s="198" t="s">
        <v>98</v>
      </c>
      <c r="H338" s="200">
        <v>1</v>
      </c>
      <c r="I338" s="199">
        <f t="shared" si="374"/>
        <v>0</v>
      </c>
      <c r="J338" s="199">
        <f t="shared" si="375"/>
        <v>950000</v>
      </c>
      <c r="K338" s="199">
        <f t="shared" si="376"/>
        <v>950000</v>
      </c>
      <c r="L338" s="199"/>
      <c r="M338" s="199">
        <v>950000</v>
      </c>
      <c r="N338" s="199">
        <f t="shared" si="377"/>
        <v>950000</v>
      </c>
      <c r="O338" s="199"/>
      <c r="P338" s="201">
        <v>0</v>
      </c>
      <c r="Q338" s="202">
        <v>14</v>
      </c>
      <c r="R338" s="203">
        <v>45566</v>
      </c>
      <c r="S338" s="199"/>
      <c r="T338" s="199">
        <v>950000</v>
      </c>
      <c r="U338" s="204">
        <f t="shared" si="378"/>
        <v>950000</v>
      </c>
      <c r="V338" s="205"/>
      <c r="W338" s="200"/>
      <c r="X338" s="201"/>
      <c r="Y338" s="201"/>
      <c r="Z338" s="201">
        <f t="shared" si="379"/>
        <v>0</v>
      </c>
      <c r="AA338" s="198"/>
      <c r="AB338" s="206"/>
      <c r="AC338" s="207"/>
      <c r="AD338" s="201"/>
      <c r="AE338" s="204">
        <f t="shared" si="380"/>
        <v>0</v>
      </c>
      <c r="AF338" s="203">
        <f t="shared" si="381"/>
        <v>45566</v>
      </c>
      <c r="AG338" s="201">
        <f t="shared" si="382"/>
        <v>0</v>
      </c>
      <c r="AH338" s="199">
        <f t="shared" si="383"/>
        <v>950000</v>
      </c>
      <c r="AI338" s="199">
        <f t="shared" si="384"/>
        <v>950000</v>
      </c>
      <c r="AJ338" s="201">
        <f t="shared" si="365"/>
        <v>0</v>
      </c>
      <c r="AK338" s="201">
        <f t="shared" si="365"/>
        <v>950000</v>
      </c>
      <c r="AL338" s="201">
        <f t="shared" si="385"/>
        <v>950000</v>
      </c>
      <c r="AM338" s="198"/>
      <c r="AN338" s="203"/>
      <c r="AO338" s="208"/>
      <c r="AP338" s="201">
        <f t="shared" si="386"/>
        <v>0</v>
      </c>
      <c r="AQ338" s="201">
        <f t="shared" si="387"/>
        <v>948085.1</v>
      </c>
      <c r="AR338" s="201">
        <f t="shared" si="388"/>
        <v>948085.1</v>
      </c>
      <c r="AS338" s="201">
        <f t="shared" si="389"/>
        <v>99.798431578947373</v>
      </c>
      <c r="AT338" s="201"/>
      <c r="AU338" s="223">
        <v>948085.1</v>
      </c>
      <c r="AV338" s="201">
        <f t="shared" si="390"/>
        <v>948085.1</v>
      </c>
      <c r="AW338" s="201">
        <f>+CF338*100/AL338</f>
        <v>0</v>
      </c>
      <c r="AX338" s="201">
        <f t="shared" si="391"/>
        <v>99.798431578947373</v>
      </c>
      <c r="AY338" s="208"/>
      <c r="AZ338" s="201">
        <f>+BC338</f>
        <v>0</v>
      </c>
      <c r="BA338" s="201">
        <f>+BD338+BF338</f>
        <v>0</v>
      </c>
      <c r="BB338" s="201">
        <f>SUM(AZ338:BA338)</f>
        <v>0</v>
      </c>
      <c r="BC338" s="201"/>
      <c r="BD338" s="223">
        <v>0</v>
      </c>
      <c r="BE338" s="201">
        <f>SUM(BC338:BD338)</f>
        <v>0</v>
      </c>
      <c r="BF338" s="208"/>
      <c r="BG338" s="201">
        <f t="shared" si="366"/>
        <v>0</v>
      </c>
      <c r="BH338" s="201">
        <f t="shared" si="366"/>
        <v>948085.1</v>
      </c>
      <c r="BI338" s="201">
        <f>SUM(BG338:BH338)</f>
        <v>948085.1</v>
      </c>
      <c r="BJ338" s="201">
        <f>+BI338*100/AI338</f>
        <v>99.798431578947373</v>
      </c>
      <c r="BK338" s="210">
        <v>89</v>
      </c>
      <c r="BL338" s="210">
        <v>100</v>
      </c>
      <c r="BM338" s="211"/>
      <c r="BN338" s="211"/>
      <c r="BO338" s="212">
        <f t="shared" si="397"/>
        <v>0</v>
      </c>
      <c r="BP338" s="201">
        <f t="shared" si="398"/>
        <v>1914.9000000000233</v>
      </c>
      <c r="BQ338" s="201">
        <f t="shared" ref="BQ338" si="403">SUM(BO338:BP338)</f>
        <v>1914.9000000000233</v>
      </c>
      <c r="BR338" s="201">
        <f t="shared" si="367"/>
        <v>0</v>
      </c>
      <c r="BS338" s="201">
        <f t="shared" si="367"/>
        <v>1914.9000000000233</v>
      </c>
      <c r="BT338" s="201">
        <f t="shared" ref="BT338" si="404">SUM(BR338:BS338)</f>
        <v>1914.9000000000233</v>
      </c>
      <c r="BU338" s="213">
        <f>+AO338-AY338</f>
        <v>0</v>
      </c>
      <c r="BV338" s="201"/>
      <c r="BW338" s="201"/>
      <c r="BX338" s="201">
        <f t="shared" ref="BX338" si="405">SUM(BV338:BW338)</f>
        <v>0</v>
      </c>
      <c r="BY338" s="199">
        <v>66500</v>
      </c>
      <c r="BZ338" s="199">
        <v>285000</v>
      </c>
      <c r="CA338" s="199">
        <v>494000</v>
      </c>
      <c r="CB338" s="199">
        <v>104500</v>
      </c>
      <c r="CC338" s="199">
        <v>0</v>
      </c>
      <c r="CD338" s="199">
        <v>0</v>
      </c>
      <c r="CE338" s="199">
        <v>0</v>
      </c>
      <c r="CF338" s="199">
        <v>0</v>
      </c>
      <c r="CG338" s="199">
        <v>0</v>
      </c>
      <c r="CH338" s="199">
        <v>0</v>
      </c>
      <c r="CI338" s="199">
        <v>0</v>
      </c>
      <c r="CJ338" s="199">
        <v>0</v>
      </c>
      <c r="CK338" s="214" t="s">
        <v>912</v>
      </c>
      <c r="CL338" s="214" t="s">
        <v>610</v>
      </c>
      <c r="CM338" s="211">
        <v>198</v>
      </c>
      <c r="CN338" s="215"/>
      <c r="CO338" s="215"/>
      <c r="CP338" s="216"/>
      <c r="CQ338" s="217"/>
      <c r="CR338" s="211"/>
      <c r="CS338" s="218"/>
      <c r="CT338" s="218"/>
      <c r="CU338" s="218"/>
      <c r="CV338" s="211"/>
      <c r="CW338" s="211"/>
      <c r="CX338" s="211"/>
      <c r="CY338" s="211"/>
      <c r="CZ338" s="211"/>
      <c r="DA338" s="211"/>
      <c r="DB338" s="211"/>
      <c r="DC338" s="219"/>
      <c r="DD338" s="219"/>
      <c r="DE338" s="219"/>
      <c r="DF338" s="211"/>
      <c r="DG338" s="211"/>
      <c r="DH338" s="211"/>
      <c r="DI338" s="211"/>
      <c r="DJ338" s="211"/>
      <c r="DK338" s="220" t="s">
        <v>32</v>
      </c>
      <c r="DT338" s="222"/>
    </row>
    <row r="339" spans="1:124" s="176" customFormat="1" ht="42" x14ac:dyDescent="0.2">
      <c r="A339" s="195" t="s">
        <v>108</v>
      </c>
      <c r="B339" s="197" t="s">
        <v>913</v>
      </c>
      <c r="C339" s="198">
        <v>1</v>
      </c>
      <c r="D339" s="199">
        <v>614000</v>
      </c>
      <c r="E339" s="198" t="s">
        <v>241</v>
      </c>
      <c r="F339" s="198" t="s">
        <v>241</v>
      </c>
      <c r="G339" s="198" t="s">
        <v>98</v>
      </c>
      <c r="H339" s="200">
        <v>1</v>
      </c>
      <c r="I339" s="199">
        <f>+L339</f>
        <v>0</v>
      </c>
      <c r="J339" s="199">
        <f>+O339+M339+P339</f>
        <v>614000</v>
      </c>
      <c r="K339" s="199">
        <f>I339+J339</f>
        <v>614000</v>
      </c>
      <c r="L339" s="199"/>
      <c r="M339" s="199">
        <v>614000</v>
      </c>
      <c r="N339" s="199">
        <f>L339+M339</f>
        <v>614000</v>
      </c>
      <c r="O339" s="199"/>
      <c r="P339" s="201">
        <v>0</v>
      </c>
      <c r="Q339" s="202">
        <v>14</v>
      </c>
      <c r="R339" s="203">
        <v>45566</v>
      </c>
      <c r="S339" s="199"/>
      <c r="T339" s="199">
        <v>614000</v>
      </c>
      <c r="U339" s="204">
        <f>S339+T339</f>
        <v>614000</v>
      </c>
      <c r="V339" s="198"/>
      <c r="W339" s="206"/>
      <c r="X339" s="201"/>
      <c r="Y339" s="201"/>
      <c r="Z339" s="201">
        <f>X339+Y339</f>
        <v>0</v>
      </c>
      <c r="AA339" s="198"/>
      <c r="AB339" s="206"/>
      <c r="AC339" s="207"/>
      <c r="AD339" s="201"/>
      <c r="AE339" s="204">
        <f>AC339+AD339</f>
        <v>0</v>
      </c>
      <c r="AF339" s="203">
        <f>+R339</f>
        <v>45566</v>
      </c>
      <c r="AG339" s="201">
        <f>+AJ339</f>
        <v>0</v>
      </c>
      <c r="AH339" s="199">
        <f>+AK339+AO339</f>
        <v>614000</v>
      </c>
      <c r="AI339" s="199">
        <f>AG339+AH339</f>
        <v>614000</v>
      </c>
      <c r="AJ339" s="201">
        <f>+S339+X339+AC339</f>
        <v>0</v>
      </c>
      <c r="AK339" s="201">
        <f>+T339+Y339+AD339</f>
        <v>614000</v>
      </c>
      <c r="AL339" s="201">
        <f>SUM(AJ339:AK339)</f>
        <v>614000</v>
      </c>
      <c r="AM339" s="198"/>
      <c r="AN339" s="203"/>
      <c r="AO339" s="208"/>
      <c r="AP339" s="201">
        <f>+AT339</f>
        <v>0</v>
      </c>
      <c r="AQ339" s="201">
        <f>+AU339+AY339</f>
        <v>612144.80000000005</v>
      </c>
      <c r="AR339" s="201">
        <f>SUM(AP339:AQ339)</f>
        <v>612144.80000000005</v>
      </c>
      <c r="AS339" s="201">
        <f>IF(AI339= 0,0,(AR339*100/AI339))</f>
        <v>99.697850162866459</v>
      </c>
      <c r="AT339" s="201"/>
      <c r="AU339" s="209">
        <v>612144.80000000005</v>
      </c>
      <c r="AV339" s="201">
        <f>SUM(AT339:AU339)</f>
        <v>612144.80000000005</v>
      </c>
      <c r="AW339" s="201">
        <f>+CF339*100/AL339</f>
        <v>0</v>
      </c>
      <c r="AX339" s="201">
        <f>IF(AL339= 0,0,(AV339*100/AL339))</f>
        <v>99.697850162866459</v>
      </c>
      <c r="AY339" s="208"/>
      <c r="AZ339" s="201">
        <f>+BC339</f>
        <v>0</v>
      </c>
      <c r="BA339" s="201">
        <f>+BD339+BF339</f>
        <v>0</v>
      </c>
      <c r="BB339" s="201">
        <f>SUM(AZ339:BA339)</f>
        <v>0</v>
      </c>
      <c r="BC339" s="201"/>
      <c r="BD339" s="223">
        <v>0</v>
      </c>
      <c r="BE339" s="201">
        <f>SUM(BC339:BD339)</f>
        <v>0</v>
      </c>
      <c r="BF339" s="208"/>
      <c r="BG339" s="201">
        <f t="shared" si="366"/>
        <v>0</v>
      </c>
      <c r="BH339" s="201">
        <f t="shared" si="366"/>
        <v>612144.80000000005</v>
      </c>
      <c r="BI339" s="201">
        <f>SUM(BG339:BH339)</f>
        <v>612144.80000000005</v>
      </c>
      <c r="BJ339" s="201">
        <f>+BI339*100/AI339</f>
        <v>99.697850162866459</v>
      </c>
      <c r="BK339" s="210">
        <v>89</v>
      </c>
      <c r="BL339" s="210">
        <v>90</v>
      </c>
      <c r="BM339" s="211"/>
      <c r="BN339" s="211"/>
      <c r="BO339" s="212">
        <f>+BR339</f>
        <v>0</v>
      </c>
      <c r="BP339" s="201">
        <f>+BS339+BU339</f>
        <v>1855.1999999999534</v>
      </c>
      <c r="BQ339" s="201">
        <f>SUM(BO339:BP339)</f>
        <v>1855.1999999999534</v>
      </c>
      <c r="BR339" s="201">
        <f t="shared" si="367"/>
        <v>0</v>
      </c>
      <c r="BS339" s="201">
        <f t="shared" si="367"/>
        <v>1855.1999999999534</v>
      </c>
      <c r="BT339" s="201">
        <f>SUM(BR339:BS339)</f>
        <v>1855.1999999999534</v>
      </c>
      <c r="BU339" s="213">
        <f>+AO339-AY339</f>
        <v>0</v>
      </c>
      <c r="BV339" s="201"/>
      <c r="BW339" s="201"/>
      <c r="BX339" s="201">
        <f>SUM(BV339:BW339)</f>
        <v>0</v>
      </c>
      <c r="BY339" s="199">
        <v>42980</v>
      </c>
      <c r="BZ339" s="199">
        <v>184200</v>
      </c>
      <c r="CA339" s="199">
        <v>319280</v>
      </c>
      <c r="CB339" s="199">
        <v>67540</v>
      </c>
      <c r="CC339" s="199">
        <v>0</v>
      </c>
      <c r="CD339" s="199">
        <v>0</v>
      </c>
      <c r="CE339" s="199">
        <v>0</v>
      </c>
      <c r="CF339" s="199">
        <v>0</v>
      </c>
      <c r="CG339" s="199">
        <v>0</v>
      </c>
      <c r="CH339" s="199">
        <v>0</v>
      </c>
      <c r="CI339" s="199">
        <v>0</v>
      </c>
      <c r="CJ339" s="199">
        <v>0</v>
      </c>
      <c r="CK339" s="214" t="s">
        <v>914</v>
      </c>
      <c r="CL339" s="214" t="s">
        <v>610</v>
      </c>
      <c r="CM339" s="211">
        <v>198</v>
      </c>
      <c r="CN339" s="215"/>
      <c r="CO339" s="215"/>
      <c r="CP339" s="216"/>
      <c r="CQ339" s="217"/>
      <c r="CR339" s="211"/>
      <c r="CS339" s="218"/>
      <c r="CT339" s="218"/>
      <c r="CU339" s="218"/>
      <c r="CV339" s="211"/>
      <c r="CW339" s="211"/>
      <c r="CX339" s="211"/>
      <c r="CY339" s="211"/>
      <c r="CZ339" s="211"/>
      <c r="DA339" s="211"/>
      <c r="DB339" s="211"/>
      <c r="DC339" s="219"/>
      <c r="DD339" s="219"/>
      <c r="DE339" s="219"/>
      <c r="DF339" s="211"/>
      <c r="DG339" s="211"/>
      <c r="DH339" s="211"/>
      <c r="DI339" s="211"/>
      <c r="DJ339" s="211"/>
      <c r="DK339" s="220" t="s">
        <v>32</v>
      </c>
      <c r="DT339" s="222"/>
    </row>
    <row r="340" spans="1:124" s="176" customFormat="1" ht="42" x14ac:dyDescent="0.2">
      <c r="A340" s="225" t="s">
        <v>94</v>
      </c>
      <c r="B340" s="197" t="s">
        <v>915</v>
      </c>
      <c r="C340" s="198">
        <v>1</v>
      </c>
      <c r="D340" s="199">
        <v>1000000</v>
      </c>
      <c r="E340" s="198" t="s">
        <v>159</v>
      </c>
      <c r="F340" s="198" t="s">
        <v>111</v>
      </c>
      <c r="G340" s="198" t="s">
        <v>98</v>
      </c>
      <c r="H340" s="200">
        <v>1</v>
      </c>
      <c r="I340" s="199">
        <f>+L340</f>
        <v>0</v>
      </c>
      <c r="J340" s="199">
        <f>+O340+M340+P340</f>
        <v>1000000</v>
      </c>
      <c r="K340" s="199">
        <f>I340+J340</f>
        <v>1000000</v>
      </c>
      <c r="L340" s="199"/>
      <c r="M340" s="199">
        <v>1000000</v>
      </c>
      <c r="N340" s="199">
        <f>L340+M340</f>
        <v>1000000</v>
      </c>
      <c r="O340" s="199"/>
      <c r="P340" s="201">
        <v>0</v>
      </c>
      <c r="Q340" s="202">
        <v>14</v>
      </c>
      <c r="R340" s="203">
        <v>45566</v>
      </c>
      <c r="S340" s="199"/>
      <c r="T340" s="199">
        <v>1000000</v>
      </c>
      <c r="U340" s="204">
        <f>S340+T340</f>
        <v>1000000</v>
      </c>
      <c r="V340" s="205"/>
      <c r="W340" s="200"/>
      <c r="X340" s="201"/>
      <c r="Y340" s="201">
        <v>-6734</v>
      </c>
      <c r="Z340" s="201">
        <f>X340+Y340</f>
        <v>-6734</v>
      </c>
      <c r="AA340" s="198"/>
      <c r="AB340" s="206"/>
      <c r="AC340" s="207"/>
      <c r="AD340" s="201"/>
      <c r="AE340" s="204">
        <f>AC340+AD340</f>
        <v>0</v>
      </c>
      <c r="AF340" s="203">
        <f>+R340</f>
        <v>45566</v>
      </c>
      <c r="AG340" s="201">
        <f>+AJ340</f>
        <v>0</v>
      </c>
      <c r="AH340" s="199">
        <f>+AK340+AO340</f>
        <v>993266</v>
      </c>
      <c r="AI340" s="199">
        <f>AG340+AH340</f>
        <v>993266</v>
      </c>
      <c r="AJ340" s="201">
        <f>+S340+X340+AC340</f>
        <v>0</v>
      </c>
      <c r="AK340" s="201">
        <f>+T340+Y340+AD340</f>
        <v>993266</v>
      </c>
      <c r="AL340" s="201">
        <f>SUM(AJ340:AK340)</f>
        <v>993266</v>
      </c>
      <c r="AM340" s="198"/>
      <c r="AN340" s="203"/>
      <c r="AO340" s="208"/>
      <c r="AP340" s="201">
        <f>+AT340</f>
        <v>0</v>
      </c>
      <c r="AQ340" s="201">
        <f>+AU340+AY340</f>
        <v>993266</v>
      </c>
      <c r="AR340" s="201">
        <f>SUM(AP340:AQ340)</f>
        <v>993266</v>
      </c>
      <c r="AS340" s="201">
        <f>IF(AI340= 0,0,(AR340*100/AI340))</f>
        <v>100</v>
      </c>
      <c r="AT340" s="201"/>
      <c r="AU340" s="209">
        <v>993266</v>
      </c>
      <c r="AV340" s="201">
        <f>SUM(AT340:AU340)</f>
        <v>993266</v>
      </c>
      <c r="AW340" s="201">
        <f>+CF340*100/AL340</f>
        <v>0</v>
      </c>
      <c r="AX340" s="201">
        <f>IF(AL340= 0,0,(AV340*100/AL340))</f>
        <v>100</v>
      </c>
      <c r="AY340" s="208"/>
      <c r="AZ340" s="201">
        <f>+BC340</f>
        <v>0</v>
      </c>
      <c r="BA340" s="201">
        <f>+BD340+BF340</f>
        <v>0</v>
      </c>
      <c r="BB340" s="201">
        <f>SUM(AZ340:BA340)</f>
        <v>0</v>
      </c>
      <c r="BC340" s="201"/>
      <c r="BD340" s="209">
        <v>0</v>
      </c>
      <c r="BE340" s="201">
        <f>SUM(BC340:BD340)</f>
        <v>0</v>
      </c>
      <c r="BF340" s="208"/>
      <c r="BG340" s="201">
        <f t="shared" si="366"/>
        <v>0</v>
      </c>
      <c r="BH340" s="201">
        <f t="shared" si="366"/>
        <v>993266</v>
      </c>
      <c r="BI340" s="201">
        <f>SUM(BG340:BH340)</f>
        <v>993266</v>
      </c>
      <c r="BJ340" s="201">
        <f>+BI340*100/AI340</f>
        <v>100</v>
      </c>
      <c r="BK340" s="210">
        <v>10</v>
      </c>
      <c r="BL340" s="210">
        <v>100</v>
      </c>
      <c r="BM340" s="211"/>
      <c r="BN340" s="211"/>
      <c r="BO340" s="212">
        <f>+BR340</f>
        <v>0</v>
      </c>
      <c r="BP340" s="201">
        <f>+BS340+BU340</f>
        <v>0</v>
      </c>
      <c r="BQ340" s="201">
        <f>SUM(BO340:BP340)</f>
        <v>0</v>
      </c>
      <c r="BR340" s="201">
        <f t="shared" si="367"/>
        <v>0</v>
      </c>
      <c r="BS340" s="201">
        <f t="shared" si="367"/>
        <v>0</v>
      </c>
      <c r="BT340" s="201">
        <f>SUM(BR340:BS340)</f>
        <v>0</v>
      </c>
      <c r="BU340" s="213">
        <f>+AO340-AY340</f>
        <v>0</v>
      </c>
      <c r="BV340" s="201">
        <v>6734</v>
      </c>
      <c r="BW340" s="201"/>
      <c r="BX340" s="201">
        <f>SUM(BV340:BW340)</f>
        <v>6734</v>
      </c>
      <c r="BY340" s="199">
        <v>0</v>
      </c>
      <c r="BZ340" s="199">
        <v>250000</v>
      </c>
      <c r="CA340" s="199">
        <v>250000</v>
      </c>
      <c r="CB340" s="199">
        <v>250000</v>
      </c>
      <c r="CC340" s="199">
        <v>250000</v>
      </c>
      <c r="CD340" s="199">
        <v>0</v>
      </c>
      <c r="CE340" s="199">
        <v>0</v>
      </c>
      <c r="CF340" s="199">
        <v>0</v>
      </c>
      <c r="CG340" s="199">
        <v>0</v>
      </c>
      <c r="CH340" s="199">
        <v>0</v>
      </c>
      <c r="CI340" s="199">
        <v>0</v>
      </c>
      <c r="CJ340" s="199">
        <v>0</v>
      </c>
      <c r="CK340" s="214" t="s">
        <v>916</v>
      </c>
      <c r="CL340" s="214" t="s">
        <v>610</v>
      </c>
      <c r="CM340" s="211">
        <v>198</v>
      </c>
      <c r="CN340" s="215"/>
      <c r="CO340" s="215"/>
      <c r="CP340" s="216"/>
      <c r="CQ340" s="217"/>
      <c r="CR340" s="211"/>
      <c r="CS340" s="218"/>
      <c r="CT340" s="218"/>
      <c r="CU340" s="218"/>
      <c r="CV340" s="211"/>
      <c r="CW340" s="211"/>
      <c r="CX340" s="211"/>
      <c r="CY340" s="211"/>
      <c r="CZ340" s="211"/>
      <c r="DA340" s="211"/>
      <c r="DB340" s="211"/>
      <c r="DC340" s="219"/>
      <c r="DD340" s="219"/>
      <c r="DE340" s="219"/>
      <c r="DF340" s="211"/>
      <c r="DG340" s="211"/>
      <c r="DH340" s="211"/>
      <c r="DI340" s="211"/>
      <c r="DJ340" s="211"/>
      <c r="DK340" s="220" t="s">
        <v>32</v>
      </c>
      <c r="DT340" s="222"/>
    </row>
    <row r="341" spans="1:124" s="176" customFormat="1" ht="42" x14ac:dyDescent="0.2">
      <c r="A341" s="294" t="s">
        <v>94</v>
      </c>
      <c r="B341" s="197" t="s">
        <v>917</v>
      </c>
      <c r="C341" s="198">
        <v>1</v>
      </c>
      <c r="D341" s="199">
        <v>4542000</v>
      </c>
      <c r="E341" s="198" t="s">
        <v>159</v>
      </c>
      <c r="F341" s="198" t="s">
        <v>111</v>
      </c>
      <c r="G341" s="198" t="s">
        <v>98</v>
      </c>
      <c r="H341" s="200">
        <v>1</v>
      </c>
      <c r="I341" s="199">
        <f t="shared" si="374"/>
        <v>0</v>
      </c>
      <c r="J341" s="199">
        <f t="shared" si="375"/>
        <v>4542000</v>
      </c>
      <c r="K341" s="199">
        <f t="shared" si="376"/>
        <v>4542000</v>
      </c>
      <c r="L341" s="199"/>
      <c r="M341" s="199">
        <v>4542000</v>
      </c>
      <c r="N341" s="199">
        <f t="shared" si="377"/>
        <v>4542000</v>
      </c>
      <c r="O341" s="199"/>
      <c r="P341" s="201">
        <v>0</v>
      </c>
      <c r="Q341" s="202">
        <v>14</v>
      </c>
      <c r="R341" s="203">
        <v>45566</v>
      </c>
      <c r="S341" s="199"/>
      <c r="T341" s="199">
        <v>4542000</v>
      </c>
      <c r="U341" s="204">
        <f t="shared" si="378"/>
        <v>4542000</v>
      </c>
      <c r="V341" s="198"/>
      <c r="W341" s="206"/>
      <c r="X341" s="201"/>
      <c r="Y341" s="201"/>
      <c r="Z341" s="201">
        <f t="shared" si="379"/>
        <v>0</v>
      </c>
      <c r="AA341" s="198"/>
      <c r="AB341" s="206"/>
      <c r="AC341" s="207"/>
      <c r="AD341" s="201"/>
      <c r="AE341" s="204">
        <f t="shared" si="380"/>
        <v>0</v>
      </c>
      <c r="AF341" s="203">
        <f t="shared" si="381"/>
        <v>45566</v>
      </c>
      <c r="AG341" s="201">
        <f t="shared" si="382"/>
        <v>0</v>
      </c>
      <c r="AH341" s="199">
        <f t="shared" si="383"/>
        <v>4542000</v>
      </c>
      <c r="AI341" s="199">
        <f t="shared" si="384"/>
        <v>4542000</v>
      </c>
      <c r="AJ341" s="201">
        <f t="shared" si="365"/>
        <v>0</v>
      </c>
      <c r="AK341" s="201">
        <f t="shared" si="365"/>
        <v>4542000</v>
      </c>
      <c r="AL341" s="201">
        <f t="shared" si="385"/>
        <v>4542000</v>
      </c>
      <c r="AM341" s="198"/>
      <c r="AN341" s="203"/>
      <c r="AO341" s="208"/>
      <c r="AP341" s="201">
        <f t="shared" si="386"/>
        <v>0</v>
      </c>
      <c r="AQ341" s="201">
        <f t="shared" si="387"/>
        <v>3038560.82</v>
      </c>
      <c r="AR341" s="201">
        <f t="shared" si="388"/>
        <v>3038560.82</v>
      </c>
      <c r="AS341" s="201">
        <f t="shared" si="389"/>
        <v>66.899181417877585</v>
      </c>
      <c r="AT341" s="201"/>
      <c r="AU341" s="209">
        <v>3038560.82</v>
      </c>
      <c r="AV341" s="201">
        <f t="shared" si="390"/>
        <v>3038560.82</v>
      </c>
      <c r="AW341" s="322">
        <f t="shared" si="368"/>
        <v>6.6050198150594452</v>
      </c>
      <c r="AX341" s="201">
        <f t="shared" si="391"/>
        <v>66.899181417877585</v>
      </c>
      <c r="AY341" s="208"/>
      <c r="AZ341" s="201">
        <f t="shared" si="392"/>
        <v>0</v>
      </c>
      <c r="BA341" s="201">
        <f t="shared" si="393"/>
        <v>24840</v>
      </c>
      <c r="BB341" s="201">
        <f t="shared" si="394"/>
        <v>24840</v>
      </c>
      <c r="BC341" s="201"/>
      <c r="BD341" s="209">
        <v>24840</v>
      </c>
      <c r="BE341" s="201">
        <f t="shared" si="399"/>
        <v>24840</v>
      </c>
      <c r="BF341" s="208"/>
      <c r="BG341" s="201">
        <f t="shared" si="366"/>
        <v>0</v>
      </c>
      <c r="BH341" s="201">
        <f t="shared" si="366"/>
        <v>3063400.82</v>
      </c>
      <c r="BI341" s="201">
        <f t="shared" si="395"/>
        <v>3063400.82</v>
      </c>
      <c r="BJ341" s="201">
        <f t="shared" si="396"/>
        <v>67.446077058564512</v>
      </c>
      <c r="BK341" s="210">
        <v>5</v>
      </c>
      <c r="BL341" s="210">
        <v>45</v>
      </c>
      <c r="BM341" s="211"/>
      <c r="BN341" s="211"/>
      <c r="BO341" s="212">
        <f t="shared" si="397"/>
        <v>0</v>
      </c>
      <c r="BP341" s="201">
        <f t="shared" si="398"/>
        <v>1503439.1800000002</v>
      </c>
      <c r="BQ341" s="201">
        <f t="shared" si="400"/>
        <v>1503439.1800000002</v>
      </c>
      <c r="BR341" s="201">
        <f t="shared" si="367"/>
        <v>0</v>
      </c>
      <c r="BS341" s="201">
        <f t="shared" si="367"/>
        <v>1503439.1800000002</v>
      </c>
      <c r="BT341" s="201">
        <f t="shared" si="401"/>
        <v>1503439.1800000002</v>
      </c>
      <c r="BU341" s="213">
        <f t="shared" si="369"/>
        <v>0</v>
      </c>
      <c r="BV341" s="201"/>
      <c r="BW341" s="201"/>
      <c r="BX341" s="201">
        <f t="shared" si="402"/>
        <v>0</v>
      </c>
      <c r="BY341" s="199">
        <v>500000</v>
      </c>
      <c r="BZ341" s="199">
        <v>500000</v>
      </c>
      <c r="CA341" s="199">
        <v>500000</v>
      </c>
      <c r="CB341" s="199">
        <v>500000</v>
      </c>
      <c r="CC341" s="199">
        <v>500000</v>
      </c>
      <c r="CD341" s="199">
        <v>500000</v>
      </c>
      <c r="CE341" s="199">
        <v>300000</v>
      </c>
      <c r="CF341" s="199">
        <v>300000</v>
      </c>
      <c r="CG341" s="199">
        <v>300000</v>
      </c>
      <c r="CH341" s="199">
        <v>264500</v>
      </c>
      <c r="CI341" s="199">
        <v>271000</v>
      </c>
      <c r="CJ341" s="199">
        <v>106500</v>
      </c>
      <c r="CK341" s="214" t="s">
        <v>918</v>
      </c>
      <c r="CL341" s="214" t="s">
        <v>610</v>
      </c>
      <c r="CM341" s="211">
        <v>198</v>
      </c>
      <c r="CN341" s="215"/>
      <c r="CO341" s="215"/>
      <c r="CP341" s="216"/>
      <c r="CQ341" s="217"/>
      <c r="CR341" s="211"/>
      <c r="CS341" s="218"/>
      <c r="CT341" s="218"/>
      <c r="CU341" s="218"/>
      <c r="CV341" s="211"/>
      <c r="CW341" s="211"/>
      <c r="CX341" s="211"/>
      <c r="CY341" s="211"/>
      <c r="CZ341" s="211"/>
      <c r="DA341" s="211"/>
      <c r="DB341" s="211"/>
      <c r="DC341" s="219"/>
      <c r="DD341" s="219"/>
      <c r="DE341" s="219"/>
      <c r="DF341" s="211"/>
      <c r="DG341" s="211"/>
      <c r="DH341" s="211"/>
      <c r="DI341" s="211"/>
      <c r="DJ341" s="211"/>
      <c r="DK341" s="220" t="s">
        <v>32</v>
      </c>
      <c r="DT341" s="222"/>
    </row>
    <row r="342" spans="1:124" s="176" customFormat="1" ht="42" x14ac:dyDescent="0.2">
      <c r="A342" s="195" t="s">
        <v>108</v>
      </c>
      <c r="B342" s="197" t="s">
        <v>919</v>
      </c>
      <c r="C342" s="198">
        <v>1</v>
      </c>
      <c r="D342" s="199">
        <v>7500000</v>
      </c>
      <c r="E342" s="198" t="s">
        <v>653</v>
      </c>
      <c r="F342" s="198" t="s">
        <v>106</v>
      </c>
      <c r="G342" s="198" t="s">
        <v>98</v>
      </c>
      <c r="H342" s="200">
        <v>1</v>
      </c>
      <c r="I342" s="199">
        <f t="shared" si="374"/>
        <v>0</v>
      </c>
      <c r="J342" s="199">
        <f t="shared" si="375"/>
        <v>7500000</v>
      </c>
      <c r="K342" s="199">
        <f t="shared" si="376"/>
        <v>7500000</v>
      </c>
      <c r="L342" s="199"/>
      <c r="M342" s="199">
        <v>7500000</v>
      </c>
      <c r="N342" s="199">
        <f t="shared" si="377"/>
        <v>7500000</v>
      </c>
      <c r="O342" s="199">
        <v>0</v>
      </c>
      <c r="P342" s="201">
        <v>0</v>
      </c>
      <c r="Q342" s="202">
        <v>14</v>
      </c>
      <c r="R342" s="203">
        <v>45566</v>
      </c>
      <c r="S342" s="199"/>
      <c r="T342" s="199">
        <v>7500000</v>
      </c>
      <c r="U342" s="204">
        <f t="shared" si="378"/>
        <v>7500000</v>
      </c>
      <c r="V342" s="198"/>
      <c r="W342" s="206"/>
      <c r="X342" s="201"/>
      <c r="Y342" s="201"/>
      <c r="Z342" s="201">
        <f t="shared" si="379"/>
        <v>0</v>
      </c>
      <c r="AA342" s="198"/>
      <c r="AB342" s="206"/>
      <c r="AC342" s="207"/>
      <c r="AD342" s="201"/>
      <c r="AE342" s="204">
        <f t="shared" si="380"/>
        <v>0</v>
      </c>
      <c r="AF342" s="203">
        <f t="shared" si="381"/>
        <v>45566</v>
      </c>
      <c r="AG342" s="201">
        <f t="shared" si="382"/>
        <v>0</v>
      </c>
      <c r="AH342" s="199">
        <f t="shared" si="383"/>
        <v>7500000</v>
      </c>
      <c r="AI342" s="199">
        <f t="shared" si="384"/>
        <v>7500000</v>
      </c>
      <c r="AJ342" s="201">
        <f t="shared" si="365"/>
        <v>0</v>
      </c>
      <c r="AK342" s="201">
        <f t="shared" si="365"/>
        <v>7500000</v>
      </c>
      <c r="AL342" s="201">
        <f t="shared" si="385"/>
        <v>7500000</v>
      </c>
      <c r="AM342" s="198"/>
      <c r="AN342" s="203"/>
      <c r="AO342" s="208"/>
      <c r="AP342" s="201">
        <f t="shared" si="386"/>
        <v>0</v>
      </c>
      <c r="AQ342" s="201">
        <f t="shared" si="387"/>
        <v>2036142.05</v>
      </c>
      <c r="AR342" s="201">
        <f t="shared" si="388"/>
        <v>2036142.05</v>
      </c>
      <c r="AS342" s="201">
        <f t="shared" si="389"/>
        <v>27.148560666666668</v>
      </c>
      <c r="AT342" s="201"/>
      <c r="AU342" s="223">
        <v>2036142.05</v>
      </c>
      <c r="AV342" s="201">
        <f t="shared" si="390"/>
        <v>2036142.05</v>
      </c>
      <c r="AW342" s="322">
        <f t="shared" si="368"/>
        <v>10.466666666666667</v>
      </c>
      <c r="AX342" s="201">
        <f t="shared" si="391"/>
        <v>27.148560666666668</v>
      </c>
      <c r="AY342" s="208"/>
      <c r="AZ342" s="201">
        <f t="shared" si="392"/>
        <v>0</v>
      </c>
      <c r="BA342" s="201">
        <f t="shared" si="393"/>
        <v>99840</v>
      </c>
      <c r="BB342" s="201">
        <f t="shared" si="394"/>
        <v>99840</v>
      </c>
      <c r="BC342" s="201"/>
      <c r="BD342" s="209">
        <v>99840</v>
      </c>
      <c r="BE342" s="201">
        <f t="shared" si="399"/>
        <v>99840</v>
      </c>
      <c r="BF342" s="208"/>
      <c r="BG342" s="201">
        <f t="shared" si="366"/>
        <v>0</v>
      </c>
      <c r="BH342" s="201">
        <f t="shared" si="366"/>
        <v>2135982.0499999998</v>
      </c>
      <c r="BI342" s="201">
        <f t="shared" si="395"/>
        <v>2135982.0499999998</v>
      </c>
      <c r="BJ342" s="201">
        <f t="shared" si="396"/>
        <v>28.479760666666664</v>
      </c>
      <c r="BK342" s="210">
        <v>89</v>
      </c>
      <c r="BL342" s="210">
        <v>12</v>
      </c>
      <c r="BM342" s="211"/>
      <c r="BN342" s="211"/>
      <c r="BO342" s="212">
        <f t="shared" si="397"/>
        <v>0</v>
      </c>
      <c r="BP342" s="201">
        <f t="shared" si="398"/>
        <v>5463857.9500000002</v>
      </c>
      <c r="BQ342" s="201">
        <f t="shared" si="400"/>
        <v>5463857.9500000002</v>
      </c>
      <c r="BR342" s="201">
        <f t="shared" si="367"/>
        <v>0</v>
      </c>
      <c r="BS342" s="201">
        <f t="shared" si="367"/>
        <v>5463857.9500000002</v>
      </c>
      <c r="BT342" s="201">
        <f t="shared" si="401"/>
        <v>5463857.9500000002</v>
      </c>
      <c r="BU342" s="213">
        <f t="shared" si="369"/>
        <v>0</v>
      </c>
      <c r="BV342" s="201"/>
      <c r="BW342" s="201"/>
      <c r="BX342" s="201">
        <f t="shared" si="402"/>
        <v>0</v>
      </c>
      <c r="BY342" s="199">
        <v>852300</v>
      </c>
      <c r="BZ342" s="199">
        <v>857000</v>
      </c>
      <c r="CA342" s="199">
        <v>980500</v>
      </c>
      <c r="CB342" s="199">
        <v>318600</v>
      </c>
      <c r="CC342" s="199">
        <v>323400</v>
      </c>
      <c r="CD342" s="199">
        <v>337400</v>
      </c>
      <c r="CE342" s="199">
        <v>751300</v>
      </c>
      <c r="CF342" s="199">
        <v>785000</v>
      </c>
      <c r="CG342" s="199">
        <v>718600</v>
      </c>
      <c r="CH342" s="199">
        <v>561700</v>
      </c>
      <c r="CI342" s="199">
        <v>509300</v>
      </c>
      <c r="CJ342" s="199">
        <v>504900</v>
      </c>
      <c r="CK342" s="214" t="s">
        <v>920</v>
      </c>
      <c r="CL342" s="214" t="s">
        <v>610</v>
      </c>
      <c r="CM342" s="211">
        <v>198</v>
      </c>
      <c r="CN342" s="215"/>
      <c r="CO342" s="215"/>
      <c r="CP342" s="216"/>
      <c r="CQ342" s="217"/>
      <c r="CR342" s="211"/>
      <c r="CS342" s="218"/>
      <c r="CT342" s="218"/>
      <c r="CU342" s="218"/>
      <c r="CV342" s="211"/>
      <c r="CW342" s="211"/>
      <c r="CX342" s="211"/>
      <c r="CY342" s="211"/>
      <c r="CZ342" s="211"/>
      <c r="DA342" s="211"/>
      <c r="DB342" s="211"/>
      <c r="DC342" s="219"/>
      <c r="DD342" s="219"/>
      <c r="DE342" s="219"/>
      <c r="DF342" s="211"/>
      <c r="DG342" s="211"/>
      <c r="DH342" s="211"/>
      <c r="DI342" s="211"/>
      <c r="DJ342" s="211"/>
      <c r="DK342" s="220" t="s">
        <v>32</v>
      </c>
      <c r="DL342" s="248"/>
      <c r="DT342" s="222"/>
    </row>
    <row r="343" spans="1:124" s="176" customFormat="1" ht="42" x14ac:dyDescent="0.2">
      <c r="A343" s="225" t="s">
        <v>119</v>
      </c>
      <c r="B343" s="197" t="s">
        <v>921</v>
      </c>
      <c r="C343" s="198">
        <v>1</v>
      </c>
      <c r="D343" s="199">
        <v>1730000</v>
      </c>
      <c r="E343" s="198" t="s">
        <v>922</v>
      </c>
      <c r="F343" s="198" t="s">
        <v>191</v>
      </c>
      <c r="G343" s="198" t="s">
        <v>123</v>
      </c>
      <c r="H343" s="200">
        <v>1</v>
      </c>
      <c r="I343" s="199">
        <f t="shared" si="374"/>
        <v>0</v>
      </c>
      <c r="J343" s="199">
        <f t="shared" si="375"/>
        <v>1730000</v>
      </c>
      <c r="K343" s="199">
        <f t="shared" si="376"/>
        <v>1730000</v>
      </c>
      <c r="L343" s="199"/>
      <c r="M343" s="199">
        <v>1730000</v>
      </c>
      <c r="N343" s="199">
        <f t="shared" si="377"/>
        <v>1730000</v>
      </c>
      <c r="O343" s="199"/>
      <c r="P343" s="201">
        <v>0</v>
      </c>
      <c r="Q343" s="202">
        <v>14</v>
      </c>
      <c r="R343" s="203">
        <v>45566</v>
      </c>
      <c r="S343" s="199"/>
      <c r="T343" s="199">
        <v>1730000</v>
      </c>
      <c r="U343" s="204">
        <f t="shared" si="378"/>
        <v>1730000</v>
      </c>
      <c r="V343" s="205"/>
      <c r="W343" s="200"/>
      <c r="X343" s="201"/>
      <c r="Y343" s="201"/>
      <c r="Z343" s="201">
        <f t="shared" si="379"/>
        <v>0</v>
      </c>
      <c r="AA343" s="198"/>
      <c r="AB343" s="206"/>
      <c r="AC343" s="207"/>
      <c r="AD343" s="201"/>
      <c r="AE343" s="204">
        <f t="shared" si="380"/>
        <v>0</v>
      </c>
      <c r="AF343" s="203">
        <f t="shared" si="381"/>
        <v>45566</v>
      </c>
      <c r="AG343" s="201">
        <f t="shared" si="382"/>
        <v>0</v>
      </c>
      <c r="AH343" s="201">
        <f t="shared" si="383"/>
        <v>1730000</v>
      </c>
      <c r="AI343" s="199">
        <f t="shared" si="384"/>
        <v>1730000</v>
      </c>
      <c r="AJ343" s="201">
        <f t="shared" si="365"/>
        <v>0</v>
      </c>
      <c r="AK343" s="201">
        <f t="shared" si="365"/>
        <v>1730000</v>
      </c>
      <c r="AL343" s="201">
        <f t="shared" si="385"/>
        <v>1730000</v>
      </c>
      <c r="AM343" s="198"/>
      <c r="AN343" s="203"/>
      <c r="AO343" s="208"/>
      <c r="AP343" s="201">
        <f t="shared" si="386"/>
        <v>0</v>
      </c>
      <c r="AQ343" s="201">
        <f t="shared" si="387"/>
        <v>1650229.46</v>
      </c>
      <c r="AR343" s="201">
        <f t="shared" si="388"/>
        <v>1650229.46</v>
      </c>
      <c r="AS343" s="201">
        <f t="shared" si="389"/>
        <v>95.388986127167627</v>
      </c>
      <c r="AT343" s="201"/>
      <c r="AU343" s="209">
        <v>1650229.46</v>
      </c>
      <c r="AV343" s="201">
        <f t="shared" si="390"/>
        <v>1650229.46</v>
      </c>
      <c r="AW343" s="201">
        <f t="shared" si="368"/>
        <v>9.0909090867052011</v>
      </c>
      <c r="AX343" s="201">
        <f t="shared" si="391"/>
        <v>95.388986127167627</v>
      </c>
      <c r="AY343" s="208"/>
      <c r="AZ343" s="201">
        <f t="shared" si="392"/>
        <v>0</v>
      </c>
      <c r="BA343" s="201">
        <f t="shared" si="393"/>
        <v>0</v>
      </c>
      <c r="BB343" s="201">
        <f t="shared" si="394"/>
        <v>0</v>
      </c>
      <c r="BC343" s="201"/>
      <c r="BD343" s="209">
        <v>0</v>
      </c>
      <c r="BE343" s="201">
        <f t="shared" ref="BE343:BE406" si="406">SUM(BC343:BD343)</f>
        <v>0</v>
      </c>
      <c r="BF343" s="208"/>
      <c r="BG343" s="201">
        <f t="shared" si="366"/>
        <v>0</v>
      </c>
      <c r="BH343" s="201">
        <f t="shared" si="366"/>
        <v>1650229.46</v>
      </c>
      <c r="BI343" s="201">
        <f t="shared" si="395"/>
        <v>1650229.46</v>
      </c>
      <c r="BJ343" s="201">
        <f t="shared" si="396"/>
        <v>95.388986127167627</v>
      </c>
      <c r="BK343" s="210">
        <v>35</v>
      </c>
      <c r="BL343" s="210">
        <v>70</v>
      </c>
      <c r="BM343" s="211"/>
      <c r="BN343" s="211"/>
      <c r="BO343" s="212">
        <f t="shared" si="397"/>
        <v>0</v>
      </c>
      <c r="BP343" s="201">
        <f t="shared" si="398"/>
        <v>79770.540000000037</v>
      </c>
      <c r="BQ343" s="201">
        <f t="shared" ref="BQ343:BQ406" si="407">SUM(BO343:BP343)</f>
        <v>79770.540000000037</v>
      </c>
      <c r="BR343" s="201">
        <f t="shared" si="367"/>
        <v>0</v>
      </c>
      <c r="BS343" s="201">
        <f t="shared" si="367"/>
        <v>79770.540000000037</v>
      </c>
      <c r="BT343" s="201">
        <f t="shared" ref="BT343:BT406" si="408">SUM(BR343:BS343)</f>
        <v>79770.540000000037</v>
      </c>
      <c r="BU343" s="213">
        <f t="shared" si="369"/>
        <v>0</v>
      </c>
      <c r="BV343" s="201"/>
      <c r="BW343" s="201"/>
      <c r="BX343" s="201">
        <f t="shared" ref="BX343:BX406" si="409">SUM(BV343:BW343)</f>
        <v>0</v>
      </c>
      <c r="BY343" s="199">
        <v>314545.45439999999</v>
      </c>
      <c r="BZ343" s="199">
        <v>314545.45439999999</v>
      </c>
      <c r="CA343" s="199">
        <v>157272.72719999999</v>
      </c>
      <c r="CB343" s="199">
        <v>157272.72719999999</v>
      </c>
      <c r="CC343" s="199">
        <v>157272.72719999999</v>
      </c>
      <c r="CD343" s="199">
        <v>157272.72719999999</v>
      </c>
      <c r="CE343" s="199">
        <v>157272.72719999999</v>
      </c>
      <c r="CF343" s="199">
        <v>157272.72719999999</v>
      </c>
      <c r="CG343" s="199">
        <v>157272.72719999999</v>
      </c>
      <c r="CH343" s="199"/>
      <c r="CI343" s="199"/>
      <c r="CJ343" s="199"/>
      <c r="CK343" s="214" t="s">
        <v>923</v>
      </c>
      <c r="CL343" s="214" t="s">
        <v>610</v>
      </c>
      <c r="CM343" s="211">
        <v>198</v>
      </c>
      <c r="CN343" s="215"/>
      <c r="CO343" s="215"/>
      <c r="CP343" s="216"/>
      <c r="CQ343" s="217"/>
      <c r="CR343" s="211"/>
      <c r="CS343" s="218"/>
      <c r="CT343" s="218"/>
      <c r="CU343" s="218"/>
      <c r="CV343" s="211"/>
      <c r="CW343" s="211"/>
      <c r="CX343" s="211"/>
      <c r="CY343" s="211"/>
      <c r="CZ343" s="211"/>
      <c r="DA343" s="211"/>
      <c r="DB343" s="211"/>
      <c r="DC343" s="219"/>
      <c r="DD343" s="219"/>
      <c r="DE343" s="219"/>
      <c r="DF343" s="211"/>
      <c r="DG343" s="211"/>
      <c r="DH343" s="211"/>
      <c r="DI343" s="211"/>
      <c r="DJ343" s="211"/>
      <c r="DK343" s="220" t="s">
        <v>32</v>
      </c>
      <c r="DT343" s="222"/>
    </row>
    <row r="344" spans="1:124" s="176" customFormat="1" ht="42" x14ac:dyDescent="0.2">
      <c r="A344" s="225" t="s">
        <v>119</v>
      </c>
      <c r="B344" s="197" t="s">
        <v>924</v>
      </c>
      <c r="C344" s="198">
        <v>1</v>
      </c>
      <c r="D344" s="199">
        <v>420000</v>
      </c>
      <c r="E344" s="198" t="s">
        <v>130</v>
      </c>
      <c r="F344" s="198" t="s">
        <v>127</v>
      </c>
      <c r="G344" s="198" t="s">
        <v>123</v>
      </c>
      <c r="H344" s="200">
        <v>1</v>
      </c>
      <c r="I344" s="199">
        <f t="shared" si="374"/>
        <v>0</v>
      </c>
      <c r="J344" s="199">
        <f t="shared" si="375"/>
        <v>420000</v>
      </c>
      <c r="K344" s="199">
        <f t="shared" si="376"/>
        <v>420000</v>
      </c>
      <c r="L344" s="199"/>
      <c r="M344" s="199">
        <v>420000</v>
      </c>
      <c r="N344" s="199">
        <f t="shared" si="377"/>
        <v>420000</v>
      </c>
      <c r="O344" s="199"/>
      <c r="P344" s="201">
        <v>0</v>
      </c>
      <c r="Q344" s="202">
        <v>14</v>
      </c>
      <c r="R344" s="203">
        <v>45566</v>
      </c>
      <c r="S344" s="199"/>
      <c r="T344" s="199">
        <v>420000</v>
      </c>
      <c r="U344" s="204">
        <f t="shared" si="378"/>
        <v>420000</v>
      </c>
      <c r="V344" s="205"/>
      <c r="W344" s="200"/>
      <c r="X344" s="201"/>
      <c r="Y344" s="201"/>
      <c r="Z344" s="201">
        <f t="shared" si="379"/>
        <v>0</v>
      </c>
      <c r="AA344" s="198"/>
      <c r="AB344" s="206"/>
      <c r="AC344" s="207"/>
      <c r="AD344" s="201"/>
      <c r="AE344" s="204">
        <f t="shared" si="380"/>
        <v>0</v>
      </c>
      <c r="AF344" s="203">
        <f t="shared" si="381"/>
        <v>45566</v>
      </c>
      <c r="AG344" s="201">
        <f t="shared" si="382"/>
        <v>0</v>
      </c>
      <c r="AH344" s="201">
        <f t="shared" si="383"/>
        <v>420000</v>
      </c>
      <c r="AI344" s="199">
        <f t="shared" si="384"/>
        <v>420000</v>
      </c>
      <c r="AJ344" s="201">
        <f t="shared" si="365"/>
        <v>0</v>
      </c>
      <c r="AK344" s="201">
        <f t="shared" si="365"/>
        <v>420000</v>
      </c>
      <c r="AL344" s="201">
        <f t="shared" si="385"/>
        <v>420000</v>
      </c>
      <c r="AM344" s="198"/>
      <c r="AN344" s="203"/>
      <c r="AO344" s="208"/>
      <c r="AP344" s="201">
        <f t="shared" si="386"/>
        <v>0</v>
      </c>
      <c r="AQ344" s="201">
        <f t="shared" si="387"/>
        <v>286397.84999999998</v>
      </c>
      <c r="AR344" s="201">
        <f t="shared" si="388"/>
        <v>286397.84999999998</v>
      </c>
      <c r="AS344" s="201">
        <f t="shared" si="389"/>
        <v>68.189964285714282</v>
      </c>
      <c r="AT344" s="201"/>
      <c r="AU344" s="209">
        <v>286397.84999999998</v>
      </c>
      <c r="AV344" s="201">
        <f t="shared" si="390"/>
        <v>286397.84999999998</v>
      </c>
      <c r="AW344" s="201">
        <f t="shared" si="368"/>
        <v>0</v>
      </c>
      <c r="AX344" s="201">
        <f t="shared" si="391"/>
        <v>68.189964285714282</v>
      </c>
      <c r="AY344" s="208"/>
      <c r="AZ344" s="201">
        <f t="shared" si="392"/>
        <v>0</v>
      </c>
      <c r="BA344" s="201">
        <f t="shared" si="393"/>
        <v>132700</v>
      </c>
      <c r="BB344" s="201">
        <f t="shared" si="394"/>
        <v>132700</v>
      </c>
      <c r="BC344" s="201"/>
      <c r="BD344" s="209">
        <v>132700</v>
      </c>
      <c r="BE344" s="201">
        <f t="shared" si="406"/>
        <v>132700</v>
      </c>
      <c r="BF344" s="208"/>
      <c r="BG344" s="201">
        <f t="shared" si="366"/>
        <v>0</v>
      </c>
      <c r="BH344" s="201">
        <f t="shared" si="366"/>
        <v>419097.85</v>
      </c>
      <c r="BI344" s="201">
        <f t="shared" si="395"/>
        <v>419097.85</v>
      </c>
      <c r="BJ344" s="201">
        <f t="shared" si="396"/>
        <v>99.785202380952384</v>
      </c>
      <c r="BK344" s="210">
        <v>0</v>
      </c>
      <c r="BL344" s="210">
        <v>50</v>
      </c>
      <c r="BM344" s="211"/>
      <c r="BN344" s="211"/>
      <c r="BO344" s="212">
        <f t="shared" si="397"/>
        <v>0</v>
      </c>
      <c r="BP344" s="201">
        <f t="shared" si="398"/>
        <v>133602.15000000002</v>
      </c>
      <c r="BQ344" s="201">
        <f t="shared" si="407"/>
        <v>133602.15000000002</v>
      </c>
      <c r="BR344" s="201">
        <f t="shared" si="367"/>
        <v>0</v>
      </c>
      <c r="BS344" s="201">
        <f t="shared" si="367"/>
        <v>133602.15000000002</v>
      </c>
      <c r="BT344" s="201">
        <f t="shared" si="408"/>
        <v>133602.15000000002</v>
      </c>
      <c r="BU344" s="213">
        <f t="shared" si="369"/>
        <v>0</v>
      </c>
      <c r="BV344" s="201"/>
      <c r="BW344" s="201"/>
      <c r="BX344" s="201">
        <f t="shared" si="409"/>
        <v>0</v>
      </c>
      <c r="BY344" s="199">
        <v>0</v>
      </c>
      <c r="BZ344" s="199">
        <v>0</v>
      </c>
      <c r="CA344" s="199">
        <v>0</v>
      </c>
      <c r="CB344" s="199">
        <v>210000</v>
      </c>
      <c r="CC344" s="199">
        <v>210000</v>
      </c>
      <c r="CD344" s="199">
        <v>0</v>
      </c>
      <c r="CE344" s="199">
        <v>0</v>
      </c>
      <c r="CF344" s="199">
        <v>0</v>
      </c>
      <c r="CG344" s="199">
        <v>0</v>
      </c>
      <c r="CH344" s="199">
        <v>0</v>
      </c>
      <c r="CI344" s="199">
        <v>0</v>
      </c>
      <c r="CJ344" s="199"/>
      <c r="CK344" s="214" t="s">
        <v>925</v>
      </c>
      <c r="CL344" s="214" t="s">
        <v>610</v>
      </c>
      <c r="CM344" s="211">
        <v>198</v>
      </c>
      <c r="CN344" s="215"/>
      <c r="CO344" s="215"/>
      <c r="CP344" s="216"/>
      <c r="CQ344" s="217"/>
      <c r="CR344" s="211"/>
      <c r="CS344" s="218"/>
      <c r="CT344" s="218"/>
      <c r="CU344" s="218"/>
      <c r="CV344" s="211"/>
      <c r="CW344" s="211"/>
      <c r="CX344" s="211"/>
      <c r="CY344" s="211"/>
      <c r="CZ344" s="211"/>
      <c r="DA344" s="211"/>
      <c r="DB344" s="211"/>
      <c r="DC344" s="219"/>
      <c r="DD344" s="219"/>
      <c r="DE344" s="219"/>
      <c r="DF344" s="211"/>
      <c r="DG344" s="211"/>
      <c r="DH344" s="211"/>
      <c r="DI344" s="211"/>
      <c r="DJ344" s="211"/>
      <c r="DK344" s="220" t="s">
        <v>32</v>
      </c>
      <c r="DT344" s="222"/>
    </row>
    <row r="345" spans="1:124" s="176" customFormat="1" ht="42" x14ac:dyDescent="0.2">
      <c r="A345" s="225" t="s">
        <v>119</v>
      </c>
      <c r="B345" s="197" t="s">
        <v>926</v>
      </c>
      <c r="C345" s="198">
        <v>1</v>
      </c>
      <c r="D345" s="199">
        <v>450000</v>
      </c>
      <c r="E345" s="198" t="s">
        <v>927</v>
      </c>
      <c r="F345" s="198" t="s">
        <v>430</v>
      </c>
      <c r="G345" s="198" t="s">
        <v>123</v>
      </c>
      <c r="H345" s="200">
        <v>1</v>
      </c>
      <c r="I345" s="199">
        <f t="shared" si="374"/>
        <v>0</v>
      </c>
      <c r="J345" s="199">
        <f t="shared" si="375"/>
        <v>450000</v>
      </c>
      <c r="K345" s="199">
        <f t="shared" si="376"/>
        <v>450000</v>
      </c>
      <c r="L345" s="199"/>
      <c r="M345" s="199">
        <v>450000</v>
      </c>
      <c r="N345" s="199">
        <f t="shared" si="377"/>
        <v>450000</v>
      </c>
      <c r="O345" s="199"/>
      <c r="P345" s="201">
        <v>0</v>
      </c>
      <c r="Q345" s="202">
        <v>14</v>
      </c>
      <c r="R345" s="203">
        <v>45566</v>
      </c>
      <c r="S345" s="199"/>
      <c r="T345" s="199">
        <v>450000</v>
      </c>
      <c r="U345" s="204">
        <f t="shared" si="378"/>
        <v>450000</v>
      </c>
      <c r="V345" s="205"/>
      <c r="W345" s="200"/>
      <c r="X345" s="201"/>
      <c r="Y345" s="201"/>
      <c r="Z345" s="201">
        <f t="shared" si="379"/>
        <v>0</v>
      </c>
      <c r="AA345" s="198"/>
      <c r="AB345" s="206"/>
      <c r="AC345" s="207"/>
      <c r="AD345" s="201"/>
      <c r="AE345" s="204">
        <f t="shared" si="380"/>
        <v>0</v>
      </c>
      <c r="AF345" s="203">
        <f t="shared" si="381"/>
        <v>45566</v>
      </c>
      <c r="AG345" s="201">
        <f t="shared" si="382"/>
        <v>0</v>
      </c>
      <c r="AH345" s="201">
        <f t="shared" si="383"/>
        <v>450000</v>
      </c>
      <c r="AI345" s="199">
        <f t="shared" si="384"/>
        <v>450000</v>
      </c>
      <c r="AJ345" s="201">
        <f t="shared" si="365"/>
        <v>0</v>
      </c>
      <c r="AK345" s="201">
        <f t="shared" si="365"/>
        <v>450000</v>
      </c>
      <c r="AL345" s="201">
        <f t="shared" si="385"/>
        <v>450000</v>
      </c>
      <c r="AM345" s="198"/>
      <c r="AN345" s="203"/>
      <c r="AO345" s="208"/>
      <c r="AP345" s="201">
        <f t="shared" si="386"/>
        <v>0</v>
      </c>
      <c r="AQ345" s="201">
        <f t="shared" si="387"/>
        <v>304650.95</v>
      </c>
      <c r="AR345" s="201">
        <f t="shared" si="388"/>
        <v>304650.95</v>
      </c>
      <c r="AS345" s="201">
        <f t="shared" si="389"/>
        <v>67.700211111111116</v>
      </c>
      <c r="AT345" s="201"/>
      <c r="AU345" s="209">
        <v>304650.95</v>
      </c>
      <c r="AV345" s="201">
        <f t="shared" si="390"/>
        <v>304650.95</v>
      </c>
      <c r="AW345" s="201">
        <f t="shared" si="368"/>
        <v>0</v>
      </c>
      <c r="AX345" s="201">
        <f t="shared" si="391"/>
        <v>67.700211111111116</v>
      </c>
      <c r="AY345" s="208"/>
      <c r="AZ345" s="201">
        <f t="shared" si="392"/>
        <v>0</v>
      </c>
      <c r="BA345" s="201">
        <f t="shared" si="393"/>
        <v>144760</v>
      </c>
      <c r="BB345" s="201">
        <f t="shared" si="394"/>
        <v>144760</v>
      </c>
      <c r="BC345" s="201"/>
      <c r="BD345" s="209">
        <v>144760</v>
      </c>
      <c r="BE345" s="201">
        <f t="shared" si="406"/>
        <v>144760</v>
      </c>
      <c r="BF345" s="208"/>
      <c r="BG345" s="201">
        <f t="shared" si="366"/>
        <v>0</v>
      </c>
      <c r="BH345" s="201">
        <f t="shared" si="366"/>
        <v>449410.95</v>
      </c>
      <c r="BI345" s="201">
        <f t="shared" si="395"/>
        <v>449410.95</v>
      </c>
      <c r="BJ345" s="201">
        <f t="shared" si="396"/>
        <v>99.869100000000003</v>
      </c>
      <c r="BK345" s="210">
        <v>0</v>
      </c>
      <c r="BL345" s="210">
        <v>30</v>
      </c>
      <c r="BM345" s="211"/>
      <c r="BN345" s="211"/>
      <c r="BO345" s="212">
        <f t="shared" si="397"/>
        <v>0</v>
      </c>
      <c r="BP345" s="201">
        <f t="shared" si="398"/>
        <v>145349.04999999999</v>
      </c>
      <c r="BQ345" s="201">
        <f t="shared" si="407"/>
        <v>145349.04999999999</v>
      </c>
      <c r="BR345" s="201">
        <f t="shared" si="367"/>
        <v>0</v>
      </c>
      <c r="BS345" s="201">
        <f t="shared" si="367"/>
        <v>145349.04999999999</v>
      </c>
      <c r="BT345" s="201">
        <f t="shared" si="408"/>
        <v>145349.04999999999</v>
      </c>
      <c r="BU345" s="213">
        <f t="shared" si="369"/>
        <v>0</v>
      </c>
      <c r="BV345" s="201"/>
      <c r="BW345" s="201"/>
      <c r="BX345" s="201">
        <f t="shared" si="409"/>
        <v>0</v>
      </c>
      <c r="BY345" s="199">
        <v>0</v>
      </c>
      <c r="BZ345" s="199">
        <v>0</v>
      </c>
      <c r="CA345" s="199">
        <v>0</v>
      </c>
      <c r="CB345" s="199"/>
      <c r="CC345" s="199"/>
      <c r="CD345" s="199">
        <v>225000</v>
      </c>
      <c r="CE345" s="199">
        <v>225000</v>
      </c>
      <c r="CF345" s="199">
        <v>0</v>
      </c>
      <c r="CG345" s="199">
        <v>0</v>
      </c>
      <c r="CH345" s="199">
        <v>0</v>
      </c>
      <c r="CI345" s="199">
        <v>0</v>
      </c>
      <c r="CJ345" s="199"/>
      <c r="CK345" s="214" t="s">
        <v>928</v>
      </c>
      <c r="CL345" s="214" t="s">
        <v>610</v>
      </c>
      <c r="CM345" s="211">
        <v>198</v>
      </c>
      <c r="CN345" s="215"/>
      <c r="CO345" s="215"/>
      <c r="CP345" s="216"/>
      <c r="CQ345" s="217"/>
      <c r="CR345" s="211"/>
      <c r="CS345" s="218"/>
      <c r="CT345" s="218"/>
      <c r="CU345" s="218"/>
      <c r="CV345" s="211"/>
      <c r="CW345" s="211"/>
      <c r="CX345" s="211"/>
      <c r="CY345" s="211"/>
      <c r="CZ345" s="211"/>
      <c r="DA345" s="211"/>
      <c r="DB345" s="211"/>
      <c r="DC345" s="219"/>
      <c r="DD345" s="219"/>
      <c r="DE345" s="219"/>
      <c r="DF345" s="211"/>
      <c r="DG345" s="211"/>
      <c r="DH345" s="211"/>
      <c r="DI345" s="211"/>
      <c r="DJ345" s="211"/>
      <c r="DK345" s="220" t="s">
        <v>32</v>
      </c>
      <c r="DT345" s="222"/>
    </row>
    <row r="346" spans="1:124" s="176" customFormat="1" ht="42" x14ac:dyDescent="0.2">
      <c r="A346" s="225" t="s">
        <v>119</v>
      </c>
      <c r="B346" s="197" t="s">
        <v>929</v>
      </c>
      <c r="C346" s="198">
        <v>1</v>
      </c>
      <c r="D346" s="199">
        <v>9700000</v>
      </c>
      <c r="E346" s="198" t="s">
        <v>922</v>
      </c>
      <c r="F346" s="198" t="s">
        <v>191</v>
      </c>
      <c r="G346" s="198" t="s">
        <v>123</v>
      </c>
      <c r="H346" s="200">
        <v>1</v>
      </c>
      <c r="I346" s="199">
        <f t="shared" si="374"/>
        <v>0</v>
      </c>
      <c r="J346" s="199">
        <f t="shared" si="375"/>
        <v>9700000</v>
      </c>
      <c r="K346" s="199">
        <f t="shared" si="376"/>
        <v>9700000</v>
      </c>
      <c r="L346" s="199"/>
      <c r="M346" s="199">
        <v>9700000</v>
      </c>
      <c r="N346" s="199">
        <f t="shared" si="377"/>
        <v>9700000</v>
      </c>
      <c r="O346" s="199"/>
      <c r="P346" s="201">
        <v>0</v>
      </c>
      <c r="Q346" s="202">
        <v>14</v>
      </c>
      <c r="R346" s="203">
        <v>45566</v>
      </c>
      <c r="S346" s="199"/>
      <c r="T346" s="199">
        <v>9700000</v>
      </c>
      <c r="U346" s="204">
        <f t="shared" si="378"/>
        <v>9700000</v>
      </c>
      <c r="V346" s="205"/>
      <c r="W346" s="200"/>
      <c r="X346" s="201"/>
      <c r="Y346" s="201"/>
      <c r="Z346" s="201">
        <f t="shared" si="379"/>
        <v>0</v>
      </c>
      <c r="AA346" s="198"/>
      <c r="AB346" s="206"/>
      <c r="AC346" s="207"/>
      <c r="AD346" s="201"/>
      <c r="AE346" s="204">
        <f t="shared" si="380"/>
        <v>0</v>
      </c>
      <c r="AF346" s="203">
        <f t="shared" si="381"/>
        <v>45566</v>
      </c>
      <c r="AG346" s="201">
        <f t="shared" si="382"/>
        <v>0</v>
      </c>
      <c r="AH346" s="201">
        <f t="shared" si="383"/>
        <v>9700000</v>
      </c>
      <c r="AI346" s="199">
        <f t="shared" si="384"/>
        <v>9700000</v>
      </c>
      <c r="AJ346" s="201">
        <f t="shared" ref="AJ346:AK361" si="410">+S346+X346+AC346</f>
        <v>0</v>
      </c>
      <c r="AK346" s="201">
        <f t="shared" si="410"/>
        <v>9700000</v>
      </c>
      <c r="AL346" s="201">
        <f t="shared" si="385"/>
        <v>9700000</v>
      </c>
      <c r="AM346" s="198"/>
      <c r="AN346" s="203"/>
      <c r="AO346" s="208"/>
      <c r="AP346" s="201">
        <f t="shared" si="386"/>
        <v>0</v>
      </c>
      <c r="AQ346" s="201">
        <f t="shared" si="387"/>
        <v>7882299.8799999999</v>
      </c>
      <c r="AR346" s="201">
        <f t="shared" si="388"/>
        <v>7882299.8799999999</v>
      </c>
      <c r="AS346" s="201">
        <f t="shared" si="389"/>
        <v>81.260823505154633</v>
      </c>
      <c r="AT346" s="201"/>
      <c r="AU346" s="209">
        <v>7882299.8799999999</v>
      </c>
      <c r="AV346" s="201">
        <f t="shared" si="390"/>
        <v>7882299.8799999999</v>
      </c>
      <c r="AW346" s="201">
        <f t="shared" si="368"/>
        <v>6.1855670103092786</v>
      </c>
      <c r="AX346" s="201">
        <f t="shared" si="391"/>
        <v>81.260823505154633</v>
      </c>
      <c r="AY346" s="208"/>
      <c r="AZ346" s="201">
        <f t="shared" si="392"/>
        <v>0</v>
      </c>
      <c r="BA346" s="201">
        <f t="shared" si="393"/>
        <v>495000</v>
      </c>
      <c r="BB346" s="201">
        <f t="shared" si="394"/>
        <v>495000</v>
      </c>
      <c r="BC346" s="201"/>
      <c r="BD346" s="209">
        <v>495000</v>
      </c>
      <c r="BE346" s="201">
        <f t="shared" si="406"/>
        <v>495000</v>
      </c>
      <c r="BF346" s="208"/>
      <c r="BG346" s="201">
        <f t="shared" si="366"/>
        <v>0</v>
      </c>
      <c r="BH346" s="201">
        <f t="shared" si="366"/>
        <v>8377299.8799999999</v>
      </c>
      <c r="BI346" s="201">
        <f t="shared" si="395"/>
        <v>8377299.8799999999</v>
      </c>
      <c r="BJ346" s="201">
        <f t="shared" si="396"/>
        <v>86.363916288659794</v>
      </c>
      <c r="BK346" s="210">
        <v>0</v>
      </c>
      <c r="BL346" s="210">
        <v>50</v>
      </c>
      <c r="BM346" s="211"/>
      <c r="BN346" s="211"/>
      <c r="BO346" s="212">
        <f t="shared" si="397"/>
        <v>0</v>
      </c>
      <c r="BP346" s="201">
        <f t="shared" si="398"/>
        <v>1817700.12</v>
      </c>
      <c r="BQ346" s="201">
        <f t="shared" si="407"/>
        <v>1817700.12</v>
      </c>
      <c r="BR346" s="201">
        <f t="shared" si="367"/>
        <v>0</v>
      </c>
      <c r="BS346" s="201">
        <f t="shared" si="367"/>
        <v>1817700.12</v>
      </c>
      <c r="BT346" s="201">
        <f t="shared" si="408"/>
        <v>1817700.12</v>
      </c>
      <c r="BU346" s="213">
        <f t="shared" si="369"/>
        <v>0</v>
      </c>
      <c r="BV346" s="201"/>
      <c r="BW346" s="201"/>
      <c r="BX346" s="201">
        <f t="shared" si="409"/>
        <v>0</v>
      </c>
      <c r="BY346" s="199">
        <v>700000</v>
      </c>
      <c r="BZ346" s="199">
        <v>1300000</v>
      </c>
      <c r="CA346" s="199">
        <v>2700000</v>
      </c>
      <c r="CB346" s="199">
        <v>800000</v>
      </c>
      <c r="CC346" s="199">
        <v>800000</v>
      </c>
      <c r="CD346" s="199">
        <v>1000000</v>
      </c>
      <c r="CE346" s="199">
        <v>600000</v>
      </c>
      <c r="CF346" s="199">
        <v>600000</v>
      </c>
      <c r="CG346" s="199">
        <v>600000</v>
      </c>
      <c r="CH346" s="199">
        <v>600000</v>
      </c>
      <c r="CI346" s="199"/>
      <c r="CJ346" s="199"/>
      <c r="CK346" s="214" t="s">
        <v>930</v>
      </c>
      <c r="CL346" s="214" t="s">
        <v>610</v>
      </c>
      <c r="CM346" s="211">
        <v>198</v>
      </c>
      <c r="CN346" s="215"/>
      <c r="CO346" s="215"/>
      <c r="CP346" s="216"/>
      <c r="CQ346" s="217"/>
      <c r="CR346" s="211"/>
      <c r="CS346" s="218"/>
      <c r="CT346" s="218"/>
      <c r="CU346" s="218"/>
      <c r="CV346" s="211"/>
      <c r="CW346" s="211"/>
      <c r="CX346" s="211"/>
      <c r="CY346" s="211"/>
      <c r="CZ346" s="211"/>
      <c r="DA346" s="211"/>
      <c r="DB346" s="211"/>
      <c r="DC346" s="219"/>
      <c r="DD346" s="219"/>
      <c r="DE346" s="219"/>
      <c r="DF346" s="211"/>
      <c r="DG346" s="211"/>
      <c r="DH346" s="211"/>
      <c r="DI346" s="211"/>
      <c r="DJ346" s="211"/>
      <c r="DK346" s="220" t="s">
        <v>32</v>
      </c>
      <c r="DT346" s="222"/>
    </row>
    <row r="347" spans="1:124" s="176" customFormat="1" ht="42" x14ac:dyDescent="0.2">
      <c r="A347" s="225" t="s">
        <v>119</v>
      </c>
      <c r="B347" s="197" t="s">
        <v>931</v>
      </c>
      <c r="C347" s="198">
        <v>1</v>
      </c>
      <c r="D347" s="199">
        <v>480000</v>
      </c>
      <c r="E347" s="198" t="s">
        <v>133</v>
      </c>
      <c r="F347" s="198" t="s">
        <v>134</v>
      </c>
      <c r="G347" s="198" t="s">
        <v>123</v>
      </c>
      <c r="H347" s="200">
        <v>1</v>
      </c>
      <c r="I347" s="199">
        <f t="shared" si="374"/>
        <v>0</v>
      </c>
      <c r="J347" s="199">
        <f t="shared" si="375"/>
        <v>480000</v>
      </c>
      <c r="K347" s="199">
        <f t="shared" si="376"/>
        <v>480000</v>
      </c>
      <c r="L347" s="199"/>
      <c r="M347" s="199">
        <v>480000</v>
      </c>
      <c r="N347" s="199">
        <f t="shared" si="377"/>
        <v>480000</v>
      </c>
      <c r="O347" s="199"/>
      <c r="P347" s="201">
        <v>0</v>
      </c>
      <c r="Q347" s="202">
        <v>14</v>
      </c>
      <c r="R347" s="203">
        <v>45566</v>
      </c>
      <c r="S347" s="199"/>
      <c r="T347" s="199">
        <v>480000</v>
      </c>
      <c r="U347" s="204">
        <f t="shared" si="378"/>
        <v>480000</v>
      </c>
      <c r="V347" s="205"/>
      <c r="W347" s="200"/>
      <c r="X347" s="201"/>
      <c r="Y347" s="201"/>
      <c r="Z347" s="201">
        <f t="shared" si="379"/>
        <v>0</v>
      </c>
      <c r="AA347" s="198"/>
      <c r="AB347" s="206"/>
      <c r="AC347" s="207"/>
      <c r="AD347" s="201"/>
      <c r="AE347" s="204">
        <f t="shared" si="380"/>
        <v>0</v>
      </c>
      <c r="AF347" s="203">
        <f t="shared" si="381"/>
        <v>45566</v>
      </c>
      <c r="AG347" s="201">
        <f t="shared" si="382"/>
        <v>0</v>
      </c>
      <c r="AH347" s="201">
        <f t="shared" si="383"/>
        <v>480000</v>
      </c>
      <c r="AI347" s="199">
        <f t="shared" si="384"/>
        <v>480000</v>
      </c>
      <c r="AJ347" s="201">
        <f t="shared" si="410"/>
        <v>0</v>
      </c>
      <c r="AK347" s="201">
        <f t="shared" si="410"/>
        <v>480000</v>
      </c>
      <c r="AL347" s="201">
        <f t="shared" si="385"/>
        <v>480000</v>
      </c>
      <c r="AM347" s="198"/>
      <c r="AN347" s="203"/>
      <c r="AO347" s="208"/>
      <c r="AP347" s="201">
        <f t="shared" si="386"/>
        <v>0</v>
      </c>
      <c r="AQ347" s="201">
        <f t="shared" si="387"/>
        <v>479423.59</v>
      </c>
      <c r="AR347" s="201">
        <f t="shared" si="388"/>
        <v>479423.59</v>
      </c>
      <c r="AS347" s="201">
        <f t="shared" si="389"/>
        <v>99.879914583333331</v>
      </c>
      <c r="AT347" s="201"/>
      <c r="AU347" s="209">
        <v>479423.59</v>
      </c>
      <c r="AV347" s="201">
        <f t="shared" si="390"/>
        <v>479423.59</v>
      </c>
      <c r="AW347" s="201">
        <f t="shared" si="368"/>
        <v>0</v>
      </c>
      <c r="AX347" s="201">
        <f t="shared" si="391"/>
        <v>99.879914583333331</v>
      </c>
      <c r="AY347" s="208"/>
      <c r="AZ347" s="201">
        <f t="shared" si="392"/>
        <v>0</v>
      </c>
      <c r="BA347" s="201">
        <f t="shared" si="393"/>
        <v>0</v>
      </c>
      <c r="BB347" s="201">
        <f t="shared" si="394"/>
        <v>0</v>
      </c>
      <c r="BC347" s="201"/>
      <c r="BD347" s="209">
        <v>0</v>
      </c>
      <c r="BE347" s="201">
        <f t="shared" si="406"/>
        <v>0</v>
      </c>
      <c r="BF347" s="208"/>
      <c r="BG347" s="201">
        <f t="shared" si="366"/>
        <v>0</v>
      </c>
      <c r="BH347" s="201">
        <f t="shared" si="366"/>
        <v>479423.59</v>
      </c>
      <c r="BI347" s="201">
        <f t="shared" si="395"/>
        <v>479423.59</v>
      </c>
      <c r="BJ347" s="201">
        <f t="shared" si="396"/>
        <v>99.879914583333331</v>
      </c>
      <c r="BK347" s="210">
        <v>0</v>
      </c>
      <c r="BL347" s="210">
        <v>100</v>
      </c>
      <c r="BM347" s="211"/>
      <c r="BN347" s="211"/>
      <c r="BO347" s="212">
        <f t="shared" si="397"/>
        <v>0</v>
      </c>
      <c r="BP347" s="201">
        <f t="shared" si="398"/>
        <v>576.40999999997439</v>
      </c>
      <c r="BQ347" s="201">
        <f t="shared" si="407"/>
        <v>576.40999999997439</v>
      </c>
      <c r="BR347" s="201">
        <f t="shared" si="367"/>
        <v>0</v>
      </c>
      <c r="BS347" s="201">
        <f t="shared" si="367"/>
        <v>576.40999999997439</v>
      </c>
      <c r="BT347" s="201">
        <f t="shared" si="408"/>
        <v>576.40999999997439</v>
      </c>
      <c r="BU347" s="213">
        <f t="shared" si="369"/>
        <v>0</v>
      </c>
      <c r="BV347" s="201"/>
      <c r="BW347" s="201"/>
      <c r="BX347" s="201">
        <f t="shared" si="409"/>
        <v>0</v>
      </c>
      <c r="BY347" s="199">
        <v>0</v>
      </c>
      <c r="BZ347" s="199">
        <v>0</v>
      </c>
      <c r="CA347" s="199">
        <v>0</v>
      </c>
      <c r="CB347" s="199">
        <v>0</v>
      </c>
      <c r="CC347" s="199">
        <v>0</v>
      </c>
      <c r="CD347" s="199">
        <v>240000</v>
      </c>
      <c r="CE347" s="199">
        <v>240000</v>
      </c>
      <c r="CF347" s="199">
        <v>0</v>
      </c>
      <c r="CG347" s="199">
        <v>0</v>
      </c>
      <c r="CH347" s="199">
        <v>0</v>
      </c>
      <c r="CI347" s="199">
        <v>0</v>
      </c>
      <c r="CJ347" s="199"/>
      <c r="CK347" s="214" t="s">
        <v>932</v>
      </c>
      <c r="CL347" s="214" t="s">
        <v>610</v>
      </c>
      <c r="CM347" s="211">
        <v>198</v>
      </c>
      <c r="CN347" s="215"/>
      <c r="CO347" s="215"/>
      <c r="CP347" s="216"/>
      <c r="CQ347" s="217"/>
      <c r="CR347" s="211"/>
      <c r="CS347" s="218"/>
      <c r="CT347" s="218"/>
      <c r="CU347" s="218"/>
      <c r="CV347" s="211"/>
      <c r="CW347" s="211"/>
      <c r="CX347" s="211"/>
      <c r="CY347" s="211"/>
      <c r="CZ347" s="211"/>
      <c r="DA347" s="211"/>
      <c r="DB347" s="211"/>
      <c r="DC347" s="219"/>
      <c r="DD347" s="219"/>
      <c r="DE347" s="219"/>
      <c r="DF347" s="211"/>
      <c r="DG347" s="211"/>
      <c r="DH347" s="211"/>
      <c r="DI347" s="211"/>
      <c r="DJ347" s="211"/>
      <c r="DK347" s="220" t="s">
        <v>32</v>
      </c>
      <c r="DT347" s="222"/>
    </row>
    <row r="348" spans="1:124" s="176" customFormat="1" ht="42" x14ac:dyDescent="0.2">
      <c r="A348" s="225" t="s">
        <v>119</v>
      </c>
      <c r="B348" s="197" t="s">
        <v>933</v>
      </c>
      <c r="C348" s="198">
        <v>1</v>
      </c>
      <c r="D348" s="199">
        <v>4520000</v>
      </c>
      <c r="E348" s="198" t="s">
        <v>934</v>
      </c>
      <c r="F348" s="198" t="s">
        <v>187</v>
      </c>
      <c r="G348" s="198" t="s">
        <v>123</v>
      </c>
      <c r="H348" s="200">
        <v>1</v>
      </c>
      <c r="I348" s="199">
        <f t="shared" si="374"/>
        <v>0</v>
      </c>
      <c r="J348" s="199">
        <f t="shared" si="375"/>
        <v>4520000</v>
      </c>
      <c r="K348" s="199">
        <f t="shared" si="376"/>
        <v>4520000</v>
      </c>
      <c r="L348" s="199"/>
      <c r="M348" s="199">
        <v>4520000</v>
      </c>
      <c r="N348" s="199">
        <f t="shared" si="377"/>
        <v>4520000</v>
      </c>
      <c r="O348" s="199"/>
      <c r="P348" s="201">
        <v>0</v>
      </c>
      <c r="Q348" s="202">
        <v>14</v>
      </c>
      <c r="R348" s="203">
        <v>45566</v>
      </c>
      <c r="S348" s="199"/>
      <c r="T348" s="199">
        <v>4520000</v>
      </c>
      <c r="U348" s="204">
        <f t="shared" si="378"/>
        <v>4520000</v>
      </c>
      <c r="V348" s="205">
        <v>690</v>
      </c>
      <c r="W348" s="200">
        <v>45622</v>
      </c>
      <c r="X348" s="201"/>
      <c r="Y348" s="201">
        <v>-4573.59</v>
      </c>
      <c r="Z348" s="201">
        <f t="shared" si="379"/>
        <v>-4573.59</v>
      </c>
      <c r="AA348" s="198"/>
      <c r="AB348" s="206"/>
      <c r="AC348" s="207"/>
      <c r="AD348" s="201"/>
      <c r="AE348" s="204">
        <f t="shared" si="380"/>
        <v>0</v>
      </c>
      <c r="AF348" s="203">
        <f t="shared" si="381"/>
        <v>45566</v>
      </c>
      <c r="AG348" s="201">
        <f t="shared" si="382"/>
        <v>0</v>
      </c>
      <c r="AH348" s="201">
        <f t="shared" si="383"/>
        <v>4515426.41</v>
      </c>
      <c r="AI348" s="199">
        <f t="shared" si="384"/>
        <v>4515426.41</v>
      </c>
      <c r="AJ348" s="201">
        <f t="shared" si="410"/>
        <v>0</v>
      </c>
      <c r="AK348" s="201">
        <f t="shared" si="410"/>
        <v>4515426.41</v>
      </c>
      <c r="AL348" s="201">
        <f t="shared" si="385"/>
        <v>4515426.41</v>
      </c>
      <c r="AM348" s="198"/>
      <c r="AN348" s="203"/>
      <c r="AO348" s="208"/>
      <c r="AP348" s="201">
        <f t="shared" si="386"/>
        <v>0</v>
      </c>
      <c r="AQ348" s="201">
        <f t="shared" si="387"/>
        <v>4152191.55</v>
      </c>
      <c r="AR348" s="201">
        <f t="shared" si="388"/>
        <v>4152191.55</v>
      </c>
      <c r="AS348" s="201">
        <f t="shared" si="389"/>
        <v>91.955690846924909</v>
      </c>
      <c r="AT348" s="201"/>
      <c r="AU348" s="209">
        <v>4152191.55</v>
      </c>
      <c r="AV348" s="201">
        <f t="shared" si="390"/>
        <v>4152191.55</v>
      </c>
      <c r="AW348" s="201">
        <f t="shared" si="368"/>
        <v>0</v>
      </c>
      <c r="AX348" s="201">
        <f t="shared" si="391"/>
        <v>91.955690846924909</v>
      </c>
      <c r="AY348" s="208"/>
      <c r="AZ348" s="201">
        <f t="shared" si="392"/>
        <v>0</v>
      </c>
      <c r="BA348" s="201">
        <f t="shared" si="393"/>
        <v>363051</v>
      </c>
      <c r="BB348" s="201">
        <f t="shared" si="394"/>
        <v>363051</v>
      </c>
      <c r="BC348" s="201"/>
      <c r="BD348" s="209">
        <v>363051</v>
      </c>
      <c r="BE348" s="201">
        <f t="shared" si="406"/>
        <v>363051</v>
      </c>
      <c r="BF348" s="208"/>
      <c r="BG348" s="201">
        <f t="shared" si="366"/>
        <v>0</v>
      </c>
      <c r="BH348" s="201">
        <f t="shared" si="366"/>
        <v>4515242.55</v>
      </c>
      <c r="BI348" s="201">
        <f t="shared" si="395"/>
        <v>4515242.55</v>
      </c>
      <c r="BJ348" s="201">
        <f t="shared" si="396"/>
        <v>99.995928180789463</v>
      </c>
      <c r="BK348" s="210">
        <v>25</v>
      </c>
      <c r="BL348" s="210">
        <v>90</v>
      </c>
      <c r="BM348" s="211"/>
      <c r="BN348" s="211"/>
      <c r="BO348" s="212">
        <f t="shared" si="397"/>
        <v>0</v>
      </c>
      <c r="BP348" s="201">
        <f t="shared" si="398"/>
        <v>363234.86000000034</v>
      </c>
      <c r="BQ348" s="201">
        <f t="shared" si="407"/>
        <v>363234.86000000034</v>
      </c>
      <c r="BR348" s="201">
        <f t="shared" si="367"/>
        <v>0</v>
      </c>
      <c r="BS348" s="201">
        <f t="shared" si="367"/>
        <v>363234.86000000034</v>
      </c>
      <c r="BT348" s="201">
        <f t="shared" si="408"/>
        <v>363234.86000000034</v>
      </c>
      <c r="BU348" s="213">
        <f t="shared" si="369"/>
        <v>0</v>
      </c>
      <c r="BV348" s="201">
        <v>4573.59</v>
      </c>
      <c r="BW348" s="201"/>
      <c r="BX348" s="201">
        <f t="shared" si="409"/>
        <v>4573.59</v>
      </c>
      <c r="BY348" s="199">
        <v>0</v>
      </c>
      <c r="BZ348" s="199">
        <v>452000</v>
      </c>
      <c r="CA348" s="199">
        <v>1356000</v>
      </c>
      <c r="CB348" s="199">
        <v>1808000</v>
      </c>
      <c r="CC348" s="199">
        <v>904000</v>
      </c>
      <c r="CD348" s="199">
        <v>0</v>
      </c>
      <c r="CE348" s="199">
        <v>0</v>
      </c>
      <c r="CF348" s="199">
        <v>0</v>
      </c>
      <c r="CG348" s="199">
        <v>0</v>
      </c>
      <c r="CH348" s="199">
        <v>0</v>
      </c>
      <c r="CI348" s="199">
        <v>0</v>
      </c>
      <c r="CJ348" s="199"/>
      <c r="CK348" s="214" t="s">
        <v>935</v>
      </c>
      <c r="CL348" s="214" t="s">
        <v>610</v>
      </c>
      <c r="CM348" s="211">
        <v>198</v>
      </c>
      <c r="CN348" s="215"/>
      <c r="CO348" s="215"/>
      <c r="CP348" s="216"/>
      <c r="CQ348" s="217"/>
      <c r="CR348" s="211"/>
      <c r="CS348" s="218"/>
      <c r="CT348" s="218"/>
      <c r="CU348" s="218"/>
      <c r="CV348" s="211"/>
      <c r="CW348" s="211"/>
      <c r="CX348" s="211"/>
      <c r="CY348" s="211"/>
      <c r="CZ348" s="211"/>
      <c r="DA348" s="211"/>
      <c r="DB348" s="211"/>
      <c r="DC348" s="219"/>
      <c r="DD348" s="219"/>
      <c r="DE348" s="219"/>
      <c r="DF348" s="211"/>
      <c r="DG348" s="211"/>
      <c r="DH348" s="211"/>
      <c r="DI348" s="211"/>
      <c r="DJ348" s="211"/>
      <c r="DK348" s="220" t="s">
        <v>32</v>
      </c>
      <c r="DT348" s="222"/>
    </row>
    <row r="349" spans="1:124" s="176" customFormat="1" ht="42" x14ac:dyDescent="0.2">
      <c r="A349" s="225" t="s">
        <v>119</v>
      </c>
      <c r="B349" s="197" t="s">
        <v>936</v>
      </c>
      <c r="C349" s="198">
        <v>1</v>
      </c>
      <c r="D349" s="199">
        <v>900000</v>
      </c>
      <c r="E349" s="198" t="s">
        <v>937</v>
      </c>
      <c r="F349" s="198" t="s">
        <v>424</v>
      </c>
      <c r="G349" s="198" t="s">
        <v>123</v>
      </c>
      <c r="H349" s="200">
        <v>1</v>
      </c>
      <c r="I349" s="199">
        <f t="shared" si="374"/>
        <v>0</v>
      </c>
      <c r="J349" s="199">
        <f t="shared" si="375"/>
        <v>900000</v>
      </c>
      <c r="K349" s="199">
        <f t="shared" si="376"/>
        <v>900000</v>
      </c>
      <c r="L349" s="199"/>
      <c r="M349" s="199">
        <v>900000</v>
      </c>
      <c r="N349" s="199">
        <f t="shared" si="377"/>
        <v>900000</v>
      </c>
      <c r="O349" s="199"/>
      <c r="P349" s="201">
        <v>0</v>
      </c>
      <c r="Q349" s="202">
        <v>14</v>
      </c>
      <c r="R349" s="203">
        <v>45566</v>
      </c>
      <c r="S349" s="199"/>
      <c r="T349" s="199">
        <v>900000</v>
      </c>
      <c r="U349" s="204">
        <f t="shared" si="378"/>
        <v>900000</v>
      </c>
      <c r="V349" s="205"/>
      <c r="W349" s="200"/>
      <c r="X349" s="201"/>
      <c r="Y349" s="201"/>
      <c r="Z349" s="201">
        <f t="shared" si="379"/>
        <v>0</v>
      </c>
      <c r="AA349" s="198"/>
      <c r="AB349" s="206"/>
      <c r="AC349" s="207"/>
      <c r="AD349" s="201"/>
      <c r="AE349" s="204">
        <f t="shared" si="380"/>
        <v>0</v>
      </c>
      <c r="AF349" s="203">
        <f t="shared" si="381"/>
        <v>45566</v>
      </c>
      <c r="AG349" s="201">
        <f t="shared" si="382"/>
        <v>0</v>
      </c>
      <c r="AH349" s="201">
        <f t="shared" si="383"/>
        <v>900000</v>
      </c>
      <c r="AI349" s="199">
        <f t="shared" si="384"/>
        <v>900000</v>
      </c>
      <c r="AJ349" s="201">
        <f t="shared" si="410"/>
        <v>0</v>
      </c>
      <c r="AK349" s="201">
        <f t="shared" si="410"/>
        <v>900000</v>
      </c>
      <c r="AL349" s="201">
        <f t="shared" si="385"/>
        <v>900000</v>
      </c>
      <c r="AM349" s="198"/>
      <c r="AN349" s="203"/>
      <c r="AO349" s="208"/>
      <c r="AP349" s="201">
        <f t="shared" si="386"/>
        <v>0</v>
      </c>
      <c r="AQ349" s="201">
        <f t="shared" si="387"/>
        <v>898099.92</v>
      </c>
      <c r="AR349" s="201">
        <f t="shared" si="388"/>
        <v>898099.92</v>
      </c>
      <c r="AS349" s="201">
        <f t="shared" si="389"/>
        <v>99.788880000000006</v>
      </c>
      <c r="AT349" s="201"/>
      <c r="AU349" s="209">
        <v>898099.92</v>
      </c>
      <c r="AV349" s="201">
        <f t="shared" si="390"/>
        <v>898099.92</v>
      </c>
      <c r="AW349" s="201">
        <f t="shared" si="368"/>
        <v>0</v>
      </c>
      <c r="AX349" s="201">
        <f t="shared" si="391"/>
        <v>99.788880000000006</v>
      </c>
      <c r="AY349" s="208"/>
      <c r="AZ349" s="201">
        <f t="shared" si="392"/>
        <v>0</v>
      </c>
      <c r="BA349" s="201">
        <f t="shared" si="393"/>
        <v>0</v>
      </c>
      <c r="BB349" s="201">
        <f t="shared" si="394"/>
        <v>0</v>
      </c>
      <c r="BC349" s="201"/>
      <c r="BD349" s="209">
        <v>0</v>
      </c>
      <c r="BE349" s="201">
        <f t="shared" si="406"/>
        <v>0</v>
      </c>
      <c r="BF349" s="208"/>
      <c r="BG349" s="201">
        <f t="shared" ref="BG349:BH375" si="411">+AP349+AZ349</f>
        <v>0</v>
      </c>
      <c r="BH349" s="201">
        <f t="shared" si="411"/>
        <v>898099.92</v>
      </c>
      <c r="BI349" s="201">
        <f t="shared" si="395"/>
        <v>898099.92</v>
      </c>
      <c r="BJ349" s="201">
        <f t="shared" si="396"/>
        <v>99.788880000000006</v>
      </c>
      <c r="BK349" s="210">
        <v>35</v>
      </c>
      <c r="BL349" s="210">
        <v>100</v>
      </c>
      <c r="BM349" s="211"/>
      <c r="BN349" s="211"/>
      <c r="BO349" s="212">
        <f t="shared" si="397"/>
        <v>0</v>
      </c>
      <c r="BP349" s="201">
        <f t="shared" si="398"/>
        <v>1900.0799999999581</v>
      </c>
      <c r="BQ349" s="201">
        <f t="shared" si="407"/>
        <v>1900.0799999999581</v>
      </c>
      <c r="BR349" s="201">
        <f t="shared" si="367"/>
        <v>0</v>
      </c>
      <c r="BS349" s="201">
        <f t="shared" si="367"/>
        <v>1900.0799999999581</v>
      </c>
      <c r="BT349" s="201">
        <f t="shared" si="408"/>
        <v>1900.0799999999581</v>
      </c>
      <c r="BU349" s="213">
        <f t="shared" si="369"/>
        <v>0</v>
      </c>
      <c r="BV349" s="201"/>
      <c r="BW349" s="201"/>
      <c r="BX349" s="201">
        <f t="shared" si="409"/>
        <v>0</v>
      </c>
      <c r="BY349" s="199">
        <v>300000</v>
      </c>
      <c r="BZ349" s="199">
        <v>300000</v>
      </c>
      <c r="CA349" s="199">
        <v>300000</v>
      </c>
      <c r="CB349" s="199">
        <v>0</v>
      </c>
      <c r="CC349" s="199">
        <v>0</v>
      </c>
      <c r="CD349" s="199">
        <v>0</v>
      </c>
      <c r="CE349" s="199">
        <v>0</v>
      </c>
      <c r="CF349" s="199">
        <v>0</v>
      </c>
      <c r="CG349" s="199">
        <v>0</v>
      </c>
      <c r="CH349" s="199">
        <v>0</v>
      </c>
      <c r="CI349" s="199">
        <v>0</v>
      </c>
      <c r="CJ349" s="199"/>
      <c r="CK349" s="214" t="s">
        <v>938</v>
      </c>
      <c r="CL349" s="214" t="s">
        <v>610</v>
      </c>
      <c r="CM349" s="211">
        <v>198</v>
      </c>
      <c r="CN349" s="215"/>
      <c r="CO349" s="215"/>
      <c r="CP349" s="216"/>
      <c r="CQ349" s="217"/>
      <c r="CR349" s="211"/>
      <c r="CS349" s="218"/>
      <c r="CT349" s="218"/>
      <c r="CU349" s="218"/>
      <c r="CV349" s="211"/>
      <c r="CW349" s="211"/>
      <c r="CX349" s="211"/>
      <c r="CY349" s="211"/>
      <c r="CZ349" s="211"/>
      <c r="DA349" s="211"/>
      <c r="DB349" s="211"/>
      <c r="DC349" s="219"/>
      <c r="DD349" s="219"/>
      <c r="DE349" s="219"/>
      <c r="DF349" s="211"/>
      <c r="DG349" s="211"/>
      <c r="DH349" s="211"/>
      <c r="DI349" s="211"/>
      <c r="DJ349" s="211"/>
      <c r="DK349" s="220" t="s">
        <v>32</v>
      </c>
      <c r="DT349" s="222"/>
    </row>
    <row r="350" spans="1:124" s="176" customFormat="1" ht="42" x14ac:dyDescent="0.2">
      <c r="A350" s="225" t="s">
        <v>119</v>
      </c>
      <c r="B350" s="197" t="s">
        <v>939</v>
      </c>
      <c r="C350" s="198">
        <v>1</v>
      </c>
      <c r="D350" s="199">
        <v>1850000</v>
      </c>
      <c r="E350" s="198" t="s">
        <v>121</v>
      </c>
      <c r="F350" s="198" t="s">
        <v>122</v>
      </c>
      <c r="G350" s="198" t="s">
        <v>123</v>
      </c>
      <c r="H350" s="200">
        <v>1</v>
      </c>
      <c r="I350" s="199">
        <f t="shared" si="374"/>
        <v>0</v>
      </c>
      <c r="J350" s="199">
        <f t="shared" si="375"/>
        <v>1850000</v>
      </c>
      <c r="K350" s="199">
        <f t="shared" si="376"/>
        <v>1850000</v>
      </c>
      <c r="L350" s="199"/>
      <c r="M350" s="199">
        <v>1850000</v>
      </c>
      <c r="N350" s="199">
        <f t="shared" si="377"/>
        <v>1850000</v>
      </c>
      <c r="O350" s="199"/>
      <c r="P350" s="201">
        <v>0</v>
      </c>
      <c r="Q350" s="202">
        <v>14</v>
      </c>
      <c r="R350" s="203">
        <v>45566</v>
      </c>
      <c r="S350" s="199"/>
      <c r="T350" s="199">
        <v>1850000</v>
      </c>
      <c r="U350" s="204">
        <f t="shared" si="378"/>
        <v>1850000</v>
      </c>
      <c r="V350" s="205"/>
      <c r="W350" s="200"/>
      <c r="X350" s="201"/>
      <c r="Y350" s="201"/>
      <c r="Z350" s="201">
        <f t="shared" si="379"/>
        <v>0</v>
      </c>
      <c r="AA350" s="198"/>
      <c r="AB350" s="206"/>
      <c r="AC350" s="207"/>
      <c r="AD350" s="201"/>
      <c r="AE350" s="204">
        <f t="shared" si="380"/>
        <v>0</v>
      </c>
      <c r="AF350" s="203">
        <f t="shared" si="381"/>
        <v>45566</v>
      </c>
      <c r="AG350" s="201">
        <f t="shared" si="382"/>
        <v>0</v>
      </c>
      <c r="AH350" s="201">
        <f t="shared" si="383"/>
        <v>1850000</v>
      </c>
      <c r="AI350" s="199">
        <f t="shared" si="384"/>
        <v>1850000</v>
      </c>
      <c r="AJ350" s="201">
        <f t="shared" si="410"/>
        <v>0</v>
      </c>
      <c r="AK350" s="201">
        <f t="shared" si="410"/>
        <v>1850000</v>
      </c>
      <c r="AL350" s="201">
        <f t="shared" si="385"/>
        <v>1850000</v>
      </c>
      <c r="AM350" s="198"/>
      <c r="AN350" s="203"/>
      <c r="AO350" s="208"/>
      <c r="AP350" s="201">
        <f t="shared" si="386"/>
        <v>0</v>
      </c>
      <c r="AQ350" s="201">
        <f t="shared" si="387"/>
        <v>1418918.9</v>
      </c>
      <c r="AR350" s="201">
        <f t="shared" si="388"/>
        <v>1418918.9</v>
      </c>
      <c r="AS350" s="201">
        <f t="shared" si="389"/>
        <v>76.698318918918915</v>
      </c>
      <c r="AT350" s="201"/>
      <c r="AU350" s="209">
        <v>1418918.9</v>
      </c>
      <c r="AV350" s="201">
        <f t="shared" si="390"/>
        <v>1418918.9</v>
      </c>
      <c r="AW350" s="201">
        <f t="shared" si="368"/>
        <v>0</v>
      </c>
      <c r="AX350" s="201">
        <f t="shared" si="391"/>
        <v>76.698318918918915</v>
      </c>
      <c r="AY350" s="208"/>
      <c r="AZ350" s="201">
        <f t="shared" si="392"/>
        <v>0</v>
      </c>
      <c r="BA350" s="201">
        <f t="shared" si="393"/>
        <v>29975.200000000001</v>
      </c>
      <c r="BB350" s="201">
        <f t="shared" si="394"/>
        <v>29975.200000000001</v>
      </c>
      <c r="BC350" s="201"/>
      <c r="BD350" s="209">
        <v>29975.200000000001</v>
      </c>
      <c r="BE350" s="201">
        <f t="shared" si="406"/>
        <v>29975.200000000001</v>
      </c>
      <c r="BF350" s="208"/>
      <c r="BG350" s="201">
        <f t="shared" si="411"/>
        <v>0</v>
      </c>
      <c r="BH350" s="201">
        <f t="shared" si="411"/>
        <v>1448894.0999999999</v>
      </c>
      <c r="BI350" s="201">
        <f t="shared" si="395"/>
        <v>1448894.0999999999</v>
      </c>
      <c r="BJ350" s="201">
        <f t="shared" si="396"/>
        <v>78.318600000000004</v>
      </c>
      <c r="BK350" s="210">
        <v>0</v>
      </c>
      <c r="BL350" s="210">
        <v>40</v>
      </c>
      <c r="BM350" s="211"/>
      <c r="BN350" s="211"/>
      <c r="BO350" s="212">
        <f t="shared" si="397"/>
        <v>0</v>
      </c>
      <c r="BP350" s="201">
        <f t="shared" si="398"/>
        <v>431081.10000000009</v>
      </c>
      <c r="BQ350" s="201">
        <f t="shared" si="407"/>
        <v>431081.10000000009</v>
      </c>
      <c r="BR350" s="201">
        <f t="shared" ref="BR350:BS376" si="412">+AJ350-AT350</f>
        <v>0</v>
      </c>
      <c r="BS350" s="201">
        <f t="shared" si="412"/>
        <v>431081.10000000009</v>
      </c>
      <c r="BT350" s="201">
        <f t="shared" si="408"/>
        <v>431081.10000000009</v>
      </c>
      <c r="BU350" s="213">
        <f t="shared" si="369"/>
        <v>0</v>
      </c>
      <c r="BV350" s="201"/>
      <c r="BW350" s="201"/>
      <c r="BX350" s="201">
        <f t="shared" si="409"/>
        <v>0</v>
      </c>
      <c r="BY350" s="199">
        <v>620000</v>
      </c>
      <c r="BZ350" s="199">
        <v>620000</v>
      </c>
      <c r="CA350" s="199">
        <v>610000</v>
      </c>
      <c r="CB350" s="199">
        <v>0</v>
      </c>
      <c r="CC350" s="199">
        <v>0</v>
      </c>
      <c r="CD350" s="199">
        <v>0</v>
      </c>
      <c r="CE350" s="199">
        <v>0</v>
      </c>
      <c r="CF350" s="199">
        <v>0</v>
      </c>
      <c r="CG350" s="199">
        <v>0</v>
      </c>
      <c r="CH350" s="199">
        <v>0</v>
      </c>
      <c r="CI350" s="199">
        <v>0</v>
      </c>
      <c r="CJ350" s="199"/>
      <c r="CK350" s="214" t="s">
        <v>940</v>
      </c>
      <c r="CL350" s="214" t="s">
        <v>610</v>
      </c>
      <c r="CM350" s="211">
        <v>198</v>
      </c>
      <c r="CN350" s="215"/>
      <c r="CO350" s="215"/>
      <c r="CP350" s="216"/>
      <c r="CQ350" s="217"/>
      <c r="CR350" s="211"/>
      <c r="CS350" s="218"/>
      <c r="CT350" s="218"/>
      <c r="CU350" s="218"/>
      <c r="CV350" s="211"/>
      <c r="CW350" s="211"/>
      <c r="CX350" s="211"/>
      <c r="CY350" s="211"/>
      <c r="CZ350" s="211"/>
      <c r="DA350" s="211"/>
      <c r="DB350" s="211"/>
      <c r="DC350" s="219"/>
      <c r="DD350" s="219"/>
      <c r="DE350" s="219"/>
      <c r="DF350" s="211"/>
      <c r="DG350" s="211"/>
      <c r="DH350" s="211"/>
      <c r="DI350" s="211"/>
      <c r="DJ350" s="211"/>
      <c r="DK350" s="220" t="s">
        <v>32</v>
      </c>
      <c r="DT350" s="222"/>
    </row>
    <row r="351" spans="1:124" s="176" customFormat="1" ht="42" x14ac:dyDescent="0.2">
      <c r="A351" s="225" t="s">
        <v>119</v>
      </c>
      <c r="B351" s="197" t="s">
        <v>941</v>
      </c>
      <c r="C351" s="198">
        <v>1</v>
      </c>
      <c r="D351" s="199">
        <v>980000</v>
      </c>
      <c r="E351" s="198" t="s">
        <v>942</v>
      </c>
      <c r="F351" s="198" t="s">
        <v>187</v>
      </c>
      <c r="G351" s="198" t="s">
        <v>123</v>
      </c>
      <c r="H351" s="200">
        <v>1</v>
      </c>
      <c r="I351" s="199">
        <f t="shared" ref="I351:I414" si="413">+L351</f>
        <v>0</v>
      </c>
      <c r="J351" s="199">
        <f t="shared" ref="J351:J414" si="414">+O351+M351+P351</f>
        <v>980000</v>
      </c>
      <c r="K351" s="199">
        <f t="shared" ref="K351:K414" si="415">I351+J351</f>
        <v>980000</v>
      </c>
      <c r="L351" s="199"/>
      <c r="M351" s="199">
        <v>980000</v>
      </c>
      <c r="N351" s="199">
        <f t="shared" ref="N351:N414" si="416">L351+M351</f>
        <v>980000</v>
      </c>
      <c r="O351" s="199"/>
      <c r="P351" s="201">
        <v>0</v>
      </c>
      <c r="Q351" s="202">
        <v>14</v>
      </c>
      <c r="R351" s="203">
        <v>45566</v>
      </c>
      <c r="S351" s="199"/>
      <c r="T351" s="199">
        <v>980000</v>
      </c>
      <c r="U351" s="204">
        <f t="shared" ref="U351:U414" si="417">S351+T351</f>
        <v>980000</v>
      </c>
      <c r="V351" s="205">
        <v>690</v>
      </c>
      <c r="W351" s="200">
        <v>45622</v>
      </c>
      <c r="X351" s="201"/>
      <c r="Y351" s="201">
        <v>-152.99</v>
      </c>
      <c r="Z351" s="201">
        <f t="shared" ref="Z351:Z414" si="418">X351+Y351</f>
        <v>-152.99</v>
      </c>
      <c r="AA351" s="198"/>
      <c r="AB351" s="206"/>
      <c r="AC351" s="207"/>
      <c r="AD351" s="201"/>
      <c r="AE351" s="204">
        <f t="shared" ref="AE351:AE414" si="419">AC351+AD351</f>
        <v>0</v>
      </c>
      <c r="AF351" s="203">
        <f t="shared" ref="AF351:AF414" si="420">+R351</f>
        <v>45566</v>
      </c>
      <c r="AG351" s="201">
        <f t="shared" ref="AG351:AG414" si="421">+AJ351</f>
        <v>0</v>
      </c>
      <c r="AH351" s="201">
        <f t="shared" ref="AH351:AH414" si="422">+AK351+AO351</f>
        <v>979847.01</v>
      </c>
      <c r="AI351" s="199">
        <f t="shared" ref="AI351:AI414" si="423">AG351+AH351</f>
        <v>979847.01</v>
      </c>
      <c r="AJ351" s="201">
        <f t="shared" si="410"/>
        <v>0</v>
      </c>
      <c r="AK351" s="201">
        <f t="shared" si="410"/>
        <v>979847.01</v>
      </c>
      <c r="AL351" s="201">
        <f t="shared" ref="AL351:AL414" si="424">SUM(AJ351:AK351)</f>
        <v>979847.01</v>
      </c>
      <c r="AM351" s="198"/>
      <c r="AN351" s="203"/>
      <c r="AO351" s="208"/>
      <c r="AP351" s="201">
        <f t="shared" ref="AP351:AP414" si="425">+AT351</f>
        <v>0</v>
      </c>
      <c r="AQ351" s="201">
        <f t="shared" ref="AQ351:AQ414" si="426">+AU351+AY351</f>
        <v>692613.25</v>
      </c>
      <c r="AR351" s="201">
        <f t="shared" ref="AR351:AR414" si="427">SUM(AP351:AQ351)</f>
        <v>692613.25</v>
      </c>
      <c r="AS351" s="201">
        <f t="shared" ref="AS351:AS414" si="428">IF(AI351= 0,0,(AR351*100/AI351))</f>
        <v>70.685856356289747</v>
      </c>
      <c r="AT351" s="201"/>
      <c r="AU351" s="209">
        <v>692613.25</v>
      </c>
      <c r="AV351" s="201">
        <f t="shared" ref="AV351:AV414" si="429">SUM(AT351:AU351)</f>
        <v>692613.25</v>
      </c>
      <c r="AW351" s="201">
        <f t="shared" si="368"/>
        <v>0</v>
      </c>
      <c r="AX351" s="201">
        <f t="shared" ref="AX351:AX414" si="430">IF(AL351= 0,0,(AV351*100/AL351))</f>
        <v>70.685856356289747</v>
      </c>
      <c r="AY351" s="208"/>
      <c r="AZ351" s="201">
        <f t="shared" ref="AZ351:AZ414" si="431">+BC351</f>
        <v>0</v>
      </c>
      <c r="BA351" s="201">
        <f t="shared" ref="BA351:BA414" si="432">+BD351+BF351</f>
        <v>275418</v>
      </c>
      <c r="BB351" s="201">
        <f t="shared" ref="BB351:BB414" si="433">SUM(AZ351:BA351)</f>
        <v>275418</v>
      </c>
      <c r="BC351" s="201"/>
      <c r="BD351" s="209">
        <v>275418</v>
      </c>
      <c r="BE351" s="201">
        <f t="shared" si="406"/>
        <v>275418</v>
      </c>
      <c r="BF351" s="208"/>
      <c r="BG351" s="201">
        <f t="shared" si="411"/>
        <v>0</v>
      </c>
      <c r="BH351" s="201">
        <f t="shared" si="411"/>
        <v>968031.25</v>
      </c>
      <c r="BI351" s="201">
        <f t="shared" ref="BI351:BI414" si="434">SUM(BG351:BH351)</f>
        <v>968031.25</v>
      </c>
      <c r="BJ351" s="201">
        <f t="shared" ref="BJ351:BJ414" si="435">+BI351*100/AI351</f>
        <v>98.794121951752444</v>
      </c>
      <c r="BK351" s="210">
        <v>35</v>
      </c>
      <c r="BL351" s="210">
        <v>70</v>
      </c>
      <c r="BM351" s="211"/>
      <c r="BN351" s="211"/>
      <c r="BO351" s="212">
        <f t="shared" ref="BO351:BO414" si="436">+BR351</f>
        <v>0</v>
      </c>
      <c r="BP351" s="201">
        <f t="shared" ref="BP351:BP414" si="437">+BS351+BU351</f>
        <v>287233.76</v>
      </c>
      <c r="BQ351" s="201">
        <f t="shared" si="407"/>
        <v>287233.76</v>
      </c>
      <c r="BR351" s="201">
        <f t="shared" si="412"/>
        <v>0</v>
      </c>
      <c r="BS351" s="201">
        <f t="shared" si="412"/>
        <v>287233.76</v>
      </c>
      <c r="BT351" s="201">
        <f t="shared" si="408"/>
        <v>287233.76</v>
      </c>
      <c r="BU351" s="213">
        <f t="shared" si="369"/>
        <v>0</v>
      </c>
      <c r="BV351" s="201">
        <v>152.99</v>
      </c>
      <c r="BW351" s="201"/>
      <c r="BX351" s="201">
        <f t="shared" si="409"/>
        <v>152.99</v>
      </c>
      <c r="BY351" s="199">
        <v>0</v>
      </c>
      <c r="BZ351" s="199">
        <v>196000</v>
      </c>
      <c r="CA351" s="199">
        <v>490000</v>
      </c>
      <c r="CB351" s="199">
        <v>294000</v>
      </c>
      <c r="CC351" s="199">
        <v>0</v>
      </c>
      <c r="CD351" s="199">
        <v>0</v>
      </c>
      <c r="CE351" s="199">
        <v>0</v>
      </c>
      <c r="CF351" s="199">
        <v>0</v>
      </c>
      <c r="CG351" s="199">
        <v>0</v>
      </c>
      <c r="CH351" s="199">
        <v>0</v>
      </c>
      <c r="CI351" s="199">
        <v>0</v>
      </c>
      <c r="CJ351" s="199"/>
      <c r="CK351" s="214" t="s">
        <v>943</v>
      </c>
      <c r="CL351" s="214" t="s">
        <v>610</v>
      </c>
      <c r="CM351" s="211">
        <v>198</v>
      </c>
      <c r="CN351" s="215"/>
      <c r="CO351" s="215"/>
      <c r="CP351" s="216"/>
      <c r="CQ351" s="217"/>
      <c r="CR351" s="211"/>
      <c r="CS351" s="218"/>
      <c r="CT351" s="218"/>
      <c r="CU351" s="218"/>
      <c r="CV351" s="211"/>
      <c r="CW351" s="211"/>
      <c r="CX351" s="211"/>
      <c r="CY351" s="211"/>
      <c r="CZ351" s="211"/>
      <c r="DA351" s="211"/>
      <c r="DB351" s="211"/>
      <c r="DC351" s="219"/>
      <c r="DD351" s="219"/>
      <c r="DE351" s="219"/>
      <c r="DF351" s="211"/>
      <c r="DG351" s="211"/>
      <c r="DH351" s="211"/>
      <c r="DI351" s="211"/>
      <c r="DJ351" s="211"/>
      <c r="DK351" s="220" t="s">
        <v>32</v>
      </c>
      <c r="DT351" s="222"/>
    </row>
    <row r="352" spans="1:124" s="176" customFormat="1" ht="42" x14ac:dyDescent="0.2">
      <c r="A352" s="225" t="s">
        <v>119</v>
      </c>
      <c r="B352" s="197" t="s">
        <v>944</v>
      </c>
      <c r="C352" s="198">
        <v>1</v>
      </c>
      <c r="D352" s="199">
        <v>950000</v>
      </c>
      <c r="E352" s="198" t="s">
        <v>927</v>
      </c>
      <c r="F352" s="198" t="s">
        <v>430</v>
      </c>
      <c r="G352" s="198" t="s">
        <v>123</v>
      </c>
      <c r="H352" s="200">
        <v>1</v>
      </c>
      <c r="I352" s="199">
        <f t="shared" si="413"/>
        <v>0</v>
      </c>
      <c r="J352" s="199">
        <f t="shared" si="414"/>
        <v>950000</v>
      </c>
      <c r="K352" s="199">
        <f t="shared" si="415"/>
        <v>950000</v>
      </c>
      <c r="L352" s="199"/>
      <c r="M352" s="199">
        <v>950000</v>
      </c>
      <c r="N352" s="199">
        <f t="shared" si="416"/>
        <v>950000</v>
      </c>
      <c r="O352" s="199"/>
      <c r="P352" s="201">
        <v>0</v>
      </c>
      <c r="Q352" s="202">
        <v>14</v>
      </c>
      <c r="R352" s="203">
        <v>45566</v>
      </c>
      <c r="S352" s="199"/>
      <c r="T352" s="199">
        <v>950000</v>
      </c>
      <c r="U352" s="204">
        <f t="shared" si="417"/>
        <v>950000</v>
      </c>
      <c r="V352" s="205"/>
      <c r="W352" s="200"/>
      <c r="X352" s="201"/>
      <c r="Y352" s="201"/>
      <c r="Z352" s="201">
        <f t="shared" si="418"/>
        <v>0</v>
      </c>
      <c r="AA352" s="198"/>
      <c r="AB352" s="206"/>
      <c r="AC352" s="207"/>
      <c r="AD352" s="201"/>
      <c r="AE352" s="204">
        <f t="shared" si="419"/>
        <v>0</v>
      </c>
      <c r="AF352" s="203">
        <f t="shared" si="420"/>
        <v>45566</v>
      </c>
      <c r="AG352" s="201">
        <f t="shared" si="421"/>
        <v>0</v>
      </c>
      <c r="AH352" s="201">
        <f t="shared" si="422"/>
        <v>950000</v>
      </c>
      <c r="AI352" s="199">
        <f t="shared" si="423"/>
        <v>950000</v>
      </c>
      <c r="AJ352" s="201">
        <f t="shared" si="410"/>
        <v>0</v>
      </c>
      <c r="AK352" s="201">
        <f t="shared" si="410"/>
        <v>950000</v>
      </c>
      <c r="AL352" s="201">
        <f t="shared" si="424"/>
        <v>950000</v>
      </c>
      <c r="AM352" s="198"/>
      <c r="AN352" s="203"/>
      <c r="AO352" s="208"/>
      <c r="AP352" s="201">
        <f t="shared" si="425"/>
        <v>0</v>
      </c>
      <c r="AQ352" s="201">
        <f t="shared" si="426"/>
        <v>939341.12</v>
      </c>
      <c r="AR352" s="201">
        <f t="shared" si="427"/>
        <v>939341.12</v>
      </c>
      <c r="AS352" s="201">
        <f t="shared" si="428"/>
        <v>98.87801263157894</v>
      </c>
      <c r="AT352" s="201"/>
      <c r="AU352" s="209">
        <v>939341.12</v>
      </c>
      <c r="AV352" s="201">
        <f t="shared" si="429"/>
        <v>939341.12</v>
      </c>
      <c r="AW352" s="201">
        <f t="shared" si="368"/>
        <v>0</v>
      </c>
      <c r="AX352" s="201">
        <f t="shared" si="430"/>
        <v>98.87801263157894</v>
      </c>
      <c r="AY352" s="208"/>
      <c r="AZ352" s="201">
        <f t="shared" si="431"/>
        <v>0</v>
      </c>
      <c r="BA352" s="201">
        <f t="shared" si="432"/>
        <v>0</v>
      </c>
      <c r="BB352" s="201">
        <f t="shared" si="433"/>
        <v>0</v>
      </c>
      <c r="BC352" s="201"/>
      <c r="BD352" s="209">
        <v>0</v>
      </c>
      <c r="BE352" s="201">
        <f t="shared" si="406"/>
        <v>0</v>
      </c>
      <c r="BF352" s="208"/>
      <c r="BG352" s="201">
        <f t="shared" si="411"/>
        <v>0</v>
      </c>
      <c r="BH352" s="201">
        <f t="shared" si="411"/>
        <v>939341.12</v>
      </c>
      <c r="BI352" s="201">
        <f t="shared" si="434"/>
        <v>939341.12</v>
      </c>
      <c r="BJ352" s="201">
        <f t="shared" si="435"/>
        <v>98.87801263157894</v>
      </c>
      <c r="BK352" s="210">
        <v>20</v>
      </c>
      <c r="BL352" s="210">
        <v>40</v>
      </c>
      <c r="BM352" s="211"/>
      <c r="BN352" s="211"/>
      <c r="BO352" s="212">
        <f t="shared" si="436"/>
        <v>0</v>
      </c>
      <c r="BP352" s="201">
        <f t="shared" si="437"/>
        <v>10658.880000000005</v>
      </c>
      <c r="BQ352" s="201">
        <f t="shared" si="407"/>
        <v>10658.880000000005</v>
      </c>
      <c r="BR352" s="201">
        <f t="shared" si="412"/>
        <v>0</v>
      </c>
      <c r="BS352" s="201">
        <f t="shared" si="412"/>
        <v>10658.880000000005</v>
      </c>
      <c r="BT352" s="201">
        <f t="shared" si="408"/>
        <v>10658.880000000005</v>
      </c>
      <c r="BU352" s="213">
        <f t="shared" si="369"/>
        <v>0</v>
      </c>
      <c r="BV352" s="201"/>
      <c r="BW352" s="201"/>
      <c r="BX352" s="201">
        <f t="shared" si="409"/>
        <v>0</v>
      </c>
      <c r="BY352" s="199">
        <v>0</v>
      </c>
      <c r="BZ352" s="199">
        <v>285000</v>
      </c>
      <c r="CA352" s="199">
        <v>285000</v>
      </c>
      <c r="CB352" s="199">
        <v>285000</v>
      </c>
      <c r="CC352" s="199">
        <v>95000</v>
      </c>
      <c r="CD352" s="199">
        <v>0</v>
      </c>
      <c r="CE352" s="199">
        <v>0</v>
      </c>
      <c r="CF352" s="199">
        <v>0</v>
      </c>
      <c r="CG352" s="199">
        <v>0</v>
      </c>
      <c r="CH352" s="199">
        <v>0</v>
      </c>
      <c r="CI352" s="199">
        <v>0</v>
      </c>
      <c r="CJ352" s="199"/>
      <c r="CK352" s="214" t="s">
        <v>945</v>
      </c>
      <c r="CL352" s="214" t="s">
        <v>610</v>
      </c>
      <c r="CM352" s="211">
        <v>198</v>
      </c>
      <c r="CN352" s="215"/>
      <c r="CO352" s="215"/>
      <c r="CP352" s="216"/>
      <c r="CQ352" s="217"/>
      <c r="CR352" s="211"/>
      <c r="CS352" s="218"/>
      <c r="CT352" s="218"/>
      <c r="CU352" s="218"/>
      <c r="CV352" s="211"/>
      <c r="CW352" s="211"/>
      <c r="CX352" s="211"/>
      <c r="CY352" s="211"/>
      <c r="CZ352" s="211"/>
      <c r="DA352" s="211"/>
      <c r="DB352" s="211"/>
      <c r="DC352" s="219"/>
      <c r="DD352" s="219"/>
      <c r="DE352" s="219"/>
      <c r="DF352" s="211"/>
      <c r="DG352" s="211"/>
      <c r="DH352" s="211"/>
      <c r="DI352" s="211"/>
      <c r="DJ352" s="211"/>
      <c r="DK352" s="220" t="s">
        <v>32</v>
      </c>
      <c r="DT352" s="222"/>
    </row>
    <row r="353" spans="1:124" s="176" customFormat="1" ht="42" x14ac:dyDescent="0.2">
      <c r="A353" s="225" t="s">
        <v>119</v>
      </c>
      <c r="B353" s="197" t="s">
        <v>946</v>
      </c>
      <c r="C353" s="198">
        <v>1</v>
      </c>
      <c r="D353" s="199">
        <v>150000</v>
      </c>
      <c r="E353" s="198" t="s">
        <v>186</v>
      </c>
      <c r="F353" s="198" t="s">
        <v>187</v>
      </c>
      <c r="G353" s="198" t="s">
        <v>123</v>
      </c>
      <c r="H353" s="200">
        <v>1</v>
      </c>
      <c r="I353" s="199">
        <f t="shared" si="413"/>
        <v>0</v>
      </c>
      <c r="J353" s="199">
        <f t="shared" si="414"/>
        <v>150000</v>
      </c>
      <c r="K353" s="199">
        <f t="shared" si="415"/>
        <v>150000</v>
      </c>
      <c r="L353" s="199"/>
      <c r="M353" s="199">
        <v>150000</v>
      </c>
      <c r="N353" s="199">
        <f t="shared" si="416"/>
        <v>150000</v>
      </c>
      <c r="O353" s="199"/>
      <c r="P353" s="201">
        <v>0</v>
      </c>
      <c r="Q353" s="202">
        <v>14</v>
      </c>
      <c r="R353" s="203">
        <v>45566</v>
      </c>
      <c r="S353" s="199"/>
      <c r="T353" s="199">
        <v>150000</v>
      </c>
      <c r="U353" s="204">
        <f t="shared" si="417"/>
        <v>150000</v>
      </c>
      <c r="V353" s="205"/>
      <c r="W353" s="200"/>
      <c r="X353" s="201"/>
      <c r="Y353" s="201"/>
      <c r="Z353" s="201">
        <f t="shared" si="418"/>
        <v>0</v>
      </c>
      <c r="AA353" s="198"/>
      <c r="AB353" s="206"/>
      <c r="AC353" s="207"/>
      <c r="AD353" s="201"/>
      <c r="AE353" s="204">
        <f t="shared" si="419"/>
        <v>0</v>
      </c>
      <c r="AF353" s="203">
        <f t="shared" si="420"/>
        <v>45566</v>
      </c>
      <c r="AG353" s="201">
        <f t="shared" si="421"/>
        <v>0</v>
      </c>
      <c r="AH353" s="201">
        <f t="shared" si="422"/>
        <v>150000</v>
      </c>
      <c r="AI353" s="199">
        <f t="shared" si="423"/>
        <v>150000</v>
      </c>
      <c r="AJ353" s="201">
        <f t="shared" si="410"/>
        <v>0</v>
      </c>
      <c r="AK353" s="201">
        <f t="shared" si="410"/>
        <v>150000</v>
      </c>
      <c r="AL353" s="201">
        <f t="shared" si="424"/>
        <v>150000</v>
      </c>
      <c r="AM353" s="198"/>
      <c r="AN353" s="203"/>
      <c r="AO353" s="208"/>
      <c r="AP353" s="201">
        <f t="shared" si="425"/>
        <v>0</v>
      </c>
      <c r="AQ353" s="201">
        <f t="shared" si="426"/>
        <v>149976.45000000001</v>
      </c>
      <c r="AR353" s="201">
        <f t="shared" si="427"/>
        <v>149976.45000000001</v>
      </c>
      <c r="AS353" s="201">
        <f t="shared" si="428"/>
        <v>99.984300000000019</v>
      </c>
      <c r="AT353" s="201"/>
      <c r="AU353" s="209">
        <v>149976.45000000001</v>
      </c>
      <c r="AV353" s="201">
        <f t="shared" si="429"/>
        <v>149976.45000000001</v>
      </c>
      <c r="AW353" s="201">
        <f t="shared" si="368"/>
        <v>0</v>
      </c>
      <c r="AX353" s="201">
        <f t="shared" si="430"/>
        <v>99.984300000000019</v>
      </c>
      <c r="AY353" s="208"/>
      <c r="AZ353" s="201">
        <f t="shared" si="431"/>
        <v>0</v>
      </c>
      <c r="BA353" s="201">
        <f t="shared" si="432"/>
        <v>0</v>
      </c>
      <c r="BB353" s="201">
        <f t="shared" si="433"/>
        <v>0</v>
      </c>
      <c r="BC353" s="201"/>
      <c r="BD353" s="209">
        <v>0</v>
      </c>
      <c r="BE353" s="201">
        <f t="shared" si="406"/>
        <v>0</v>
      </c>
      <c r="BF353" s="208"/>
      <c r="BG353" s="201">
        <f t="shared" si="411"/>
        <v>0</v>
      </c>
      <c r="BH353" s="201">
        <f t="shared" si="411"/>
        <v>149976.45000000001</v>
      </c>
      <c r="BI353" s="201">
        <f t="shared" si="434"/>
        <v>149976.45000000001</v>
      </c>
      <c r="BJ353" s="201">
        <f t="shared" si="435"/>
        <v>99.984300000000019</v>
      </c>
      <c r="BK353" s="210">
        <v>0</v>
      </c>
      <c r="BL353" s="210">
        <v>100</v>
      </c>
      <c r="BM353" s="211"/>
      <c r="BN353" s="211"/>
      <c r="BO353" s="212">
        <f t="shared" si="436"/>
        <v>0</v>
      </c>
      <c r="BP353" s="201">
        <f t="shared" si="437"/>
        <v>23.549999999988358</v>
      </c>
      <c r="BQ353" s="201">
        <f t="shared" si="407"/>
        <v>23.549999999988358</v>
      </c>
      <c r="BR353" s="201">
        <f t="shared" si="412"/>
        <v>0</v>
      </c>
      <c r="BS353" s="201">
        <f t="shared" si="412"/>
        <v>23.549999999988358</v>
      </c>
      <c r="BT353" s="201">
        <f t="shared" si="408"/>
        <v>23.549999999988358</v>
      </c>
      <c r="BU353" s="213">
        <f t="shared" si="369"/>
        <v>0</v>
      </c>
      <c r="BV353" s="201"/>
      <c r="BW353" s="201"/>
      <c r="BX353" s="201">
        <f t="shared" si="409"/>
        <v>0</v>
      </c>
      <c r="BY353" s="199">
        <v>0</v>
      </c>
      <c r="BZ353" s="199">
        <v>0</v>
      </c>
      <c r="CA353" s="199">
        <v>0</v>
      </c>
      <c r="CB353" s="199">
        <v>150000</v>
      </c>
      <c r="CC353" s="199">
        <v>0</v>
      </c>
      <c r="CD353" s="199">
        <v>0</v>
      </c>
      <c r="CE353" s="199">
        <v>0</v>
      </c>
      <c r="CF353" s="199">
        <v>0</v>
      </c>
      <c r="CG353" s="199">
        <v>0</v>
      </c>
      <c r="CH353" s="199">
        <v>0</v>
      </c>
      <c r="CI353" s="199">
        <v>0</v>
      </c>
      <c r="CJ353" s="199"/>
      <c r="CK353" s="214" t="s">
        <v>947</v>
      </c>
      <c r="CL353" s="214" t="s">
        <v>610</v>
      </c>
      <c r="CM353" s="211">
        <v>198</v>
      </c>
      <c r="CN353" s="215"/>
      <c r="CO353" s="215"/>
      <c r="CP353" s="216"/>
      <c r="CQ353" s="217"/>
      <c r="CR353" s="211"/>
      <c r="CS353" s="218"/>
      <c r="CT353" s="218"/>
      <c r="CU353" s="218"/>
      <c r="CV353" s="211"/>
      <c r="CW353" s="211"/>
      <c r="CX353" s="211"/>
      <c r="CY353" s="211"/>
      <c r="CZ353" s="211"/>
      <c r="DA353" s="211"/>
      <c r="DB353" s="211"/>
      <c r="DC353" s="219"/>
      <c r="DD353" s="219"/>
      <c r="DE353" s="219"/>
      <c r="DF353" s="211"/>
      <c r="DG353" s="211"/>
      <c r="DH353" s="211"/>
      <c r="DI353" s="211"/>
      <c r="DJ353" s="211"/>
      <c r="DK353" s="220" t="s">
        <v>32</v>
      </c>
      <c r="DT353" s="222"/>
    </row>
    <row r="354" spans="1:124" s="176" customFormat="1" ht="42" x14ac:dyDescent="0.2">
      <c r="A354" s="225" t="s">
        <v>119</v>
      </c>
      <c r="B354" s="197" t="s">
        <v>948</v>
      </c>
      <c r="C354" s="198">
        <v>1</v>
      </c>
      <c r="D354" s="199">
        <v>1000000</v>
      </c>
      <c r="E354" s="198" t="s">
        <v>922</v>
      </c>
      <c r="F354" s="198" t="s">
        <v>191</v>
      </c>
      <c r="G354" s="198" t="s">
        <v>123</v>
      </c>
      <c r="H354" s="200">
        <v>1</v>
      </c>
      <c r="I354" s="199">
        <f t="shared" si="413"/>
        <v>0</v>
      </c>
      <c r="J354" s="199">
        <f t="shared" si="414"/>
        <v>1000000</v>
      </c>
      <c r="K354" s="199">
        <f t="shared" si="415"/>
        <v>1000000</v>
      </c>
      <c r="L354" s="199"/>
      <c r="M354" s="199">
        <v>1000000</v>
      </c>
      <c r="N354" s="199">
        <f t="shared" si="416"/>
        <v>1000000</v>
      </c>
      <c r="O354" s="199"/>
      <c r="P354" s="201">
        <v>0</v>
      </c>
      <c r="Q354" s="202">
        <v>14</v>
      </c>
      <c r="R354" s="203">
        <v>45566</v>
      </c>
      <c r="S354" s="199"/>
      <c r="T354" s="199">
        <v>1000000</v>
      </c>
      <c r="U354" s="204">
        <f t="shared" si="417"/>
        <v>1000000</v>
      </c>
      <c r="V354" s="205"/>
      <c r="W354" s="200"/>
      <c r="X354" s="201"/>
      <c r="Y354" s="201"/>
      <c r="Z354" s="201">
        <f t="shared" si="418"/>
        <v>0</v>
      </c>
      <c r="AA354" s="198"/>
      <c r="AB354" s="206"/>
      <c r="AC354" s="207"/>
      <c r="AD354" s="201"/>
      <c r="AE354" s="204">
        <f t="shared" si="419"/>
        <v>0</v>
      </c>
      <c r="AF354" s="203">
        <f t="shared" si="420"/>
        <v>45566</v>
      </c>
      <c r="AG354" s="201">
        <f t="shared" si="421"/>
        <v>0</v>
      </c>
      <c r="AH354" s="201">
        <f t="shared" si="422"/>
        <v>1000000</v>
      </c>
      <c r="AI354" s="199">
        <f t="shared" si="423"/>
        <v>1000000</v>
      </c>
      <c r="AJ354" s="201">
        <f t="shared" si="410"/>
        <v>0</v>
      </c>
      <c r="AK354" s="201">
        <f t="shared" si="410"/>
        <v>1000000</v>
      </c>
      <c r="AL354" s="201">
        <f t="shared" si="424"/>
        <v>1000000</v>
      </c>
      <c r="AM354" s="198"/>
      <c r="AN354" s="203"/>
      <c r="AO354" s="208"/>
      <c r="AP354" s="201">
        <f t="shared" si="425"/>
        <v>0</v>
      </c>
      <c r="AQ354" s="201">
        <f t="shared" si="426"/>
        <v>639134.12</v>
      </c>
      <c r="AR354" s="201">
        <f t="shared" si="427"/>
        <v>639134.12</v>
      </c>
      <c r="AS354" s="201">
        <f t="shared" si="428"/>
        <v>63.913412000000001</v>
      </c>
      <c r="AT354" s="201"/>
      <c r="AU354" s="209">
        <v>639134.12</v>
      </c>
      <c r="AV354" s="201">
        <f t="shared" si="429"/>
        <v>639134.12</v>
      </c>
      <c r="AW354" s="201">
        <f t="shared" si="368"/>
        <v>8</v>
      </c>
      <c r="AX354" s="201">
        <f t="shared" si="430"/>
        <v>63.913412000000001</v>
      </c>
      <c r="AY354" s="208"/>
      <c r="AZ354" s="201">
        <f t="shared" si="431"/>
        <v>0</v>
      </c>
      <c r="BA354" s="201">
        <f t="shared" si="432"/>
        <v>179271.27</v>
      </c>
      <c r="BB354" s="201">
        <f t="shared" si="433"/>
        <v>179271.27</v>
      </c>
      <c r="BC354" s="201"/>
      <c r="BD354" s="209">
        <v>179271.27</v>
      </c>
      <c r="BE354" s="201">
        <f t="shared" si="406"/>
        <v>179271.27</v>
      </c>
      <c r="BF354" s="208"/>
      <c r="BG354" s="201">
        <f t="shared" si="411"/>
        <v>0</v>
      </c>
      <c r="BH354" s="201">
        <f t="shared" si="411"/>
        <v>818405.39</v>
      </c>
      <c r="BI354" s="201">
        <f t="shared" si="434"/>
        <v>818405.39</v>
      </c>
      <c r="BJ354" s="201">
        <f t="shared" si="435"/>
        <v>81.840539000000007</v>
      </c>
      <c r="BK354" s="210">
        <v>0</v>
      </c>
      <c r="BL354" s="210">
        <v>25</v>
      </c>
      <c r="BM354" s="211"/>
      <c r="BN354" s="211"/>
      <c r="BO354" s="212">
        <f t="shared" si="436"/>
        <v>0</v>
      </c>
      <c r="BP354" s="201">
        <f t="shared" si="437"/>
        <v>360865.88</v>
      </c>
      <c r="BQ354" s="201">
        <f t="shared" si="407"/>
        <v>360865.88</v>
      </c>
      <c r="BR354" s="201">
        <f t="shared" si="412"/>
        <v>0</v>
      </c>
      <c r="BS354" s="201">
        <f t="shared" si="412"/>
        <v>360865.88</v>
      </c>
      <c r="BT354" s="201">
        <f t="shared" si="408"/>
        <v>360865.88</v>
      </c>
      <c r="BU354" s="213">
        <f t="shared" si="369"/>
        <v>0</v>
      </c>
      <c r="BV354" s="201"/>
      <c r="BW354" s="201"/>
      <c r="BX354" s="201">
        <f t="shared" si="409"/>
        <v>0</v>
      </c>
      <c r="BY354" s="199">
        <v>0</v>
      </c>
      <c r="BZ354" s="199">
        <v>80000</v>
      </c>
      <c r="CA354" s="199">
        <v>140000</v>
      </c>
      <c r="CB354" s="199">
        <v>170000</v>
      </c>
      <c r="CC354" s="199">
        <v>220000</v>
      </c>
      <c r="CD354" s="199">
        <v>170000</v>
      </c>
      <c r="CE354" s="199">
        <v>140000</v>
      </c>
      <c r="CF354" s="199">
        <v>80000</v>
      </c>
      <c r="CG354" s="199">
        <v>0</v>
      </c>
      <c r="CH354" s="199">
        <v>0</v>
      </c>
      <c r="CI354" s="199">
        <v>0</v>
      </c>
      <c r="CJ354" s="199"/>
      <c r="CK354" s="214" t="s">
        <v>949</v>
      </c>
      <c r="CL354" s="214" t="s">
        <v>610</v>
      </c>
      <c r="CM354" s="211">
        <v>198</v>
      </c>
      <c r="CN354" s="215"/>
      <c r="CO354" s="215"/>
      <c r="CP354" s="216"/>
      <c r="CQ354" s="217"/>
      <c r="CR354" s="211"/>
      <c r="CS354" s="218"/>
      <c r="CT354" s="218"/>
      <c r="CU354" s="218"/>
      <c r="CV354" s="211"/>
      <c r="CW354" s="211"/>
      <c r="CX354" s="211"/>
      <c r="CY354" s="211"/>
      <c r="CZ354" s="211"/>
      <c r="DA354" s="211"/>
      <c r="DB354" s="211"/>
      <c r="DC354" s="219"/>
      <c r="DD354" s="219"/>
      <c r="DE354" s="219"/>
      <c r="DF354" s="211"/>
      <c r="DG354" s="211"/>
      <c r="DH354" s="211"/>
      <c r="DI354" s="211"/>
      <c r="DJ354" s="211"/>
      <c r="DK354" s="220" t="s">
        <v>32</v>
      </c>
      <c r="DT354" s="222"/>
    </row>
    <row r="355" spans="1:124" s="176" customFormat="1" ht="42" x14ac:dyDescent="0.2">
      <c r="A355" s="225" t="s">
        <v>119</v>
      </c>
      <c r="B355" s="197" t="s">
        <v>950</v>
      </c>
      <c r="C355" s="198">
        <v>1</v>
      </c>
      <c r="D355" s="199">
        <v>1650000</v>
      </c>
      <c r="E355" s="198" t="s">
        <v>951</v>
      </c>
      <c r="F355" s="198" t="s">
        <v>416</v>
      </c>
      <c r="G355" s="198" t="s">
        <v>123</v>
      </c>
      <c r="H355" s="200">
        <v>1</v>
      </c>
      <c r="I355" s="199">
        <f t="shared" si="413"/>
        <v>0</v>
      </c>
      <c r="J355" s="199">
        <f t="shared" si="414"/>
        <v>1650000</v>
      </c>
      <c r="K355" s="199">
        <f t="shared" si="415"/>
        <v>1650000</v>
      </c>
      <c r="L355" s="199"/>
      <c r="M355" s="199">
        <v>1650000</v>
      </c>
      <c r="N355" s="199">
        <f t="shared" si="416"/>
        <v>1650000</v>
      </c>
      <c r="O355" s="199"/>
      <c r="P355" s="201">
        <v>0</v>
      </c>
      <c r="Q355" s="202">
        <v>14</v>
      </c>
      <c r="R355" s="203">
        <v>45566</v>
      </c>
      <c r="S355" s="199"/>
      <c r="T355" s="199">
        <v>1650000</v>
      </c>
      <c r="U355" s="204">
        <f t="shared" si="417"/>
        <v>1650000</v>
      </c>
      <c r="V355" s="205"/>
      <c r="W355" s="200"/>
      <c r="X355" s="201"/>
      <c r="Y355" s="201"/>
      <c r="Z355" s="201">
        <f t="shared" si="418"/>
        <v>0</v>
      </c>
      <c r="AA355" s="198"/>
      <c r="AB355" s="206"/>
      <c r="AC355" s="207"/>
      <c r="AD355" s="201"/>
      <c r="AE355" s="204">
        <f t="shared" si="419"/>
        <v>0</v>
      </c>
      <c r="AF355" s="203">
        <f t="shared" si="420"/>
        <v>45566</v>
      </c>
      <c r="AG355" s="201">
        <f t="shared" si="421"/>
        <v>0</v>
      </c>
      <c r="AH355" s="201">
        <f t="shared" si="422"/>
        <v>1650000</v>
      </c>
      <c r="AI355" s="199">
        <f t="shared" si="423"/>
        <v>1650000</v>
      </c>
      <c r="AJ355" s="201">
        <f t="shared" si="410"/>
        <v>0</v>
      </c>
      <c r="AK355" s="201">
        <f t="shared" si="410"/>
        <v>1650000</v>
      </c>
      <c r="AL355" s="201">
        <f t="shared" si="424"/>
        <v>1650000</v>
      </c>
      <c r="AM355" s="198"/>
      <c r="AN355" s="203"/>
      <c r="AO355" s="208"/>
      <c r="AP355" s="201">
        <f t="shared" si="425"/>
        <v>0</v>
      </c>
      <c r="AQ355" s="201">
        <f t="shared" si="426"/>
        <v>1335027.68</v>
      </c>
      <c r="AR355" s="201">
        <f t="shared" si="427"/>
        <v>1335027.68</v>
      </c>
      <c r="AS355" s="201">
        <f t="shared" si="428"/>
        <v>80.910768484848489</v>
      </c>
      <c r="AT355" s="201"/>
      <c r="AU355" s="209">
        <v>1335027.68</v>
      </c>
      <c r="AV355" s="201">
        <f t="shared" si="429"/>
        <v>1335027.68</v>
      </c>
      <c r="AW355" s="201">
        <f t="shared" si="368"/>
        <v>0</v>
      </c>
      <c r="AX355" s="201">
        <f t="shared" si="430"/>
        <v>80.910768484848489</v>
      </c>
      <c r="AY355" s="208"/>
      <c r="AZ355" s="201">
        <f t="shared" si="431"/>
        <v>0</v>
      </c>
      <c r="BA355" s="201">
        <f t="shared" si="432"/>
        <v>0</v>
      </c>
      <c r="BB355" s="201">
        <f t="shared" si="433"/>
        <v>0</v>
      </c>
      <c r="BC355" s="201"/>
      <c r="BD355" s="209">
        <v>0</v>
      </c>
      <c r="BE355" s="201">
        <f t="shared" si="406"/>
        <v>0</v>
      </c>
      <c r="BF355" s="208"/>
      <c r="BG355" s="201">
        <f t="shared" si="411"/>
        <v>0</v>
      </c>
      <c r="BH355" s="201">
        <f t="shared" si="411"/>
        <v>1335027.68</v>
      </c>
      <c r="BI355" s="201">
        <f t="shared" si="434"/>
        <v>1335027.68</v>
      </c>
      <c r="BJ355" s="201">
        <f t="shared" si="435"/>
        <v>80.910768484848489</v>
      </c>
      <c r="BK355" s="210">
        <v>0</v>
      </c>
      <c r="BL355" s="210">
        <v>70</v>
      </c>
      <c r="BM355" s="211"/>
      <c r="BN355" s="211"/>
      <c r="BO355" s="212">
        <f t="shared" si="436"/>
        <v>0</v>
      </c>
      <c r="BP355" s="201">
        <f t="shared" si="437"/>
        <v>314972.32000000007</v>
      </c>
      <c r="BQ355" s="201">
        <f t="shared" si="407"/>
        <v>314972.32000000007</v>
      </c>
      <c r="BR355" s="201">
        <f t="shared" si="412"/>
        <v>0</v>
      </c>
      <c r="BS355" s="201">
        <f t="shared" si="412"/>
        <v>314972.32000000007</v>
      </c>
      <c r="BT355" s="201">
        <f t="shared" si="408"/>
        <v>314972.32000000007</v>
      </c>
      <c r="BU355" s="213">
        <f t="shared" si="369"/>
        <v>0</v>
      </c>
      <c r="BV355" s="201"/>
      <c r="BW355" s="201"/>
      <c r="BX355" s="201">
        <f t="shared" si="409"/>
        <v>0</v>
      </c>
      <c r="BY355" s="199"/>
      <c r="BZ355" s="199">
        <v>275000</v>
      </c>
      <c r="CA355" s="199">
        <v>275000</v>
      </c>
      <c r="CB355" s="199">
        <v>275000</v>
      </c>
      <c r="CC355" s="199">
        <v>275000</v>
      </c>
      <c r="CD355" s="199">
        <v>275000</v>
      </c>
      <c r="CE355" s="199">
        <v>275000</v>
      </c>
      <c r="CF355" s="199"/>
      <c r="CG355" s="199"/>
      <c r="CH355" s="199"/>
      <c r="CI355" s="199"/>
      <c r="CJ355" s="199"/>
      <c r="CK355" s="214" t="s">
        <v>952</v>
      </c>
      <c r="CL355" s="214" t="s">
        <v>610</v>
      </c>
      <c r="CM355" s="211">
        <v>198</v>
      </c>
      <c r="CN355" s="215"/>
      <c r="CO355" s="215"/>
      <c r="CP355" s="216"/>
      <c r="CQ355" s="217"/>
      <c r="CR355" s="211"/>
      <c r="CS355" s="218"/>
      <c r="CT355" s="218"/>
      <c r="CU355" s="218"/>
      <c r="CV355" s="211"/>
      <c r="CW355" s="211"/>
      <c r="CX355" s="211"/>
      <c r="CY355" s="211"/>
      <c r="CZ355" s="211"/>
      <c r="DA355" s="211"/>
      <c r="DB355" s="211"/>
      <c r="DC355" s="219"/>
      <c r="DD355" s="219"/>
      <c r="DE355" s="219"/>
      <c r="DF355" s="211"/>
      <c r="DG355" s="211"/>
      <c r="DH355" s="211"/>
      <c r="DI355" s="211"/>
      <c r="DJ355" s="211"/>
      <c r="DK355" s="220" t="s">
        <v>32</v>
      </c>
      <c r="DT355" s="222"/>
    </row>
    <row r="356" spans="1:124" s="176" customFormat="1" ht="42" x14ac:dyDescent="0.2">
      <c r="A356" s="225" t="s">
        <v>119</v>
      </c>
      <c r="B356" s="197" t="s">
        <v>953</v>
      </c>
      <c r="C356" s="198">
        <v>1</v>
      </c>
      <c r="D356" s="199">
        <v>950000</v>
      </c>
      <c r="E356" s="198" t="s">
        <v>927</v>
      </c>
      <c r="F356" s="198" t="s">
        <v>430</v>
      </c>
      <c r="G356" s="198" t="s">
        <v>123</v>
      </c>
      <c r="H356" s="200">
        <v>1</v>
      </c>
      <c r="I356" s="199">
        <f t="shared" si="413"/>
        <v>0</v>
      </c>
      <c r="J356" s="199">
        <f t="shared" si="414"/>
        <v>950000</v>
      </c>
      <c r="K356" s="199">
        <f t="shared" si="415"/>
        <v>950000</v>
      </c>
      <c r="L356" s="199"/>
      <c r="M356" s="199">
        <v>950000</v>
      </c>
      <c r="N356" s="199">
        <f t="shared" si="416"/>
        <v>950000</v>
      </c>
      <c r="O356" s="199"/>
      <c r="P356" s="201">
        <v>0</v>
      </c>
      <c r="Q356" s="202">
        <v>14</v>
      </c>
      <c r="R356" s="203">
        <v>45566</v>
      </c>
      <c r="S356" s="199"/>
      <c r="T356" s="199">
        <v>950000</v>
      </c>
      <c r="U356" s="204">
        <f t="shared" si="417"/>
        <v>950000</v>
      </c>
      <c r="V356" s="205"/>
      <c r="W356" s="200"/>
      <c r="X356" s="201"/>
      <c r="Y356" s="201"/>
      <c r="Z356" s="201">
        <f t="shared" si="418"/>
        <v>0</v>
      </c>
      <c r="AA356" s="198"/>
      <c r="AB356" s="206"/>
      <c r="AC356" s="207"/>
      <c r="AD356" s="201"/>
      <c r="AE356" s="204">
        <f t="shared" si="419"/>
        <v>0</v>
      </c>
      <c r="AF356" s="203">
        <f t="shared" si="420"/>
        <v>45566</v>
      </c>
      <c r="AG356" s="201">
        <f t="shared" si="421"/>
        <v>0</v>
      </c>
      <c r="AH356" s="201">
        <f t="shared" si="422"/>
        <v>950000</v>
      </c>
      <c r="AI356" s="199">
        <f t="shared" si="423"/>
        <v>950000</v>
      </c>
      <c r="AJ356" s="201">
        <f t="shared" si="410"/>
        <v>0</v>
      </c>
      <c r="AK356" s="201">
        <f t="shared" si="410"/>
        <v>950000</v>
      </c>
      <c r="AL356" s="201">
        <f t="shared" si="424"/>
        <v>950000</v>
      </c>
      <c r="AM356" s="198"/>
      <c r="AN356" s="203"/>
      <c r="AO356" s="208"/>
      <c r="AP356" s="201">
        <f t="shared" si="425"/>
        <v>0</v>
      </c>
      <c r="AQ356" s="201">
        <f t="shared" si="426"/>
        <v>938911.03</v>
      </c>
      <c r="AR356" s="201">
        <f t="shared" si="427"/>
        <v>938911.03</v>
      </c>
      <c r="AS356" s="201">
        <f t="shared" si="428"/>
        <v>98.832740000000001</v>
      </c>
      <c r="AT356" s="201"/>
      <c r="AU356" s="209">
        <v>938911.03</v>
      </c>
      <c r="AV356" s="201">
        <f t="shared" si="429"/>
        <v>938911.03</v>
      </c>
      <c r="AW356" s="201">
        <f t="shared" si="368"/>
        <v>0</v>
      </c>
      <c r="AX356" s="201">
        <f t="shared" si="430"/>
        <v>98.832740000000001</v>
      </c>
      <c r="AY356" s="208"/>
      <c r="AZ356" s="201">
        <f t="shared" si="431"/>
        <v>0</v>
      </c>
      <c r="BA356" s="201">
        <f t="shared" si="432"/>
        <v>0</v>
      </c>
      <c r="BB356" s="201">
        <f t="shared" si="433"/>
        <v>0</v>
      </c>
      <c r="BC356" s="201"/>
      <c r="BD356" s="209">
        <v>0</v>
      </c>
      <c r="BE356" s="201">
        <f t="shared" si="406"/>
        <v>0</v>
      </c>
      <c r="BF356" s="208"/>
      <c r="BG356" s="201">
        <f t="shared" si="411"/>
        <v>0</v>
      </c>
      <c r="BH356" s="201">
        <f t="shared" si="411"/>
        <v>938911.03</v>
      </c>
      <c r="BI356" s="201">
        <f t="shared" si="434"/>
        <v>938911.03</v>
      </c>
      <c r="BJ356" s="201">
        <f t="shared" si="435"/>
        <v>98.832740000000001</v>
      </c>
      <c r="BK356" s="210">
        <v>0</v>
      </c>
      <c r="BL356" s="210">
        <v>90</v>
      </c>
      <c r="BM356" s="211"/>
      <c r="BN356" s="211"/>
      <c r="BO356" s="212">
        <f t="shared" si="436"/>
        <v>0</v>
      </c>
      <c r="BP356" s="201">
        <f t="shared" si="437"/>
        <v>11088.969999999972</v>
      </c>
      <c r="BQ356" s="201">
        <f t="shared" si="407"/>
        <v>11088.969999999972</v>
      </c>
      <c r="BR356" s="201">
        <f t="shared" si="412"/>
        <v>0</v>
      </c>
      <c r="BS356" s="201">
        <f t="shared" si="412"/>
        <v>11088.969999999972</v>
      </c>
      <c r="BT356" s="201">
        <f t="shared" si="408"/>
        <v>11088.969999999972</v>
      </c>
      <c r="BU356" s="213">
        <f t="shared" si="369"/>
        <v>0</v>
      </c>
      <c r="BV356" s="201"/>
      <c r="BW356" s="201"/>
      <c r="BX356" s="201">
        <f t="shared" si="409"/>
        <v>0</v>
      </c>
      <c r="BY356" s="199">
        <v>0</v>
      </c>
      <c r="BZ356" s="199">
        <v>0</v>
      </c>
      <c r="CA356" s="199">
        <v>0</v>
      </c>
      <c r="CB356" s="199">
        <v>285000</v>
      </c>
      <c r="CC356" s="199">
        <v>380000</v>
      </c>
      <c r="CD356" s="199">
        <v>285000</v>
      </c>
      <c r="CE356" s="199">
        <v>0</v>
      </c>
      <c r="CF356" s="199">
        <v>0</v>
      </c>
      <c r="CG356" s="199">
        <v>0</v>
      </c>
      <c r="CH356" s="199">
        <v>0</v>
      </c>
      <c r="CI356" s="199">
        <v>0</v>
      </c>
      <c r="CJ356" s="199"/>
      <c r="CK356" s="214" t="s">
        <v>954</v>
      </c>
      <c r="CL356" s="214" t="s">
        <v>610</v>
      </c>
      <c r="CM356" s="211">
        <v>198</v>
      </c>
      <c r="CN356" s="215"/>
      <c r="CO356" s="215"/>
      <c r="CP356" s="216"/>
      <c r="CQ356" s="217"/>
      <c r="CR356" s="211"/>
      <c r="CS356" s="218"/>
      <c r="CT356" s="218"/>
      <c r="CU356" s="218"/>
      <c r="CV356" s="211"/>
      <c r="CW356" s="211"/>
      <c r="CX356" s="211"/>
      <c r="CY356" s="211"/>
      <c r="CZ356" s="211"/>
      <c r="DA356" s="211"/>
      <c r="DB356" s="211"/>
      <c r="DC356" s="219"/>
      <c r="DD356" s="219"/>
      <c r="DE356" s="219"/>
      <c r="DF356" s="211"/>
      <c r="DG356" s="211"/>
      <c r="DH356" s="211"/>
      <c r="DI356" s="211"/>
      <c r="DJ356" s="211"/>
      <c r="DK356" s="220" t="s">
        <v>32</v>
      </c>
      <c r="DT356" s="222"/>
    </row>
    <row r="357" spans="1:124" s="176" customFormat="1" x14ac:dyDescent="0.2">
      <c r="A357" s="225" t="s">
        <v>119</v>
      </c>
      <c r="B357" s="197" t="s">
        <v>955</v>
      </c>
      <c r="C357" s="198">
        <v>1</v>
      </c>
      <c r="D357" s="199">
        <v>1900000</v>
      </c>
      <c r="E357" s="198" t="s">
        <v>372</v>
      </c>
      <c r="F357" s="198" t="s">
        <v>373</v>
      </c>
      <c r="G357" s="198" t="s">
        <v>123</v>
      </c>
      <c r="H357" s="200">
        <v>1</v>
      </c>
      <c r="I357" s="199">
        <f t="shared" si="413"/>
        <v>0</v>
      </c>
      <c r="J357" s="199">
        <f t="shared" si="414"/>
        <v>1900000</v>
      </c>
      <c r="K357" s="199">
        <f t="shared" si="415"/>
        <v>1900000</v>
      </c>
      <c r="L357" s="199"/>
      <c r="M357" s="199">
        <v>1900000</v>
      </c>
      <c r="N357" s="199">
        <f t="shared" si="416"/>
        <v>1900000</v>
      </c>
      <c r="O357" s="199"/>
      <c r="P357" s="201">
        <v>0</v>
      </c>
      <c r="Q357" s="202">
        <v>14</v>
      </c>
      <c r="R357" s="203">
        <v>45566</v>
      </c>
      <c r="S357" s="199"/>
      <c r="T357" s="199">
        <v>1900000</v>
      </c>
      <c r="U357" s="204">
        <f t="shared" si="417"/>
        <v>1900000</v>
      </c>
      <c r="V357" s="205"/>
      <c r="W357" s="200"/>
      <c r="X357" s="201"/>
      <c r="Y357" s="201"/>
      <c r="Z357" s="201">
        <f t="shared" si="418"/>
        <v>0</v>
      </c>
      <c r="AA357" s="198"/>
      <c r="AB357" s="206"/>
      <c r="AC357" s="207"/>
      <c r="AD357" s="201"/>
      <c r="AE357" s="204">
        <f t="shared" si="419"/>
        <v>0</v>
      </c>
      <c r="AF357" s="203">
        <f t="shared" si="420"/>
        <v>45566</v>
      </c>
      <c r="AG357" s="201">
        <f t="shared" si="421"/>
        <v>0</v>
      </c>
      <c r="AH357" s="201">
        <f t="shared" si="422"/>
        <v>1900000</v>
      </c>
      <c r="AI357" s="199">
        <f t="shared" si="423"/>
        <v>1900000</v>
      </c>
      <c r="AJ357" s="201">
        <f t="shared" si="410"/>
        <v>0</v>
      </c>
      <c r="AK357" s="201">
        <f t="shared" si="410"/>
        <v>1900000</v>
      </c>
      <c r="AL357" s="201">
        <f t="shared" si="424"/>
        <v>1900000</v>
      </c>
      <c r="AM357" s="198"/>
      <c r="AN357" s="203"/>
      <c r="AO357" s="208"/>
      <c r="AP357" s="201">
        <f t="shared" si="425"/>
        <v>0</v>
      </c>
      <c r="AQ357" s="201">
        <f t="shared" si="426"/>
        <v>1403684.55</v>
      </c>
      <c r="AR357" s="201">
        <f t="shared" si="427"/>
        <v>1403684.55</v>
      </c>
      <c r="AS357" s="201">
        <f t="shared" si="428"/>
        <v>73.878134210526312</v>
      </c>
      <c r="AT357" s="201"/>
      <c r="AU357" s="209">
        <v>1403684.55</v>
      </c>
      <c r="AV357" s="201">
        <f t="shared" si="429"/>
        <v>1403684.55</v>
      </c>
      <c r="AW357" s="201">
        <f t="shared" si="368"/>
        <v>0</v>
      </c>
      <c r="AX357" s="201">
        <f t="shared" si="430"/>
        <v>73.878134210526312</v>
      </c>
      <c r="AY357" s="208"/>
      <c r="AZ357" s="201">
        <f t="shared" si="431"/>
        <v>0</v>
      </c>
      <c r="BA357" s="201">
        <f t="shared" si="432"/>
        <v>0</v>
      </c>
      <c r="BB357" s="201">
        <f t="shared" si="433"/>
        <v>0</v>
      </c>
      <c r="BC357" s="201"/>
      <c r="BD357" s="209">
        <v>0</v>
      </c>
      <c r="BE357" s="201">
        <f t="shared" si="406"/>
        <v>0</v>
      </c>
      <c r="BF357" s="208"/>
      <c r="BG357" s="201">
        <f t="shared" si="411"/>
        <v>0</v>
      </c>
      <c r="BH357" s="201">
        <f t="shared" si="411"/>
        <v>1403684.55</v>
      </c>
      <c r="BI357" s="201">
        <f t="shared" si="434"/>
        <v>1403684.55</v>
      </c>
      <c r="BJ357" s="201">
        <f t="shared" si="435"/>
        <v>73.878134210526312</v>
      </c>
      <c r="BK357" s="210">
        <v>20</v>
      </c>
      <c r="BL357" s="210">
        <v>70</v>
      </c>
      <c r="BM357" s="211"/>
      <c r="BN357" s="211"/>
      <c r="BO357" s="212">
        <f t="shared" si="436"/>
        <v>0</v>
      </c>
      <c r="BP357" s="201">
        <f t="shared" si="437"/>
        <v>496315.44999999995</v>
      </c>
      <c r="BQ357" s="201">
        <f t="shared" si="407"/>
        <v>496315.44999999995</v>
      </c>
      <c r="BR357" s="201">
        <f t="shared" si="412"/>
        <v>0</v>
      </c>
      <c r="BS357" s="201">
        <f t="shared" si="412"/>
        <v>496315.44999999995</v>
      </c>
      <c r="BT357" s="201">
        <f t="shared" si="408"/>
        <v>496315.44999999995</v>
      </c>
      <c r="BU357" s="213">
        <f t="shared" si="369"/>
        <v>0</v>
      </c>
      <c r="BV357" s="201"/>
      <c r="BW357" s="201"/>
      <c r="BX357" s="201">
        <f t="shared" si="409"/>
        <v>0</v>
      </c>
      <c r="BY357" s="199">
        <v>380000</v>
      </c>
      <c r="BZ357" s="199">
        <v>380000</v>
      </c>
      <c r="CA357" s="199">
        <v>380000</v>
      </c>
      <c r="CB357" s="199">
        <v>380000</v>
      </c>
      <c r="CC357" s="199">
        <v>380000</v>
      </c>
      <c r="CD357" s="199">
        <v>0</v>
      </c>
      <c r="CE357" s="199">
        <v>0</v>
      </c>
      <c r="CF357" s="199">
        <v>0</v>
      </c>
      <c r="CG357" s="199">
        <v>0</v>
      </c>
      <c r="CH357" s="199">
        <v>0</v>
      </c>
      <c r="CI357" s="199">
        <v>0</v>
      </c>
      <c r="CJ357" s="199"/>
      <c r="CK357" s="214" t="s">
        <v>956</v>
      </c>
      <c r="CL357" s="214" t="s">
        <v>610</v>
      </c>
      <c r="CM357" s="211">
        <v>198</v>
      </c>
      <c r="CN357" s="215"/>
      <c r="CO357" s="215"/>
      <c r="CP357" s="216"/>
      <c r="CQ357" s="217"/>
      <c r="CR357" s="211"/>
      <c r="CS357" s="218"/>
      <c r="CT357" s="218"/>
      <c r="CU357" s="218"/>
      <c r="CV357" s="211"/>
      <c r="CW357" s="211"/>
      <c r="CX357" s="211"/>
      <c r="CY357" s="211"/>
      <c r="CZ357" s="211"/>
      <c r="DA357" s="211"/>
      <c r="DB357" s="211"/>
      <c r="DC357" s="219"/>
      <c r="DD357" s="219"/>
      <c r="DE357" s="219"/>
      <c r="DF357" s="211"/>
      <c r="DG357" s="211"/>
      <c r="DH357" s="211"/>
      <c r="DI357" s="211"/>
      <c r="DJ357" s="211"/>
      <c r="DK357" s="220" t="s">
        <v>32</v>
      </c>
      <c r="DT357" s="222"/>
    </row>
    <row r="358" spans="1:124" s="176" customFormat="1" ht="42" x14ac:dyDescent="0.2">
      <c r="A358" s="225" t="s">
        <v>119</v>
      </c>
      <c r="B358" s="197" t="s">
        <v>957</v>
      </c>
      <c r="C358" s="198">
        <v>1</v>
      </c>
      <c r="D358" s="199">
        <v>440000</v>
      </c>
      <c r="E358" s="198" t="s">
        <v>958</v>
      </c>
      <c r="F358" s="198" t="s">
        <v>187</v>
      </c>
      <c r="G358" s="198" t="s">
        <v>123</v>
      </c>
      <c r="H358" s="200">
        <v>1</v>
      </c>
      <c r="I358" s="199">
        <f t="shared" si="413"/>
        <v>0</v>
      </c>
      <c r="J358" s="199">
        <f t="shared" si="414"/>
        <v>440000</v>
      </c>
      <c r="K358" s="199">
        <f t="shared" si="415"/>
        <v>440000</v>
      </c>
      <c r="L358" s="199"/>
      <c r="M358" s="199">
        <v>440000</v>
      </c>
      <c r="N358" s="199">
        <f t="shared" si="416"/>
        <v>440000</v>
      </c>
      <c r="O358" s="199"/>
      <c r="P358" s="201">
        <v>0</v>
      </c>
      <c r="Q358" s="202">
        <v>14</v>
      </c>
      <c r="R358" s="203">
        <v>45566</v>
      </c>
      <c r="S358" s="199"/>
      <c r="T358" s="199">
        <v>440000</v>
      </c>
      <c r="U358" s="204">
        <f t="shared" si="417"/>
        <v>440000</v>
      </c>
      <c r="V358" s="205"/>
      <c r="W358" s="200"/>
      <c r="X358" s="201"/>
      <c r="Y358" s="201"/>
      <c r="Z358" s="201">
        <f t="shared" si="418"/>
        <v>0</v>
      </c>
      <c r="AA358" s="198"/>
      <c r="AB358" s="206"/>
      <c r="AC358" s="207"/>
      <c r="AD358" s="201"/>
      <c r="AE358" s="204">
        <f t="shared" si="419"/>
        <v>0</v>
      </c>
      <c r="AF358" s="203">
        <f t="shared" si="420"/>
        <v>45566</v>
      </c>
      <c r="AG358" s="201">
        <f t="shared" si="421"/>
        <v>0</v>
      </c>
      <c r="AH358" s="201">
        <f t="shared" si="422"/>
        <v>440000</v>
      </c>
      <c r="AI358" s="199">
        <f t="shared" si="423"/>
        <v>440000</v>
      </c>
      <c r="AJ358" s="201">
        <f t="shared" si="410"/>
        <v>0</v>
      </c>
      <c r="AK358" s="201">
        <f t="shared" si="410"/>
        <v>440000</v>
      </c>
      <c r="AL358" s="201">
        <f t="shared" si="424"/>
        <v>440000</v>
      </c>
      <c r="AM358" s="198"/>
      <c r="AN358" s="203"/>
      <c r="AO358" s="208"/>
      <c r="AP358" s="201">
        <f t="shared" si="425"/>
        <v>0</v>
      </c>
      <c r="AQ358" s="201">
        <f t="shared" si="426"/>
        <v>439732.66</v>
      </c>
      <c r="AR358" s="201">
        <f t="shared" si="427"/>
        <v>439732.66</v>
      </c>
      <c r="AS358" s="201">
        <f t="shared" si="428"/>
        <v>99.939240909090913</v>
      </c>
      <c r="AT358" s="201"/>
      <c r="AU358" s="209">
        <v>439732.66</v>
      </c>
      <c r="AV358" s="201">
        <f t="shared" si="429"/>
        <v>439732.66</v>
      </c>
      <c r="AW358" s="201">
        <f t="shared" ref="AW358:AW421" si="438">+CF358*100/AL358</f>
        <v>0</v>
      </c>
      <c r="AX358" s="201">
        <f t="shared" si="430"/>
        <v>99.939240909090913</v>
      </c>
      <c r="AY358" s="208"/>
      <c r="AZ358" s="201">
        <f t="shared" si="431"/>
        <v>0</v>
      </c>
      <c r="BA358" s="201">
        <f t="shared" si="432"/>
        <v>0</v>
      </c>
      <c r="BB358" s="201">
        <f t="shared" si="433"/>
        <v>0</v>
      </c>
      <c r="BC358" s="201"/>
      <c r="BD358" s="209">
        <v>0</v>
      </c>
      <c r="BE358" s="201">
        <f t="shared" si="406"/>
        <v>0</v>
      </c>
      <c r="BF358" s="208"/>
      <c r="BG358" s="201">
        <f t="shared" si="411"/>
        <v>0</v>
      </c>
      <c r="BH358" s="201">
        <f t="shared" si="411"/>
        <v>439732.66</v>
      </c>
      <c r="BI358" s="201">
        <f t="shared" si="434"/>
        <v>439732.66</v>
      </c>
      <c r="BJ358" s="201">
        <f t="shared" si="435"/>
        <v>99.939240909090913</v>
      </c>
      <c r="BK358" s="210">
        <v>0</v>
      </c>
      <c r="BL358" s="210">
        <v>100</v>
      </c>
      <c r="BM358" s="211"/>
      <c r="BN358" s="211"/>
      <c r="BO358" s="212">
        <f t="shared" si="436"/>
        <v>0</v>
      </c>
      <c r="BP358" s="201">
        <f t="shared" si="437"/>
        <v>267.34000000002561</v>
      </c>
      <c r="BQ358" s="201">
        <f t="shared" si="407"/>
        <v>267.34000000002561</v>
      </c>
      <c r="BR358" s="201">
        <f t="shared" si="412"/>
        <v>0</v>
      </c>
      <c r="BS358" s="201">
        <f t="shared" si="412"/>
        <v>267.34000000002561</v>
      </c>
      <c r="BT358" s="201">
        <f t="shared" si="408"/>
        <v>267.34000000002561</v>
      </c>
      <c r="BU358" s="213">
        <f t="shared" ref="BU358:BU421" si="439">+AO358-AY358</f>
        <v>0</v>
      </c>
      <c r="BV358" s="201"/>
      <c r="BW358" s="201"/>
      <c r="BX358" s="201">
        <f t="shared" si="409"/>
        <v>0</v>
      </c>
      <c r="BY358" s="199">
        <v>0</v>
      </c>
      <c r="BZ358" s="199"/>
      <c r="CA358" s="199"/>
      <c r="CB358" s="199">
        <v>264000</v>
      </c>
      <c r="CC358" s="199">
        <v>176000</v>
      </c>
      <c r="CD358" s="199">
        <v>0</v>
      </c>
      <c r="CE358" s="199">
        <v>0</v>
      </c>
      <c r="CF358" s="199">
        <v>0</v>
      </c>
      <c r="CG358" s="199">
        <v>0</v>
      </c>
      <c r="CH358" s="199">
        <v>0</v>
      </c>
      <c r="CI358" s="199">
        <v>0</v>
      </c>
      <c r="CJ358" s="199"/>
      <c r="CK358" s="214" t="s">
        <v>959</v>
      </c>
      <c r="CL358" s="214" t="s">
        <v>610</v>
      </c>
      <c r="CM358" s="211">
        <v>198</v>
      </c>
      <c r="CN358" s="215"/>
      <c r="CO358" s="215"/>
      <c r="CP358" s="216"/>
      <c r="CQ358" s="217"/>
      <c r="CR358" s="211"/>
      <c r="CS358" s="218"/>
      <c r="CT358" s="218"/>
      <c r="CU358" s="218"/>
      <c r="CV358" s="211"/>
      <c r="CW358" s="211"/>
      <c r="CX358" s="211"/>
      <c r="CY358" s="211"/>
      <c r="CZ358" s="211"/>
      <c r="DA358" s="211"/>
      <c r="DB358" s="211"/>
      <c r="DC358" s="219"/>
      <c r="DD358" s="219"/>
      <c r="DE358" s="219"/>
      <c r="DF358" s="211"/>
      <c r="DG358" s="211"/>
      <c r="DH358" s="211"/>
      <c r="DI358" s="211"/>
      <c r="DJ358" s="211"/>
      <c r="DK358" s="220" t="s">
        <v>32</v>
      </c>
      <c r="DT358" s="222"/>
    </row>
    <row r="359" spans="1:124" s="176" customFormat="1" ht="42" x14ac:dyDescent="0.2">
      <c r="A359" s="225" t="s">
        <v>119</v>
      </c>
      <c r="B359" s="197" t="s">
        <v>960</v>
      </c>
      <c r="C359" s="198">
        <v>1</v>
      </c>
      <c r="D359" s="199">
        <v>1200000</v>
      </c>
      <c r="E359" s="198" t="s">
        <v>961</v>
      </c>
      <c r="F359" s="198" t="s">
        <v>409</v>
      </c>
      <c r="G359" s="198" t="s">
        <v>123</v>
      </c>
      <c r="H359" s="200">
        <v>1</v>
      </c>
      <c r="I359" s="199">
        <f t="shared" si="413"/>
        <v>0</v>
      </c>
      <c r="J359" s="199">
        <f t="shared" si="414"/>
        <v>1200000</v>
      </c>
      <c r="K359" s="199">
        <f t="shared" si="415"/>
        <v>1200000</v>
      </c>
      <c r="L359" s="199"/>
      <c r="M359" s="199">
        <v>1200000</v>
      </c>
      <c r="N359" s="199">
        <f t="shared" si="416"/>
        <v>1200000</v>
      </c>
      <c r="O359" s="199"/>
      <c r="P359" s="201">
        <v>0</v>
      </c>
      <c r="Q359" s="202">
        <v>14</v>
      </c>
      <c r="R359" s="203">
        <v>45566</v>
      </c>
      <c r="S359" s="199"/>
      <c r="T359" s="199">
        <v>1200000</v>
      </c>
      <c r="U359" s="204">
        <f t="shared" si="417"/>
        <v>1200000</v>
      </c>
      <c r="V359" s="205"/>
      <c r="W359" s="200"/>
      <c r="X359" s="201"/>
      <c r="Y359" s="201"/>
      <c r="Z359" s="201">
        <f t="shared" si="418"/>
        <v>0</v>
      </c>
      <c r="AA359" s="198"/>
      <c r="AB359" s="206"/>
      <c r="AC359" s="207"/>
      <c r="AD359" s="201"/>
      <c r="AE359" s="204">
        <f t="shared" si="419"/>
        <v>0</v>
      </c>
      <c r="AF359" s="203">
        <f t="shared" si="420"/>
        <v>45566</v>
      </c>
      <c r="AG359" s="201">
        <f t="shared" si="421"/>
        <v>0</v>
      </c>
      <c r="AH359" s="201">
        <f t="shared" si="422"/>
        <v>1200000</v>
      </c>
      <c r="AI359" s="199">
        <f t="shared" si="423"/>
        <v>1200000</v>
      </c>
      <c r="AJ359" s="201">
        <f t="shared" si="410"/>
        <v>0</v>
      </c>
      <c r="AK359" s="201">
        <f t="shared" si="410"/>
        <v>1200000</v>
      </c>
      <c r="AL359" s="201">
        <f t="shared" si="424"/>
        <v>1200000</v>
      </c>
      <c r="AM359" s="198"/>
      <c r="AN359" s="203"/>
      <c r="AO359" s="208"/>
      <c r="AP359" s="201">
        <f t="shared" si="425"/>
        <v>0</v>
      </c>
      <c r="AQ359" s="201">
        <f t="shared" si="426"/>
        <v>1199592.96</v>
      </c>
      <c r="AR359" s="201">
        <f t="shared" si="427"/>
        <v>1199592.96</v>
      </c>
      <c r="AS359" s="201">
        <f t="shared" si="428"/>
        <v>99.966080000000005</v>
      </c>
      <c r="AT359" s="201"/>
      <c r="AU359" s="209">
        <v>1199592.96</v>
      </c>
      <c r="AV359" s="201">
        <f t="shared" si="429"/>
        <v>1199592.96</v>
      </c>
      <c r="AW359" s="201">
        <f t="shared" si="438"/>
        <v>0</v>
      </c>
      <c r="AX359" s="201">
        <f t="shared" si="430"/>
        <v>99.966080000000005</v>
      </c>
      <c r="AY359" s="208"/>
      <c r="AZ359" s="201">
        <f t="shared" si="431"/>
        <v>0</v>
      </c>
      <c r="BA359" s="201">
        <f t="shared" si="432"/>
        <v>0</v>
      </c>
      <c r="BB359" s="201">
        <f t="shared" si="433"/>
        <v>0</v>
      </c>
      <c r="BC359" s="201"/>
      <c r="BD359" s="209">
        <v>0</v>
      </c>
      <c r="BE359" s="201">
        <f t="shared" si="406"/>
        <v>0</v>
      </c>
      <c r="BF359" s="208"/>
      <c r="BG359" s="201">
        <f t="shared" si="411"/>
        <v>0</v>
      </c>
      <c r="BH359" s="201">
        <f t="shared" si="411"/>
        <v>1199592.96</v>
      </c>
      <c r="BI359" s="201">
        <f t="shared" si="434"/>
        <v>1199592.96</v>
      </c>
      <c r="BJ359" s="201">
        <f t="shared" si="435"/>
        <v>99.966080000000005</v>
      </c>
      <c r="BK359" s="210">
        <v>0</v>
      </c>
      <c r="BL359" s="210">
        <v>100</v>
      </c>
      <c r="BM359" s="211"/>
      <c r="BN359" s="211"/>
      <c r="BO359" s="212">
        <f t="shared" si="436"/>
        <v>0</v>
      </c>
      <c r="BP359" s="201">
        <f t="shared" si="437"/>
        <v>407.04000000003725</v>
      </c>
      <c r="BQ359" s="201">
        <f t="shared" si="407"/>
        <v>407.04000000003725</v>
      </c>
      <c r="BR359" s="201">
        <f t="shared" si="412"/>
        <v>0</v>
      </c>
      <c r="BS359" s="201">
        <f t="shared" si="412"/>
        <v>407.04000000003725</v>
      </c>
      <c r="BT359" s="201">
        <f t="shared" si="408"/>
        <v>407.04000000003725</v>
      </c>
      <c r="BU359" s="213">
        <f t="shared" si="439"/>
        <v>0</v>
      </c>
      <c r="BV359" s="201"/>
      <c r="BW359" s="201"/>
      <c r="BX359" s="201">
        <f t="shared" si="409"/>
        <v>0</v>
      </c>
      <c r="BY359" s="199">
        <v>0</v>
      </c>
      <c r="BZ359" s="199"/>
      <c r="CA359" s="199"/>
      <c r="CB359" s="199">
        <v>300000</v>
      </c>
      <c r="CC359" s="199">
        <v>300000</v>
      </c>
      <c r="CD359" s="199">
        <v>300000</v>
      </c>
      <c r="CE359" s="199">
        <v>300000</v>
      </c>
      <c r="CF359" s="199"/>
      <c r="CG359" s="199"/>
      <c r="CH359" s="199"/>
      <c r="CI359" s="199"/>
      <c r="CJ359" s="199"/>
      <c r="CK359" s="214" t="s">
        <v>962</v>
      </c>
      <c r="CL359" s="214" t="s">
        <v>610</v>
      </c>
      <c r="CM359" s="211">
        <v>198</v>
      </c>
      <c r="CN359" s="215"/>
      <c r="CO359" s="215"/>
      <c r="CP359" s="216"/>
      <c r="CQ359" s="217"/>
      <c r="CR359" s="211"/>
      <c r="CS359" s="218"/>
      <c r="CT359" s="218"/>
      <c r="CU359" s="218"/>
      <c r="CV359" s="211"/>
      <c r="CW359" s="211"/>
      <c r="CX359" s="211"/>
      <c r="CY359" s="211"/>
      <c r="CZ359" s="211"/>
      <c r="DA359" s="211"/>
      <c r="DB359" s="211"/>
      <c r="DC359" s="219"/>
      <c r="DD359" s="219"/>
      <c r="DE359" s="219"/>
      <c r="DF359" s="211"/>
      <c r="DG359" s="211"/>
      <c r="DH359" s="211"/>
      <c r="DI359" s="211"/>
      <c r="DJ359" s="211"/>
      <c r="DK359" s="220" t="s">
        <v>32</v>
      </c>
      <c r="DT359" s="222"/>
    </row>
    <row r="360" spans="1:124" s="176" customFormat="1" ht="42" x14ac:dyDescent="0.2">
      <c r="A360" s="225" t="s">
        <v>119</v>
      </c>
      <c r="B360" s="197" t="s">
        <v>963</v>
      </c>
      <c r="C360" s="198">
        <v>1</v>
      </c>
      <c r="D360" s="199">
        <v>250000</v>
      </c>
      <c r="E360" s="198" t="s">
        <v>964</v>
      </c>
      <c r="F360" s="198" t="s">
        <v>187</v>
      </c>
      <c r="G360" s="198" t="s">
        <v>123</v>
      </c>
      <c r="H360" s="200">
        <v>1</v>
      </c>
      <c r="I360" s="199">
        <f t="shared" si="413"/>
        <v>0</v>
      </c>
      <c r="J360" s="199">
        <f t="shared" si="414"/>
        <v>250000</v>
      </c>
      <c r="K360" s="199">
        <f t="shared" si="415"/>
        <v>250000</v>
      </c>
      <c r="L360" s="199"/>
      <c r="M360" s="199">
        <v>250000</v>
      </c>
      <c r="N360" s="199">
        <f t="shared" si="416"/>
        <v>250000</v>
      </c>
      <c r="O360" s="199"/>
      <c r="P360" s="201">
        <v>0</v>
      </c>
      <c r="Q360" s="202">
        <v>14</v>
      </c>
      <c r="R360" s="203">
        <v>45566</v>
      </c>
      <c r="S360" s="199"/>
      <c r="T360" s="199">
        <v>250000</v>
      </c>
      <c r="U360" s="204">
        <f t="shared" si="417"/>
        <v>250000</v>
      </c>
      <c r="V360" s="205"/>
      <c r="W360" s="200"/>
      <c r="X360" s="201"/>
      <c r="Y360" s="201"/>
      <c r="Z360" s="201">
        <f t="shared" si="418"/>
        <v>0</v>
      </c>
      <c r="AA360" s="198"/>
      <c r="AB360" s="206"/>
      <c r="AC360" s="207"/>
      <c r="AD360" s="201"/>
      <c r="AE360" s="204">
        <f t="shared" si="419"/>
        <v>0</v>
      </c>
      <c r="AF360" s="203">
        <f t="shared" si="420"/>
        <v>45566</v>
      </c>
      <c r="AG360" s="201">
        <f t="shared" si="421"/>
        <v>0</v>
      </c>
      <c r="AH360" s="201">
        <f t="shared" si="422"/>
        <v>250000</v>
      </c>
      <c r="AI360" s="199">
        <f t="shared" si="423"/>
        <v>250000</v>
      </c>
      <c r="AJ360" s="201">
        <f t="shared" si="410"/>
        <v>0</v>
      </c>
      <c r="AK360" s="201">
        <f t="shared" si="410"/>
        <v>250000</v>
      </c>
      <c r="AL360" s="201">
        <f t="shared" si="424"/>
        <v>250000</v>
      </c>
      <c r="AM360" s="198"/>
      <c r="AN360" s="203"/>
      <c r="AO360" s="208"/>
      <c r="AP360" s="201">
        <f t="shared" si="425"/>
        <v>0</v>
      </c>
      <c r="AQ360" s="201">
        <f t="shared" si="426"/>
        <v>249964.02</v>
      </c>
      <c r="AR360" s="201">
        <f t="shared" si="427"/>
        <v>249964.02</v>
      </c>
      <c r="AS360" s="201">
        <f t="shared" si="428"/>
        <v>99.985607999999999</v>
      </c>
      <c r="AT360" s="201"/>
      <c r="AU360" s="209">
        <v>249964.02</v>
      </c>
      <c r="AV360" s="201">
        <f t="shared" si="429"/>
        <v>249964.02</v>
      </c>
      <c r="AW360" s="201">
        <f t="shared" si="438"/>
        <v>0</v>
      </c>
      <c r="AX360" s="201">
        <f t="shared" si="430"/>
        <v>99.985607999999999</v>
      </c>
      <c r="AY360" s="208"/>
      <c r="AZ360" s="201">
        <f t="shared" si="431"/>
        <v>0</v>
      </c>
      <c r="BA360" s="201">
        <f t="shared" si="432"/>
        <v>0</v>
      </c>
      <c r="BB360" s="201">
        <f t="shared" si="433"/>
        <v>0</v>
      </c>
      <c r="BC360" s="201"/>
      <c r="BD360" s="209">
        <v>0</v>
      </c>
      <c r="BE360" s="201">
        <f t="shared" si="406"/>
        <v>0</v>
      </c>
      <c r="BF360" s="208"/>
      <c r="BG360" s="201">
        <f t="shared" si="411"/>
        <v>0</v>
      </c>
      <c r="BH360" s="201">
        <f t="shared" si="411"/>
        <v>249964.02</v>
      </c>
      <c r="BI360" s="201">
        <f t="shared" si="434"/>
        <v>249964.02</v>
      </c>
      <c r="BJ360" s="201">
        <f t="shared" si="435"/>
        <v>99.985607999999999</v>
      </c>
      <c r="BK360" s="210">
        <v>0</v>
      </c>
      <c r="BL360" s="210">
        <v>100</v>
      </c>
      <c r="BM360" s="211"/>
      <c r="BN360" s="211"/>
      <c r="BO360" s="212">
        <f t="shared" si="436"/>
        <v>0</v>
      </c>
      <c r="BP360" s="201">
        <f t="shared" si="437"/>
        <v>35.980000000010477</v>
      </c>
      <c r="BQ360" s="201">
        <f t="shared" si="407"/>
        <v>35.980000000010477</v>
      </c>
      <c r="BR360" s="201">
        <f t="shared" si="412"/>
        <v>0</v>
      </c>
      <c r="BS360" s="201">
        <f t="shared" si="412"/>
        <v>35.980000000010477</v>
      </c>
      <c r="BT360" s="201">
        <f t="shared" si="408"/>
        <v>35.980000000010477</v>
      </c>
      <c r="BU360" s="213">
        <f t="shared" si="439"/>
        <v>0</v>
      </c>
      <c r="BV360" s="201"/>
      <c r="BW360" s="201"/>
      <c r="BX360" s="201">
        <f t="shared" si="409"/>
        <v>0</v>
      </c>
      <c r="BY360" s="199">
        <v>0</v>
      </c>
      <c r="BZ360" s="199"/>
      <c r="CA360" s="199"/>
      <c r="CB360" s="199">
        <v>150000</v>
      </c>
      <c r="CC360" s="199">
        <v>100000</v>
      </c>
      <c r="CD360" s="199">
        <v>0</v>
      </c>
      <c r="CE360" s="199">
        <v>0</v>
      </c>
      <c r="CF360" s="199">
        <v>0</v>
      </c>
      <c r="CG360" s="199">
        <v>0</v>
      </c>
      <c r="CH360" s="199">
        <v>0</v>
      </c>
      <c r="CI360" s="199">
        <v>0</v>
      </c>
      <c r="CJ360" s="199"/>
      <c r="CK360" s="214" t="s">
        <v>965</v>
      </c>
      <c r="CL360" s="214" t="s">
        <v>610</v>
      </c>
      <c r="CM360" s="211">
        <v>198</v>
      </c>
      <c r="CN360" s="215"/>
      <c r="CO360" s="215"/>
      <c r="CP360" s="216"/>
      <c r="CQ360" s="217"/>
      <c r="CR360" s="211"/>
      <c r="CS360" s="218"/>
      <c r="CT360" s="218"/>
      <c r="CU360" s="218"/>
      <c r="CV360" s="211"/>
      <c r="CW360" s="211"/>
      <c r="CX360" s="211"/>
      <c r="CY360" s="211"/>
      <c r="CZ360" s="211"/>
      <c r="DA360" s="211"/>
      <c r="DB360" s="211"/>
      <c r="DC360" s="219"/>
      <c r="DD360" s="219"/>
      <c r="DE360" s="219"/>
      <c r="DF360" s="211"/>
      <c r="DG360" s="211"/>
      <c r="DH360" s="211"/>
      <c r="DI360" s="211"/>
      <c r="DJ360" s="211"/>
      <c r="DK360" s="220" t="s">
        <v>32</v>
      </c>
      <c r="DT360" s="222"/>
    </row>
    <row r="361" spans="1:124" s="176" customFormat="1" ht="42" x14ac:dyDescent="0.2">
      <c r="A361" s="225" t="s">
        <v>119</v>
      </c>
      <c r="B361" s="197" t="s">
        <v>966</v>
      </c>
      <c r="C361" s="198">
        <v>1</v>
      </c>
      <c r="D361" s="199">
        <v>1300000</v>
      </c>
      <c r="E361" s="198" t="s">
        <v>372</v>
      </c>
      <c r="F361" s="198" t="s">
        <v>373</v>
      </c>
      <c r="G361" s="198" t="s">
        <v>123</v>
      </c>
      <c r="H361" s="200">
        <v>1</v>
      </c>
      <c r="I361" s="199">
        <f t="shared" si="413"/>
        <v>0</v>
      </c>
      <c r="J361" s="199">
        <f t="shared" si="414"/>
        <v>1300000</v>
      </c>
      <c r="K361" s="199">
        <f t="shared" si="415"/>
        <v>1300000</v>
      </c>
      <c r="L361" s="199"/>
      <c r="M361" s="199">
        <v>1300000</v>
      </c>
      <c r="N361" s="199">
        <f t="shared" si="416"/>
        <v>1300000</v>
      </c>
      <c r="O361" s="199"/>
      <c r="P361" s="201">
        <v>0</v>
      </c>
      <c r="Q361" s="202">
        <v>14</v>
      </c>
      <c r="R361" s="203">
        <v>45566</v>
      </c>
      <c r="S361" s="199"/>
      <c r="T361" s="199">
        <v>1300000</v>
      </c>
      <c r="U361" s="204">
        <f t="shared" si="417"/>
        <v>1300000</v>
      </c>
      <c r="V361" s="205">
        <v>690</v>
      </c>
      <c r="W361" s="200">
        <v>45622</v>
      </c>
      <c r="X361" s="201"/>
      <c r="Y361" s="201">
        <v>-13.2</v>
      </c>
      <c r="Z361" s="201">
        <f t="shared" si="418"/>
        <v>-13.2</v>
      </c>
      <c r="AA361" s="198"/>
      <c r="AB361" s="206"/>
      <c r="AC361" s="207"/>
      <c r="AD361" s="201"/>
      <c r="AE361" s="204">
        <f t="shared" si="419"/>
        <v>0</v>
      </c>
      <c r="AF361" s="203">
        <f t="shared" si="420"/>
        <v>45566</v>
      </c>
      <c r="AG361" s="201">
        <f t="shared" si="421"/>
        <v>0</v>
      </c>
      <c r="AH361" s="201">
        <f t="shared" si="422"/>
        <v>1299986.8</v>
      </c>
      <c r="AI361" s="199">
        <f t="shared" si="423"/>
        <v>1299986.8</v>
      </c>
      <c r="AJ361" s="201">
        <f t="shared" si="410"/>
        <v>0</v>
      </c>
      <c r="AK361" s="201">
        <f t="shared" si="410"/>
        <v>1299986.8</v>
      </c>
      <c r="AL361" s="201">
        <f t="shared" si="424"/>
        <v>1299986.8</v>
      </c>
      <c r="AM361" s="198"/>
      <c r="AN361" s="203"/>
      <c r="AO361" s="208"/>
      <c r="AP361" s="201">
        <f t="shared" si="425"/>
        <v>0</v>
      </c>
      <c r="AQ361" s="201">
        <f t="shared" si="426"/>
        <v>1298596.26</v>
      </c>
      <c r="AR361" s="201">
        <f t="shared" si="427"/>
        <v>1298596.26</v>
      </c>
      <c r="AS361" s="201">
        <f t="shared" si="428"/>
        <v>99.893034298502101</v>
      </c>
      <c r="AT361" s="201"/>
      <c r="AU361" s="209">
        <v>1298596.26</v>
      </c>
      <c r="AV361" s="201">
        <f t="shared" si="429"/>
        <v>1298596.26</v>
      </c>
      <c r="AW361" s="201">
        <f t="shared" si="438"/>
        <v>0</v>
      </c>
      <c r="AX361" s="201">
        <f t="shared" si="430"/>
        <v>99.893034298502101</v>
      </c>
      <c r="AY361" s="208"/>
      <c r="AZ361" s="201">
        <f t="shared" si="431"/>
        <v>0</v>
      </c>
      <c r="BA361" s="201">
        <f t="shared" si="432"/>
        <v>0</v>
      </c>
      <c r="BB361" s="201">
        <f t="shared" si="433"/>
        <v>0</v>
      </c>
      <c r="BC361" s="201"/>
      <c r="BD361" s="209">
        <v>0</v>
      </c>
      <c r="BE361" s="201">
        <f t="shared" si="406"/>
        <v>0</v>
      </c>
      <c r="BF361" s="208"/>
      <c r="BG361" s="201">
        <f t="shared" si="411"/>
        <v>0</v>
      </c>
      <c r="BH361" s="201">
        <f t="shared" si="411"/>
        <v>1298596.26</v>
      </c>
      <c r="BI361" s="201">
        <f t="shared" si="434"/>
        <v>1298596.26</v>
      </c>
      <c r="BJ361" s="201">
        <f t="shared" si="435"/>
        <v>99.893034298502101</v>
      </c>
      <c r="BK361" s="210">
        <v>35</v>
      </c>
      <c r="BL361" s="210">
        <v>100</v>
      </c>
      <c r="BM361" s="211"/>
      <c r="BN361" s="211"/>
      <c r="BO361" s="212">
        <f t="shared" si="436"/>
        <v>0</v>
      </c>
      <c r="BP361" s="201">
        <f t="shared" si="437"/>
        <v>1390.5400000000373</v>
      </c>
      <c r="BQ361" s="201">
        <f t="shared" si="407"/>
        <v>1390.5400000000373</v>
      </c>
      <c r="BR361" s="201">
        <f t="shared" si="412"/>
        <v>0</v>
      </c>
      <c r="BS361" s="201">
        <f t="shared" si="412"/>
        <v>1390.5400000000373</v>
      </c>
      <c r="BT361" s="201">
        <f t="shared" si="408"/>
        <v>1390.5400000000373</v>
      </c>
      <c r="BU361" s="213">
        <f t="shared" si="439"/>
        <v>0</v>
      </c>
      <c r="BV361" s="201">
        <v>13.2</v>
      </c>
      <c r="BW361" s="201"/>
      <c r="BX361" s="201">
        <f t="shared" si="409"/>
        <v>13.2</v>
      </c>
      <c r="BY361" s="199">
        <v>440000</v>
      </c>
      <c r="BZ361" s="199">
        <v>430000</v>
      </c>
      <c r="CA361" s="199">
        <v>430000</v>
      </c>
      <c r="CB361" s="199">
        <v>0</v>
      </c>
      <c r="CC361" s="199">
        <v>0</v>
      </c>
      <c r="CD361" s="199">
        <v>0</v>
      </c>
      <c r="CE361" s="199">
        <v>0</v>
      </c>
      <c r="CF361" s="199">
        <v>0</v>
      </c>
      <c r="CG361" s="199">
        <v>0</v>
      </c>
      <c r="CH361" s="199"/>
      <c r="CI361" s="199"/>
      <c r="CJ361" s="199"/>
      <c r="CK361" s="214" t="s">
        <v>967</v>
      </c>
      <c r="CL361" s="214" t="s">
        <v>610</v>
      </c>
      <c r="CM361" s="211">
        <v>198</v>
      </c>
      <c r="CN361" s="215"/>
      <c r="CO361" s="215"/>
      <c r="CP361" s="216"/>
      <c r="CQ361" s="217"/>
      <c r="CR361" s="211"/>
      <c r="CS361" s="218"/>
      <c r="CT361" s="218"/>
      <c r="CU361" s="218"/>
      <c r="CV361" s="211"/>
      <c r="CW361" s="211"/>
      <c r="CX361" s="211"/>
      <c r="CY361" s="211"/>
      <c r="CZ361" s="211"/>
      <c r="DA361" s="211"/>
      <c r="DB361" s="211"/>
      <c r="DC361" s="219"/>
      <c r="DD361" s="219"/>
      <c r="DE361" s="219"/>
      <c r="DF361" s="211"/>
      <c r="DG361" s="211"/>
      <c r="DH361" s="211"/>
      <c r="DI361" s="211"/>
      <c r="DJ361" s="211"/>
      <c r="DK361" s="220" t="s">
        <v>32</v>
      </c>
      <c r="DT361" s="222"/>
    </row>
    <row r="362" spans="1:124" s="176" customFormat="1" ht="42" x14ac:dyDescent="0.2">
      <c r="A362" s="225" t="s">
        <v>119</v>
      </c>
      <c r="B362" s="197" t="s">
        <v>968</v>
      </c>
      <c r="C362" s="198">
        <v>1</v>
      </c>
      <c r="D362" s="199">
        <v>1900000</v>
      </c>
      <c r="E362" s="198" t="s">
        <v>969</v>
      </c>
      <c r="F362" s="198" t="s">
        <v>416</v>
      </c>
      <c r="G362" s="198" t="s">
        <v>123</v>
      </c>
      <c r="H362" s="200">
        <v>1</v>
      </c>
      <c r="I362" s="199">
        <f t="shared" si="413"/>
        <v>0</v>
      </c>
      <c r="J362" s="199">
        <f t="shared" si="414"/>
        <v>1900000</v>
      </c>
      <c r="K362" s="199">
        <f t="shared" si="415"/>
        <v>1900000</v>
      </c>
      <c r="L362" s="199"/>
      <c r="M362" s="199">
        <v>1900000</v>
      </c>
      <c r="N362" s="199">
        <f t="shared" si="416"/>
        <v>1900000</v>
      </c>
      <c r="O362" s="199"/>
      <c r="P362" s="201">
        <v>0</v>
      </c>
      <c r="Q362" s="202">
        <v>14</v>
      </c>
      <c r="R362" s="203">
        <v>45566</v>
      </c>
      <c r="S362" s="199"/>
      <c r="T362" s="199">
        <v>1900000</v>
      </c>
      <c r="U362" s="204">
        <f t="shared" si="417"/>
        <v>1900000</v>
      </c>
      <c r="V362" s="205">
        <v>690</v>
      </c>
      <c r="W362" s="200">
        <v>45622</v>
      </c>
      <c r="X362" s="201"/>
      <c r="Y362" s="201">
        <v>-0.37</v>
      </c>
      <c r="Z362" s="201">
        <f t="shared" si="418"/>
        <v>-0.37</v>
      </c>
      <c r="AA362" s="198"/>
      <c r="AB362" s="206"/>
      <c r="AC362" s="207"/>
      <c r="AD362" s="201"/>
      <c r="AE362" s="204">
        <f t="shared" si="419"/>
        <v>0</v>
      </c>
      <c r="AF362" s="203">
        <f t="shared" si="420"/>
        <v>45566</v>
      </c>
      <c r="AG362" s="201">
        <f t="shared" si="421"/>
        <v>0</v>
      </c>
      <c r="AH362" s="201">
        <f t="shared" si="422"/>
        <v>1899999.63</v>
      </c>
      <c r="AI362" s="199">
        <f t="shared" si="423"/>
        <v>1899999.63</v>
      </c>
      <c r="AJ362" s="201">
        <f t="shared" ref="AJ362:AK388" si="440">+S362+X362+AC362</f>
        <v>0</v>
      </c>
      <c r="AK362" s="201">
        <f t="shared" si="440"/>
        <v>1899999.63</v>
      </c>
      <c r="AL362" s="201">
        <f t="shared" si="424"/>
        <v>1899999.63</v>
      </c>
      <c r="AM362" s="198"/>
      <c r="AN362" s="203"/>
      <c r="AO362" s="208"/>
      <c r="AP362" s="201">
        <f t="shared" si="425"/>
        <v>0</v>
      </c>
      <c r="AQ362" s="201">
        <f t="shared" si="426"/>
        <v>1899895.63</v>
      </c>
      <c r="AR362" s="201">
        <f t="shared" si="427"/>
        <v>1899895.63</v>
      </c>
      <c r="AS362" s="201">
        <f t="shared" si="428"/>
        <v>99.994526314723558</v>
      </c>
      <c r="AT362" s="201"/>
      <c r="AU362" s="209">
        <v>1899895.63</v>
      </c>
      <c r="AV362" s="201">
        <f t="shared" si="429"/>
        <v>1899895.63</v>
      </c>
      <c r="AW362" s="201">
        <f t="shared" si="438"/>
        <v>0</v>
      </c>
      <c r="AX362" s="201">
        <f t="shared" si="430"/>
        <v>99.994526314723558</v>
      </c>
      <c r="AY362" s="208"/>
      <c r="AZ362" s="201">
        <f t="shared" si="431"/>
        <v>0</v>
      </c>
      <c r="BA362" s="201">
        <f t="shared" si="432"/>
        <v>0</v>
      </c>
      <c r="BB362" s="201">
        <f t="shared" si="433"/>
        <v>0</v>
      </c>
      <c r="BC362" s="201"/>
      <c r="BD362" s="209">
        <v>0</v>
      </c>
      <c r="BE362" s="201">
        <f t="shared" si="406"/>
        <v>0</v>
      </c>
      <c r="BF362" s="208"/>
      <c r="BG362" s="201">
        <f t="shared" si="411"/>
        <v>0</v>
      </c>
      <c r="BH362" s="201">
        <f t="shared" si="411"/>
        <v>1899895.63</v>
      </c>
      <c r="BI362" s="201">
        <f t="shared" si="434"/>
        <v>1899895.63</v>
      </c>
      <c r="BJ362" s="201">
        <f t="shared" si="435"/>
        <v>99.994526314723558</v>
      </c>
      <c r="BK362" s="210">
        <v>0</v>
      </c>
      <c r="BL362" s="210">
        <v>70</v>
      </c>
      <c r="BM362" s="211"/>
      <c r="BN362" s="211"/>
      <c r="BO362" s="212">
        <f t="shared" si="436"/>
        <v>0</v>
      </c>
      <c r="BP362" s="201">
        <f t="shared" si="437"/>
        <v>104</v>
      </c>
      <c r="BQ362" s="201">
        <f t="shared" si="407"/>
        <v>104</v>
      </c>
      <c r="BR362" s="201">
        <f t="shared" si="412"/>
        <v>0</v>
      </c>
      <c r="BS362" s="201">
        <f t="shared" si="412"/>
        <v>104</v>
      </c>
      <c r="BT362" s="201">
        <f t="shared" si="408"/>
        <v>104</v>
      </c>
      <c r="BU362" s="213">
        <f t="shared" si="439"/>
        <v>0</v>
      </c>
      <c r="BV362" s="201">
        <v>0.37</v>
      </c>
      <c r="BW362" s="201"/>
      <c r="BX362" s="201">
        <f t="shared" si="409"/>
        <v>0.37</v>
      </c>
      <c r="BY362" s="199"/>
      <c r="BZ362" s="199">
        <v>316700</v>
      </c>
      <c r="CA362" s="199">
        <v>316700</v>
      </c>
      <c r="CB362" s="199">
        <v>316700</v>
      </c>
      <c r="CC362" s="199">
        <v>316700</v>
      </c>
      <c r="CD362" s="199">
        <v>316600</v>
      </c>
      <c r="CE362" s="199">
        <v>316600</v>
      </c>
      <c r="CF362" s="199"/>
      <c r="CG362" s="199"/>
      <c r="CH362" s="199"/>
      <c r="CI362" s="199"/>
      <c r="CJ362" s="199"/>
      <c r="CK362" s="214" t="s">
        <v>970</v>
      </c>
      <c r="CL362" s="214" t="s">
        <v>610</v>
      </c>
      <c r="CM362" s="211">
        <v>198</v>
      </c>
      <c r="CN362" s="215"/>
      <c r="CO362" s="215"/>
      <c r="CP362" s="216"/>
      <c r="CQ362" s="217"/>
      <c r="CR362" s="211"/>
      <c r="CS362" s="218"/>
      <c r="CT362" s="218"/>
      <c r="CU362" s="218"/>
      <c r="CV362" s="211"/>
      <c r="CW362" s="211"/>
      <c r="CX362" s="211"/>
      <c r="CY362" s="211"/>
      <c r="CZ362" s="211"/>
      <c r="DA362" s="211"/>
      <c r="DB362" s="211"/>
      <c r="DC362" s="219"/>
      <c r="DD362" s="219"/>
      <c r="DE362" s="219"/>
      <c r="DF362" s="211"/>
      <c r="DG362" s="211"/>
      <c r="DH362" s="211"/>
      <c r="DI362" s="211"/>
      <c r="DJ362" s="211"/>
      <c r="DK362" s="220" t="s">
        <v>32</v>
      </c>
      <c r="DT362" s="222"/>
    </row>
    <row r="363" spans="1:124" s="176" customFormat="1" ht="42" x14ac:dyDescent="0.2">
      <c r="A363" s="225" t="s">
        <v>119</v>
      </c>
      <c r="B363" s="197" t="s">
        <v>971</v>
      </c>
      <c r="C363" s="198">
        <v>1</v>
      </c>
      <c r="D363" s="199">
        <v>350000</v>
      </c>
      <c r="E363" s="198" t="s">
        <v>972</v>
      </c>
      <c r="F363" s="198" t="s">
        <v>191</v>
      </c>
      <c r="G363" s="198" t="s">
        <v>123</v>
      </c>
      <c r="H363" s="200">
        <v>1</v>
      </c>
      <c r="I363" s="199">
        <f t="shared" si="413"/>
        <v>0</v>
      </c>
      <c r="J363" s="199">
        <f t="shared" si="414"/>
        <v>350000</v>
      </c>
      <c r="K363" s="199">
        <f t="shared" si="415"/>
        <v>350000</v>
      </c>
      <c r="L363" s="199"/>
      <c r="M363" s="199">
        <v>350000</v>
      </c>
      <c r="N363" s="199">
        <f t="shared" si="416"/>
        <v>350000</v>
      </c>
      <c r="O363" s="199"/>
      <c r="P363" s="201">
        <v>0</v>
      </c>
      <c r="Q363" s="202">
        <v>14</v>
      </c>
      <c r="R363" s="203">
        <v>45566</v>
      </c>
      <c r="S363" s="199"/>
      <c r="T363" s="199">
        <v>350000</v>
      </c>
      <c r="U363" s="204">
        <f t="shared" si="417"/>
        <v>350000</v>
      </c>
      <c r="V363" s="205"/>
      <c r="W363" s="200"/>
      <c r="X363" s="201"/>
      <c r="Y363" s="201"/>
      <c r="Z363" s="201">
        <f t="shared" si="418"/>
        <v>0</v>
      </c>
      <c r="AA363" s="198"/>
      <c r="AB363" s="206"/>
      <c r="AC363" s="207"/>
      <c r="AD363" s="201"/>
      <c r="AE363" s="204">
        <f t="shared" si="419"/>
        <v>0</v>
      </c>
      <c r="AF363" s="203">
        <f t="shared" si="420"/>
        <v>45566</v>
      </c>
      <c r="AG363" s="201">
        <f t="shared" si="421"/>
        <v>0</v>
      </c>
      <c r="AH363" s="201">
        <f t="shared" si="422"/>
        <v>350000</v>
      </c>
      <c r="AI363" s="199">
        <f t="shared" si="423"/>
        <v>350000</v>
      </c>
      <c r="AJ363" s="201">
        <f t="shared" si="440"/>
        <v>0</v>
      </c>
      <c r="AK363" s="201">
        <f t="shared" si="440"/>
        <v>350000</v>
      </c>
      <c r="AL363" s="201">
        <f t="shared" si="424"/>
        <v>350000</v>
      </c>
      <c r="AM363" s="198"/>
      <c r="AN363" s="203"/>
      <c r="AO363" s="208"/>
      <c r="AP363" s="201">
        <f t="shared" si="425"/>
        <v>0</v>
      </c>
      <c r="AQ363" s="201">
        <f t="shared" si="426"/>
        <v>349823.83</v>
      </c>
      <c r="AR363" s="201">
        <f t="shared" si="427"/>
        <v>349823.83</v>
      </c>
      <c r="AS363" s="201">
        <f t="shared" si="428"/>
        <v>99.949665714285715</v>
      </c>
      <c r="AT363" s="201"/>
      <c r="AU363" s="209">
        <v>349823.83</v>
      </c>
      <c r="AV363" s="201">
        <f t="shared" si="429"/>
        <v>349823.83</v>
      </c>
      <c r="AW363" s="201">
        <f t="shared" si="438"/>
        <v>0</v>
      </c>
      <c r="AX363" s="201">
        <f t="shared" si="430"/>
        <v>99.949665714285715</v>
      </c>
      <c r="AY363" s="208"/>
      <c r="AZ363" s="201">
        <f t="shared" si="431"/>
        <v>0</v>
      </c>
      <c r="BA363" s="201">
        <f t="shared" si="432"/>
        <v>0</v>
      </c>
      <c r="BB363" s="201">
        <f t="shared" si="433"/>
        <v>0</v>
      </c>
      <c r="BC363" s="201"/>
      <c r="BD363" s="209">
        <v>0</v>
      </c>
      <c r="BE363" s="201">
        <f t="shared" si="406"/>
        <v>0</v>
      </c>
      <c r="BF363" s="208"/>
      <c r="BG363" s="201">
        <f t="shared" si="411"/>
        <v>0</v>
      </c>
      <c r="BH363" s="201">
        <f t="shared" si="411"/>
        <v>349823.83</v>
      </c>
      <c r="BI363" s="201">
        <f t="shared" si="434"/>
        <v>349823.83</v>
      </c>
      <c r="BJ363" s="201">
        <f t="shared" si="435"/>
        <v>99.949665714285715</v>
      </c>
      <c r="BK363" s="210">
        <v>0</v>
      </c>
      <c r="BL363" s="210">
        <v>100</v>
      </c>
      <c r="BM363" s="211"/>
      <c r="BN363" s="211"/>
      <c r="BO363" s="212">
        <f t="shared" si="436"/>
        <v>0</v>
      </c>
      <c r="BP363" s="201">
        <f t="shared" si="437"/>
        <v>176.1699999999837</v>
      </c>
      <c r="BQ363" s="201">
        <f t="shared" si="407"/>
        <v>176.1699999999837</v>
      </c>
      <c r="BR363" s="201">
        <f t="shared" si="412"/>
        <v>0</v>
      </c>
      <c r="BS363" s="201">
        <f t="shared" si="412"/>
        <v>176.1699999999837</v>
      </c>
      <c r="BT363" s="201">
        <f t="shared" si="408"/>
        <v>176.1699999999837</v>
      </c>
      <c r="BU363" s="213">
        <f t="shared" si="439"/>
        <v>0</v>
      </c>
      <c r="BV363" s="201"/>
      <c r="BW363" s="201"/>
      <c r="BX363" s="201">
        <f t="shared" si="409"/>
        <v>0</v>
      </c>
      <c r="BY363" s="199">
        <v>0</v>
      </c>
      <c r="BZ363" s="199"/>
      <c r="CA363" s="199"/>
      <c r="CB363" s="199">
        <v>116700</v>
      </c>
      <c r="CC363" s="199">
        <v>116700</v>
      </c>
      <c r="CD363" s="199">
        <v>116600</v>
      </c>
      <c r="CE363" s="199"/>
      <c r="CF363" s="199"/>
      <c r="CG363" s="199"/>
      <c r="CH363" s="199"/>
      <c r="CI363" s="199"/>
      <c r="CJ363" s="199"/>
      <c r="CK363" s="214" t="s">
        <v>973</v>
      </c>
      <c r="CL363" s="214" t="s">
        <v>610</v>
      </c>
      <c r="CM363" s="211">
        <v>198</v>
      </c>
      <c r="CN363" s="215"/>
      <c r="CO363" s="215"/>
      <c r="CP363" s="216"/>
      <c r="CQ363" s="217"/>
      <c r="CR363" s="211"/>
      <c r="CS363" s="218"/>
      <c r="CT363" s="218"/>
      <c r="CU363" s="218"/>
      <c r="CV363" s="211"/>
      <c r="CW363" s="211"/>
      <c r="CX363" s="211"/>
      <c r="CY363" s="211"/>
      <c r="CZ363" s="211"/>
      <c r="DA363" s="211"/>
      <c r="DB363" s="211"/>
      <c r="DC363" s="219"/>
      <c r="DD363" s="219"/>
      <c r="DE363" s="219"/>
      <c r="DF363" s="211"/>
      <c r="DG363" s="211"/>
      <c r="DH363" s="211"/>
      <c r="DI363" s="211"/>
      <c r="DJ363" s="211"/>
      <c r="DK363" s="220" t="s">
        <v>32</v>
      </c>
      <c r="DT363" s="222"/>
    </row>
    <row r="364" spans="1:124" s="176" customFormat="1" ht="42" x14ac:dyDescent="0.2">
      <c r="A364" s="225" t="s">
        <v>119</v>
      </c>
      <c r="B364" s="197" t="s">
        <v>974</v>
      </c>
      <c r="C364" s="198">
        <v>1</v>
      </c>
      <c r="D364" s="199">
        <v>300000</v>
      </c>
      <c r="E364" s="198" t="s">
        <v>972</v>
      </c>
      <c r="F364" s="198" t="s">
        <v>191</v>
      </c>
      <c r="G364" s="198" t="s">
        <v>123</v>
      </c>
      <c r="H364" s="200">
        <v>1</v>
      </c>
      <c r="I364" s="199">
        <f t="shared" si="413"/>
        <v>0</v>
      </c>
      <c r="J364" s="199">
        <f t="shared" si="414"/>
        <v>300000</v>
      </c>
      <c r="K364" s="199">
        <f t="shared" si="415"/>
        <v>300000</v>
      </c>
      <c r="L364" s="199"/>
      <c r="M364" s="199">
        <v>300000</v>
      </c>
      <c r="N364" s="199">
        <f t="shared" si="416"/>
        <v>300000</v>
      </c>
      <c r="O364" s="199"/>
      <c r="P364" s="201">
        <v>0</v>
      </c>
      <c r="Q364" s="202">
        <v>14</v>
      </c>
      <c r="R364" s="203">
        <v>45566</v>
      </c>
      <c r="S364" s="199"/>
      <c r="T364" s="199">
        <v>300000</v>
      </c>
      <c r="U364" s="204">
        <f t="shared" si="417"/>
        <v>300000</v>
      </c>
      <c r="V364" s="205"/>
      <c r="W364" s="200"/>
      <c r="X364" s="201"/>
      <c r="Y364" s="201"/>
      <c r="Z364" s="201">
        <f t="shared" si="418"/>
        <v>0</v>
      </c>
      <c r="AA364" s="198"/>
      <c r="AB364" s="206"/>
      <c r="AC364" s="207"/>
      <c r="AD364" s="201"/>
      <c r="AE364" s="204">
        <f t="shared" si="419"/>
        <v>0</v>
      </c>
      <c r="AF364" s="203">
        <f t="shared" si="420"/>
        <v>45566</v>
      </c>
      <c r="AG364" s="201">
        <f t="shared" si="421"/>
        <v>0</v>
      </c>
      <c r="AH364" s="201">
        <f t="shared" si="422"/>
        <v>300000</v>
      </c>
      <c r="AI364" s="199">
        <f t="shared" si="423"/>
        <v>300000</v>
      </c>
      <c r="AJ364" s="201">
        <f t="shared" si="440"/>
        <v>0</v>
      </c>
      <c r="AK364" s="201">
        <f t="shared" si="440"/>
        <v>300000</v>
      </c>
      <c r="AL364" s="201">
        <f t="shared" si="424"/>
        <v>300000</v>
      </c>
      <c r="AM364" s="198"/>
      <c r="AN364" s="203"/>
      <c r="AO364" s="208"/>
      <c r="AP364" s="201">
        <f t="shared" si="425"/>
        <v>0</v>
      </c>
      <c r="AQ364" s="201">
        <f t="shared" si="426"/>
        <v>299791.35999999999</v>
      </c>
      <c r="AR364" s="201">
        <f t="shared" si="427"/>
        <v>299791.35999999999</v>
      </c>
      <c r="AS364" s="201">
        <f t="shared" si="428"/>
        <v>99.930453333333332</v>
      </c>
      <c r="AT364" s="201"/>
      <c r="AU364" s="209">
        <v>299791.35999999999</v>
      </c>
      <c r="AV364" s="201">
        <f t="shared" si="429"/>
        <v>299791.35999999999</v>
      </c>
      <c r="AW364" s="201">
        <f t="shared" si="438"/>
        <v>0</v>
      </c>
      <c r="AX364" s="201">
        <f t="shared" si="430"/>
        <v>99.930453333333332</v>
      </c>
      <c r="AY364" s="208"/>
      <c r="AZ364" s="201">
        <f t="shared" si="431"/>
        <v>0</v>
      </c>
      <c r="BA364" s="201">
        <f t="shared" si="432"/>
        <v>0</v>
      </c>
      <c r="BB364" s="201">
        <f t="shared" si="433"/>
        <v>0</v>
      </c>
      <c r="BC364" s="201"/>
      <c r="BD364" s="209">
        <v>0</v>
      </c>
      <c r="BE364" s="201">
        <f t="shared" si="406"/>
        <v>0</v>
      </c>
      <c r="BF364" s="208"/>
      <c r="BG364" s="201">
        <f t="shared" si="411"/>
        <v>0</v>
      </c>
      <c r="BH364" s="201">
        <f t="shared" si="411"/>
        <v>299791.35999999999</v>
      </c>
      <c r="BI364" s="201">
        <f t="shared" si="434"/>
        <v>299791.35999999999</v>
      </c>
      <c r="BJ364" s="201">
        <f t="shared" si="435"/>
        <v>99.930453333333332</v>
      </c>
      <c r="BK364" s="210">
        <v>0</v>
      </c>
      <c r="BL364" s="210">
        <v>100</v>
      </c>
      <c r="BM364" s="211"/>
      <c r="BN364" s="211"/>
      <c r="BO364" s="212">
        <f t="shared" si="436"/>
        <v>0</v>
      </c>
      <c r="BP364" s="201">
        <f t="shared" si="437"/>
        <v>208.64000000001397</v>
      </c>
      <c r="BQ364" s="201">
        <f t="shared" si="407"/>
        <v>208.64000000001397</v>
      </c>
      <c r="BR364" s="201">
        <f t="shared" si="412"/>
        <v>0</v>
      </c>
      <c r="BS364" s="201">
        <f t="shared" si="412"/>
        <v>208.64000000001397</v>
      </c>
      <c r="BT364" s="201">
        <f t="shared" si="408"/>
        <v>208.64000000001397</v>
      </c>
      <c r="BU364" s="213">
        <f t="shared" si="439"/>
        <v>0</v>
      </c>
      <c r="BV364" s="201"/>
      <c r="BW364" s="201"/>
      <c r="BX364" s="201">
        <f t="shared" si="409"/>
        <v>0</v>
      </c>
      <c r="BY364" s="199">
        <v>0</v>
      </c>
      <c r="BZ364" s="199"/>
      <c r="CA364" s="199"/>
      <c r="CB364" s="199">
        <v>100000</v>
      </c>
      <c r="CC364" s="199">
        <v>100000</v>
      </c>
      <c r="CD364" s="199">
        <v>100000</v>
      </c>
      <c r="CE364" s="199"/>
      <c r="CF364" s="199"/>
      <c r="CG364" s="199"/>
      <c r="CH364" s="199"/>
      <c r="CI364" s="199"/>
      <c r="CJ364" s="199"/>
      <c r="CK364" s="214" t="s">
        <v>975</v>
      </c>
      <c r="CL364" s="214" t="s">
        <v>610</v>
      </c>
      <c r="CM364" s="211">
        <v>198</v>
      </c>
      <c r="CN364" s="215"/>
      <c r="CO364" s="215"/>
      <c r="CP364" s="216"/>
      <c r="CQ364" s="217"/>
      <c r="CR364" s="211"/>
      <c r="CS364" s="218"/>
      <c r="CT364" s="218"/>
      <c r="CU364" s="218"/>
      <c r="CV364" s="211"/>
      <c r="CW364" s="211"/>
      <c r="CX364" s="211"/>
      <c r="CY364" s="211"/>
      <c r="CZ364" s="211"/>
      <c r="DA364" s="211"/>
      <c r="DB364" s="211"/>
      <c r="DC364" s="219"/>
      <c r="DD364" s="219"/>
      <c r="DE364" s="219"/>
      <c r="DF364" s="211"/>
      <c r="DG364" s="211"/>
      <c r="DH364" s="211"/>
      <c r="DI364" s="211"/>
      <c r="DJ364" s="211"/>
      <c r="DK364" s="220" t="s">
        <v>32</v>
      </c>
      <c r="DT364" s="222"/>
    </row>
    <row r="365" spans="1:124" s="176" customFormat="1" ht="42" x14ac:dyDescent="0.2">
      <c r="A365" s="225" t="s">
        <v>119</v>
      </c>
      <c r="B365" s="197" t="s">
        <v>976</v>
      </c>
      <c r="C365" s="198">
        <v>1</v>
      </c>
      <c r="D365" s="199">
        <v>800000</v>
      </c>
      <c r="E365" s="198" t="s">
        <v>130</v>
      </c>
      <c r="F365" s="198" t="s">
        <v>127</v>
      </c>
      <c r="G365" s="198" t="s">
        <v>123</v>
      </c>
      <c r="H365" s="200">
        <v>1</v>
      </c>
      <c r="I365" s="199">
        <f t="shared" si="413"/>
        <v>0</v>
      </c>
      <c r="J365" s="199">
        <f t="shared" si="414"/>
        <v>800000</v>
      </c>
      <c r="K365" s="199">
        <f t="shared" si="415"/>
        <v>800000</v>
      </c>
      <c r="L365" s="199"/>
      <c r="M365" s="199">
        <v>800000</v>
      </c>
      <c r="N365" s="199">
        <f t="shared" si="416"/>
        <v>800000</v>
      </c>
      <c r="O365" s="199"/>
      <c r="P365" s="201">
        <v>0</v>
      </c>
      <c r="Q365" s="202">
        <v>14</v>
      </c>
      <c r="R365" s="203">
        <v>45566</v>
      </c>
      <c r="S365" s="199"/>
      <c r="T365" s="199">
        <v>800000</v>
      </c>
      <c r="U365" s="204">
        <f t="shared" si="417"/>
        <v>800000</v>
      </c>
      <c r="V365" s="205"/>
      <c r="W365" s="200"/>
      <c r="X365" s="201"/>
      <c r="Y365" s="201"/>
      <c r="Z365" s="201">
        <f t="shared" si="418"/>
        <v>0</v>
      </c>
      <c r="AA365" s="198"/>
      <c r="AB365" s="206"/>
      <c r="AC365" s="207"/>
      <c r="AD365" s="201"/>
      <c r="AE365" s="204">
        <f t="shared" si="419"/>
        <v>0</v>
      </c>
      <c r="AF365" s="203">
        <f t="shared" si="420"/>
        <v>45566</v>
      </c>
      <c r="AG365" s="201">
        <f t="shared" si="421"/>
        <v>0</v>
      </c>
      <c r="AH365" s="201">
        <f t="shared" si="422"/>
        <v>800000</v>
      </c>
      <c r="AI365" s="199">
        <f t="shared" si="423"/>
        <v>800000</v>
      </c>
      <c r="AJ365" s="201">
        <f t="shared" si="440"/>
        <v>0</v>
      </c>
      <c r="AK365" s="201">
        <f t="shared" si="440"/>
        <v>800000</v>
      </c>
      <c r="AL365" s="201">
        <f t="shared" si="424"/>
        <v>800000</v>
      </c>
      <c r="AM365" s="198"/>
      <c r="AN365" s="203"/>
      <c r="AO365" s="208"/>
      <c r="AP365" s="201">
        <f t="shared" si="425"/>
        <v>0</v>
      </c>
      <c r="AQ365" s="201">
        <f t="shared" si="426"/>
        <v>786402.34</v>
      </c>
      <c r="AR365" s="201">
        <f t="shared" si="427"/>
        <v>786402.34</v>
      </c>
      <c r="AS365" s="201">
        <f t="shared" si="428"/>
        <v>98.300292499999998</v>
      </c>
      <c r="AT365" s="201"/>
      <c r="AU365" s="209">
        <v>786402.34</v>
      </c>
      <c r="AV365" s="201">
        <f t="shared" si="429"/>
        <v>786402.34</v>
      </c>
      <c r="AW365" s="201">
        <f t="shared" si="438"/>
        <v>0</v>
      </c>
      <c r="AX365" s="201">
        <f t="shared" si="430"/>
        <v>98.300292499999998</v>
      </c>
      <c r="AY365" s="208"/>
      <c r="AZ365" s="201">
        <f t="shared" si="431"/>
        <v>0</v>
      </c>
      <c r="BA365" s="201">
        <f t="shared" si="432"/>
        <v>0</v>
      </c>
      <c r="BB365" s="201">
        <f t="shared" si="433"/>
        <v>0</v>
      </c>
      <c r="BC365" s="201"/>
      <c r="BD365" s="209">
        <v>0</v>
      </c>
      <c r="BE365" s="201">
        <f t="shared" si="406"/>
        <v>0</v>
      </c>
      <c r="BF365" s="208"/>
      <c r="BG365" s="201">
        <f t="shared" si="411"/>
        <v>0</v>
      </c>
      <c r="BH365" s="201">
        <f t="shared" si="411"/>
        <v>786402.34</v>
      </c>
      <c r="BI365" s="201">
        <f t="shared" si="434"/>
        <v>786402.34</v>
      </c>
      <c r="BJ365" s="201">
        <f t="shared" si="435"/>
        <v>98.300292499999998</v>
      </c>
      <c r="BK365" s="210">
        <v>0</v>
      </c>
      <c r="BL365" s="210">
        <v>80</v>
      </c>
      <c r="BM365" s="211"/>
      <c r="BN365" s="211"/>
      <c r="BO365" s="212">
        <f t="shared" si="436"/>
        <v>0</v>
      </c>
      <c r="BP365" s="201">
        <f t="shared" si="437"/>
        <v>13597.660000000033</v>
      </c>
      <c r="BQ365" s="201">
        <f t="shared" si="407"/>
        <v>13597.660000000033</v>
      </c>
      <c r="BR365" s="201">
        <f t="shared" si="412"/>
        <v>0</v>
      </c>
      <c r="BS365" s="201">
        <f t="shared" si="412"/>
        <v>13597.660000000033</v>
      </c>
      <c r="BT365" s="201">
        <f t="shared" si="408"/>
        <v>13597.660000000033</v>
      </c>
      <c r="BU365" s="213">
        <f t="shared" si="439"/>
        <v>0</v>
      </c>
      <c r="BV365" s="201"/>
      <c r="BW365" s="201"/>
      <c r="BX365" s="201">
        <f t="shared" si="409"/>
        <v>0</v>
      </c>
      <c r="BY365" s="199">
        <v>0</v>
      </c>
      <c r="BZ365" s="199"/>
      <c r="CA365" s="199"/>
      <c r="CB365" s="199"/>
      <c r="CC365" s="199">
        <v>320000</v>
      </c>
      <c r="CD365" s="199">
        <v>320000</v>
      </c>
      <c r="CE365" s="199">
        <v>160000</v>
      </c>
      <c r="CF365" s="199">
        <v>0</v>
      </c>
      <c r="CG365" s="199">
        <v>0</v>
      </c>
      <c r="CH365" s="199"/>
      <c r="CI365" s="199"/>
      <c r="CJ365" s="199"/>
      <c r="CK365" s="214" t="s">
        <v>977</v>
      </c>
      <c r="CL365" s="214" t="s">
        <v>610</v>
      </c>
      <c r="CM365" s="211">
        <v>198</v>
      </c>
      <c r="CN365" s="215"/>
      <c r="CO365" s="215"/>
      <c r="CP365" s="216"/>
      <c r="CQ365" s="217"/>
      <c r="CR365" s="211"/>
      <c r="CS365" s="218"/>
      <c r="CT365" s="218"/>
      <c r="CU365" s="218"/>
      <c r="CV365" s="211"/>
      <c r="CW365" s="211"/>
      <c r="CX365" s="211"/>
      <c r="CY365" s="211"/>
      <c r="CZ365" s="211"/>
      <c r="DA365" s="211"/>
      <c r="DB365" s="211"/>
      <c r="DC365" s="219"/>
      <c r="DD365" s="219"/>
      <c r="DE365" s="219"/>
      <c r="DF365" s="211"/>
      <c r="DG365" s="211"/>
      <c r="DH365" s="211"/>
      <c r="DI365" s="211"/>
      <c r="DJ365" s="211"/>
      <c r="DK365" s="220" t="s">
        <v>32</v>
      </c>
      <c r="DT365" s="222"/>
    </row>
    <row r="366" spans="1:124" s="176" customFormat="1" ht="42" x14ac:dyDescent="0.2">
      <c r="A366" s="225" t="s">
        <v>119</v>
      </c>
      <c r="B366" s="197" t="s">
        <v>978</v>
      </c>
      <c r="C366" s="198">
        <v>1</v>
      </c>
      <c r="D366" s="199">
        <v>940000</v>
      </c>
      <c r="E366" s="198" t="s">
        <v>133</v>
      </c>
      <c r="F366" s="198" t="s">
        <v>134</v>
      </c>
      <c r="G366" s="198" t="s">
        <v>123</v>
      </c>
      <c r="H366" s="200">
        <v>1</v>
      </c>
      <c r="I366" s="199">
        <f t="shared" si="413"/>
        <v>0</v>
      </c>
      <c r="J366" s="199">
        <f t="shared" si="414"/>
        <v>940000</v>
      </c>
      <c r="K366" s="199">
        <f t="shared" si="415"/>
        <v>940000</v>
      </c>
      <c r="L366" s="199"/>
      <c r="M366" s="199">
        <v>940000</v>
      </c>
      <c r="N366" s="199">
        <f t="shared" si="416"/>
        <v>940000</v>
      </c>
      <c r="O366" s="199"/>
      <c r="P366" s="201">
        <v>0</v>
      </c>
      <c r="Q366" s="202">
        <v>14</v>
      </c>
      <c r="R366" s="203">
        <v>45566</v>
      </c>
      <c r="S366" s="199"/>
      <c r="T366" s="199">
        <v>940000</v>
      </c>
      <c r="U366" s="204">
        <f t="shared" si="417"/>
        <v>940000</v>
      </c>
      <c r="V366" s="205"/>
      <c r="W366" s="200"/>
      <c r="X366" s="201"/>
      <c r="Y366" s="201"/>
      <c r="Z366" s="201">
        <f t="shared" si="418"/>
        <v>0</v>
      </c>
      <c r="AA366" s="198"/>
      <c r="AB366" s="206"/>
      <c r="AC366" s="207"/>
      <c r="AD366" s="201"/>
      <c r="AE366" s="204">
        <f t="shared" si="419"/>
        <v>0</v>
      </c>
      <c r="AF366" s="203">
        <f t="shared" si="420"/>
        <v>45566</v>
      </c>
      <c r="AG366" s="201">
        <f t="shared" si="421"/>
        <v>0</v>
      </c>
      <c r="AH366" s="201">
        <f t="shared" si="422"/>
        <v>940000</v>
      </c>
      <c r="AI366" s="199">
        <f t="shared" si="423"/>
        <v>940000</v>
      </c>
      <c r="AJ366" s="201">
        <f t="shared" si="440"/>
        <v>0</v>
      </c>
      <c r="AK366" s="201">
        <f t="shared" si="440"/>
        <v>940000</v>
      </c>
      <c r="AL366" s="201">
        <f t="shared" si="424"/>
        <v>940000</v>
      </c>
      <c r="AM366" s="198"/>
      <c r="AN366" s="203"/>
      <c r="AO366" s="208"/>
      <c r="AP366" s="201">
        <f t="shared" si="425"/>
        <v>0</v>
      </c>
      <c r="AQ366" s="201">
        <f t="shared" si="426"/>
        <v>937406.79</v>
      </c>
      <c r="AR366" s="201">
        <f t="shared" si="427"/>
        <v>937406.79</v>
      </c>
      <c r="AS366" s="201">
        <f t="shared" si="428"/>
        <v>99.724126595744679</v>
      </c>
      <c r="AT366" s="201"/>
      <c r="AU366" s="209">
        <v>937406.79</v>
      </c>
      <c r="AV366" s="201">
        <f t="shared" si="429"/>
        <v>937406.79</v>
      </c>
      <c r="AW366" s="201">
        <f t="shared" si="438"/>
        <v>0</v>
      </c>
      <c r="AX366" s="201">
        <f t="shared" si="430"/>
        <v>99.724126595744679</v>
      </c>
      <c r="AY366" s="208"/>
      <c r="AZ366" s="201">
        <f t="shared" si="431"/>
        <v>0</v>
      </c>
      <c r="BA366" s="201">
        <f t="shared" si="432"/>
        <v>0</v>
      </c>
      <c r="BB366" s="201">
        <f t="shared" si="433"/>
        <v>0</v>
      </c>
      <c r="BC366" s="201"/>
      <c r="BD366" s="209">
        <v>0</v>
      </c>
      <c r="BE366" s="201">
        <f t="shared" si="406"/>
        <v>0</v>
      </c>
      <c r="BF366" s="208"/>
      <c r="BG366" s="201">
        <f t="shared" si="411"/>
        <v>0</v>
      </c>
      <c r="BH366" s="201">
        <f t="shared" si="411"/>
        <v>937406.79</v>
      </c>
      <c r="BI366" s="201">
        <f t="shared" si="434"/>
        <v>937406.79</v>
      </c>
      <c r="BJ366" s="201">
        <f t="shared" si="435"/>
        <v>99.724126595744679</v>
      </c>
      <c r="BK366" s="210">
        <v>35</v>
      </c>
      <c r="BL366" s="210">
        <v>100</v>
      </c>
      <c r="BM366" s="211"/>
      <c r="BN366" s="211"/>
      <c r="BO366" s="212">
        <f t="shared" si="436"/>
        <v>0</v>
      </c>
      <c r="BP366" s="201">
        <f t="shared" si="437"/>
        <v>2593.2099999999627</v>
      </c>
      <c r="BQ366" s="201">
        <f t="shared" si="407"/>
        <v>2593.2099999999627</v>
      </c>
      <c r="BR366" s="201">
        <f t="shared" si="412"/>
        <v>0</v>
      </c>
      <c r="BS366" s="201">
        <f t="shared" si="412"/>
        <v>2593.2099999999627</v>
      </c>
      <c r="BT366" s="201">
        <f t="shared" si="408"/>
        <v>2593.2099999999627</v>
      </c>
      <c r="BU366" s="213">
        <f t="shared" si="439"/>
        <v>0</v>
      </c>
      <c r="BV366" s="201"/>
      <c r="BW366" s="201"/>
      <c r="BX366" s="201">
        <f t="shared" si="409"/>
        <v>0</v>
      </c>
      <c r="BY366" s="199">
        <v>0</v>
      </c>
      <c r="BZ366" s="199">
        <v>282000</v>
      </c>
      <c r="CA366" s="199">
        <v>376000</v>
      </c>
      <c r="CB366" s="199">
        <v>282000</v>
      </c>
      <c r="CC366" s="199">
        <v>0</v>
      </c>
      <c r="CD366" s="199">
        <v>0</v>
      </c>
      <c r="CE366" s="199">
        <v>0</v>
      </c>
      <c r="CF366" s="199">
        <v>0</v>
      </c>
      <c r="CG366" s="199">
        <v>0</v>
      </c>
      <c r="CH366" s="199"/>
      <c r="CI366" s="199"/>
      <c r="CJ366" s="199"/>
      <c r="CK366" s="214" t="s">
        <v>979</v>
      </c>
      <c r="CL366" s="214" t="s">
        <v>610</v>
      </c>
      <c r="CM366" s="211">
        <v>198</v>
      </c>
      <c r="CN366" s="215"/>
      <c r="CO366" s="215"/>
      <c r="CP366" s="216"/>
      <c r="CQ366" s="217"/>
      <c r="CR366" s="211"/>
      <c r="CS366" s="218"/>
      <c r="CT366" s="218"/>
      <c r="CU366" s="218"/>
      <c r="CV366" s="211"/>
      <c r="CW366" s="211"/>
      <c r="CX366" s="211"/>
      <c r="CY366" s="211"/>
      <c r="CZ366" s="211"/>
      <c r="DA366" s="211"/>
      <c r="DB366" s="211"/>
      <c r="DC366" s="219"/>
      <c r="DD366" s="219"/>
      <c r="DE366" s="219"/>
      <c r="DF366" s="211"/>
      <c r="DG366" s="211"/>
      <c r="DH366" s="211"/>
      <c r="DI366" s="211"/>
      <c r="DJ366" s="211"/>
      <c r="DK366" s="220" t="s">
        <v>32</v>
      </c>
      <c r="DT366" s="222"/>
    </row>
    <row r="367" spans="1:124" s="176" customFormat="1" ht="63" x14ac:dyDescent="0.2">
      <c r="A367" s="225" t="s">
        <v>119</v>
      </c>
      <c r="B367" s="197" t="s">
        <v>980</v>
      </c>
      <c r="C367" s="198">
        <v>1</v>
      </c>
      <c r="D367" s="199">
        <v>450000</v>
      </c>
      <c r="E367" s="198" t="s">
        <v>981</v>
      </c>
      <c r="F367" s="198" t="s">
        <v>430</v>
      </c>
      <c r="G367" s="198" t="s">
        <v>123</v>
      </c>
      <c r="H367" s="200">
        <v>1</v>
      </c>
      <c r="I367" s="199">
        <f t="shared" si="413"/>
        <v>0</v>
      </c>
      <c r="J367" s="199">
        <f t="shared" si="414"/>
        <v>450000</v>
      </c>
      <c r="K367" s="199">
        <f t="shared" si="415"/>
        <v>450000</v>
      </c>
      <c r="L367" s="199"/>
      <c r="M367" s="199">
        <v>450000</v>
      </c>
      <c r="N367" s="199">
        <f t="shared" si="416"/>
        <v>450000</v>
      </c>
      <c r="O367" s="199"/>
      <c r="P367" s="201">
        <v>0</v>
      </c>
      <c r="Q367" s="202">
        <v>14</v>
      </c>
      <c r="R367" s="203">
        <v>45566</v>
      </c>
      <c r="S367" s="199"/>
      <c r="T367" s="199">
        <v>450000</v>
      </c>
      <c r="U367" s="204">
        <f t="shared" si="417"/>
        <v>450000</v>
      </c>
      <c r="V367" s="205"/>
      <c r="W367" s="200"/>
      <c r="X367" s="201"/>
      <c r="Y367" s="201"/>
      <c r="Z367" s="201">
        <f t="shared" si="418"/>
        <v>0</v>
      </c>
      <c r="AA367" s="198"/>
      <c r="AB367" s="206"/>
      <c r="AC367" s="207"/>
      <c r="AD367" s="201"/>
      <c r="AE367" s="204">
        <f t="shared" si="419"/>
        <v>0</v>
      </c>
      <c r="AF367" s="203">
        <f t="shared" si="420"/>
        <v>45566</v>
      </c>
      <c r="AG367" s="201">
        <f t="shared" si="421"/>
        <v>0</v>
      </c>
      <c r="AH367" s="201">
        <f t="shared" si="422"/>
        <v>450000</v>
      </c>
      <c r="AI367" s="199">
        <f t="shared" si="423"/>
        <v>450000</v>
      </c>
      <c r="AJ367" s="201">
        <f t="shared" si="440"/>
        <v>0</v>
      </c>
      <c r="AK367" s="201">
        <f t="shared" si="440"/>
        <v>450000</v>
      </c>
      <c r="AL367" s="201">
        <f t="shared" si="424"/>
        <v>450000</v>
      </c>
      <c r="AM367" s="198"/>
      <c r="AN367" s="203"/>
      <c r="AO367" s="208"/>
      <c r="AP367" s="201">
        <f t="shared" si="425"/>
        <v>0</v>
      </c>
      <c r="AQ367" s="201">
        <f t="shared" si="426"/>
        <v>317728.09999999998</v>
      </c>
      <c r="AR367" s="201">
        <f t="shared" si="427"/>
        <v>317728.09999999998</v>
      </c>
      <c r="AS367" s="201">
        <f t="shared" si="428"/>
        <v>70.606244444444442</v>
      </c>
      <c r="AT367" s="201"/>
      <c r="AU367" s="209">
        <v>317728.09999999998</v>
      </c>
      <c r="AV367" s="201">
        <f t="shared" si="429"/>
        <v>317728.09999999998</v>
      </c>
      <c r="AW367" s="201">
        <f t="shared" si="438"/>
        <v>0</v>
      </c>
      <c r="AX367" s="201">
        <f t="shared" si="430"/>
        <v>70.606244444444442</v>
      </c>
      <c r="AY367" s="208"/>
      <c r="AZ367" s="201">
        <f t="shared" si="431"/>
        <v>0</v>
      </c>
      <c r="BA367" s="201">
        <f t="shared" si="432"/>
        <v>0</v>
      </c>
      <c r="BB367" s="201">
        <f t="shared" si="433"/>
        <v>0</v>
      </c>
      <c r="BC367" s="201"/>
      <c r="BD367" s="209">
        <v>0</v>
      </c>
      <c r="BE367" s="201">
        <f t="shared" si="406"/>
        <v>0</v>
      </c>
      <c r="BF367" s="208"/>
      <c r="BG367" s="201">
        <f t="shared" si="411"/>
        <v>0</v>
      </c>
      <c r="BH367" s="201">
        <f t="shared" si="411"/>
        <v>317728.09999999998</v>
      </c>
      <c r="BI367" s="201">
        <f t="shared" si="434"/>
        <v>317728.09999999998</v>
      </c>
      <c r="BJ367" s="201">
        <f t="shared" si="435"/>
        <v>70.606244444444442</v>
      </c>
      <c r="BK367" s="210">
        <v>0</v>
      </c>
      <c r="BL367" s="210">
        <v>55</v>
      </c>
      <c r="BM367" s="211"/>
      <c r="BN367" s="211"/>
      <c r="BO367" s="212">
        <f t="shared" si="436"/>
        <v>0</v>
      </c>
      <c r="BP367" s="201">
        <f t="shared" si="437"/>
        <v>132271.90000000002</v>
      </c>
      <c r="BQ367" s="201">
        <f t="shared" si="407"/>
        <v>132271.90000000002</v>
      </c>
      <c r="BR367" s="201">
        <f t="shared" si="412"/>
        <v>0</v>
      </c>
      <c r="BS367" s="201">
        <f t="shared" si="412"/>
        <v>132271.90000000002</v>
      </c>
      <c r="BT367" s="201">
        <f t="shared" si="408"/>
        <v>132271.90000000002</v>
      </c>
      <c r="BU367" s="213">
        <f t="shared" si="439"/>
        <v>0</v>
      </c>
      <c r="BV367" s="201"/>
      <c r="BW367" s="201"/>
      <c r="BX367" s="201">
        <f t="shared" si="409"/>
        <v>0</v>
      </c>
      <c r="BY367" s="199">
        <v>0</v>
      </c>
      <c r="BZ367" s="199"/>
      <c r="CA367" s="199"/>
      <c r="CB367" s="199">
        <v>225000</v>
      </c>
      <c r="CC367" s="199">
        <v>225000</v>
      </c>
      <c r="CD367" s="199">
        <v>0</v>
      </c>
      <c r="CE367" s="199">
        <v>0</v>
      </c>
      <c r="CF367" s="199">
        <v>0</v>
      </c>
      <c r="CG367" s="199">
        <v>0</v>
      </c>
      <c r="CH367" s="199"/>
      <c r="CI367" s="199"/>
      <c r="CJ367" s="199"/>
      <c r="CK367" s="214" t="s">
        <v>982</v>
      </c>
      <c r="CL367" s="214" t="s">
        <v>610</v>
      </c>
      <c r="CM367" s="211">
        <v>198</v>
      </c>
      <c r="CN367" s="215"/>
      <c r="CO367" s="215"/>
      <c r="CP367" s="216"/>
      <c r="CQ367" s="217"/>
      <c r="CR367" s="211"/>
      <c r="CS367" s="218"/>
      <c r="CT367" s="218"/>
      <c r="CU367" s="218"/>
      <c r="CV367" s="211"/>
      <c r="CW367" s="211"/>
      <c r="CX367" s="211"/>
      <c r="CY367" s="211"/>
      <c r="CZ367" s="211"/>
      <c r="DA367" s="211"/>
      <c r="DB367" s="211"/>
      <c r="DC367" s="219"/>
      <c r="DD367" s="219"/>
      <c r="DE367" s="219"/>
      <c r="DF367" s="211"/>
      <c r="DG367" s="211"/>
      <c r="DH367" s="211"/>
      <c r="DI367" s="211"/>
      <c r="DJ367" s="211"/>
      <c r="DK367" s="220" t="s">
        <v>32</v>
      </c>
      <c r="DT367" s="222"/>
    </row>
    <row r="368" spans="1:124" s="176" customFormat="1" ht="42" x14ac:dyDescent="0.2">
      <c r="A368" s="225" t="s">
        <v>119</v>
      </c>
      <c r="B368" s="197" t="s">
        <v>983</v>
      </c>
      <c r="C368" s="198">
        <v>1</v>
      </c>
      <c r="D368" s="199">
        <v>318000</v>
      </c>
      <c r="E368" s="198" t="s">
        <v>922</v>
      </c>
      <c r="F368" s="198" t="s">
        <v>191</v>
      </c>
      <c r="G368" s="198" t="s">
        <v>123</v>
      </c>
      <c r="H368" s="200">
        <v>1</v>
      </c>
      <c r="I368" s="199">
        <f t="shared" si="413"/>
        <v>0</v>
      </c>
      <c r="J368" s="199">
        <f t="shared" si="414"/>
        <v>318000</v>
      </c>
      <c r="K368" s="199">
        <f t="shared" si="415"/>
        <v>318000</v>
      </c>
      <c r="L368" s="199"/>
      <c r="M368" s="199">
        <v>318000</v>
      </c>
      <c r="N368" s="199">
        <f t="shared" si="416"/>
        <v>318000</v>
      </c>
      <c r="O368" s="199"/>
      <c r="P368" s="201">
        <v>0</v>
      </c>
      <c r="Q368" s="202">
        <v>14</v>
      </c>
      <c r="R368" s="203">
        <v>45566</v>
      </c>
      <c r="S368" s="199"/>
      <c r="T368" s="199">
        <v>318000</v>
      </c>
      <c r="U368" s="204">
        <f t="shared" si="417"/>
        <v>318000</v>
      </c>
      <c r="V368" s="205"/>
      <c r="W368" s="200"/>
      <c r="X368" s="201"/>
      <c r="Y368" s="201"/>
      <c r="Z368" s="201">
        <f t="shared" si="418"/>
        <v>0</v>
      </c>
      <c r="AA368" s="198"/>
      <c r="AB368" s="206"/>
      <c r="AC368" s="207"/>
      <c r="AD368" s="201"/>
      <c r="AE368" s="204">
        <f t="shared" si="419"/>
        <v>0</v>
      </c>
      <c r="AF368" s="203">
        <f t="shared" si="420"/>
        <v>45566</v>
      </c>
      <c r="AG368" s="201">
        <f t="shared" si="421"/>
        <v>0</v>
      </c>
      <c r="AH368" s="201">
        <f t="shared" si="422"/>
        <v>318000</v>
      </c>
      <c r="AI368" s="199">
        <f t="shared" si="423"/>
        <v>318000</v>
      </c>
      <c r="AJ368" s="201">
        <f t="shared" si="440"/>
        <v>0</v>
      </c>
      <c r="AK368" s="201">
        <f t="shared" si="440"/>
        <v>318000</v>
      </c>
      <c r="AL368" s="201">
        <f t="shared" si="424"/>
        <v>318000</v>
      </c>
      <c r="AM368" s="198"/>
      <c r="AN368" s="203"/>
      <c r="AO368" s="208"/>
      <c r="AP368" s="201">
        <f t="shared" si="425"/>
        <v>0</v>
      </c>
      <c r="AQ368" s="201">
        <f t="shared" si="426"/>
        <v>136565.12</v>
      </c>
      <c r="AR368" s="201">
        <f t="shared" si="427"/>
        <v>136565.12</v>
      </c>
      <c r="AS368" s="201">
        <f t="shared" si="428"/>
        <v>42.945006289308175</v>
      </c>
      <c r="AT368" s="201"/>
      <c r="AU368" s="209">
        <v>136565.12</v>
      </c>
      <c r="AV368" s="201">
        <f t="shared" si="429"/>
        <v>136565.12</v>
      </c>
      <c r="AW368" s="201">
        <f t="shared" si="438"/>
        <v>9.433962264150944</v>
      </c>
      <c r="AX368" s="201">
        <f t="shared" si="430"/>
        <v>42.945006289308175</v>
      </c>
      <c r="AY368" s="208"/>
      <c r="AZ368" s="201">
        <f t="shared" si="431"/>
        <v>0</v>
      </c>
      <c r="BA368" s="201">
        <f t="shared" si="432"/>
        <v>0</v>
      </c>
      <c r="BB368" s="201">
        <f t="shared" si="433"/>
        <v>0</v>
      </c>
      <c r="BC368" s="201"/>
      <c r="BD368" s="209">
        <v>0</v>
      </c>
      <c r="BE368" s="201">
        <f t="shared" si="406"/>
        <v>0</v>
      </c>
      <c r="BF368" s="208"/>
      <c r="BG368" s="201">
        <f t="shared" si="411"/>
        <v>0</v>
      </c>
      <c r="BH368" s="201">
        <f t="shared" si="411"/>
        <v>136565.12</v>
      </c>
      <c r="BI368" s="201">
        <f t="shared" si="434"/>
        <v>136565.12</v>
      </c>
      <c r="BJ368" s="201">
        <f t="shared" si="435"/>
        <v>42.945006289308175</v>
      </c>
      <c r="BK368" s="210">
        <v>0</v>
      </c>
      <c r="BL368" s="210">
        <v>25</v>
      </c>
      <c r="BM368" s="211"/>
      <c r="BN368" s="211"/>
      <c r="BO368" s="212">
        <f t="shared" si="436"/>
        <v>0</v>
      </c>
      <c r="BP368" s="201">
        <f t="shared" si="437"/>
        <v>181434.88</v>
      </c>
      <c r="BQ368" s="201">
        <f t="shared" si="407"/>
        <v>181434.88</v>
      </c>
      <c r="BR368" s="201">
        <f t="shared" si="412"/>
        <v>0</v>
      </c>
      <c r="BS368" s="201">
        <f t="shared" si="412"/>
        <v>181434.88</v>
      </c>
      <c r="BT368" s="201">
        <f t="shared" si="408"/>
        <v>181434.88</v>
      </c>
      <c r="BU368" s="213">
        <f t="shared" si="439"/>
        <v>0</v>
      </c>
      <c r="BV368" s="201"/>
      <c r="BW368" s="201"/>
      <c r="BX368" s="201">
        <f t="shared" si="409"/>
        <v>0</v>
      </c>
      <c r="BY368" s="199">
        <v>0</v>
      </c>
      <c r="BZ368" s="199">
        <v>25000</v>
      </c>
      <c r="CA368" s="199">
        <v>26000</v>
      </c>
      <c r="CB368" s="199">
        <v>28000</v>
      </c>
      <c r="CC368" s="199">
        <v>32000</v>
      </c>
      <c r="CD368" s="199">
        <v>35000</v>
      </c>
      <c r="CE368" s="199">
        <v>36000</v>
      </c>
      <c r="CF368" s="199">
        <v>30000</v>
      </c>
      <c r="CG368" s="199">
        <v>28000</v>
      </c>
      <c r="CH368" s="199">
        <v>28000</v>
      </c>
      <c r="CI368" s="199">
        <v>25000</v>
      </c>
      <c r="CJ368" s="199">
        <v>25000</v>
      </c>
      <c r="CK368" s="214" t="s">
        <v>984</v>
      </c>
      <c r="CL368" s="214" t="s">
        <v>610</v>
      </c>
      <c r="CM368" s="211">
        <v>198</v>
      </c>
      <c r="CN368" s="215"/>
      <c r="CO368" s="215"/>
      <c r="CP368" s="216"/>
      <c r="CQ368" s="217"/>
      <c r="CR368" s="211"/>
      <c r="CS368" s="218"/>
      <c r="CT368" s="218"/>
      <c r="CU368" s="218"/>
      <c r="CV368" s="211"/>
      <c r="CW368" s="211"/>
      <c r="CX368" s="211"/>
      <c r="CY368" s="211"/>
      <c r="CZ368" s="211"/>
      <c r="DA368" s="211"/>
      <c r="DB368" s="211"/>
      <c r="DC368" s="219"/>
      <c r="DD368" s="219"/>
      <c r="DE368" s="219"/>
      <c r="DF368" s="211"/>
      <c r="DG368" s="211"/>
      <c r="DH368" s="211"/>
      <c r="DI368" s="211"/>
      <c r="DJ368" s="211"/>
      <c r="DK368" s="220" t="s">
        <v>32</v>
      </c>
      <c r="DT368" s="222"/>
    </row>
    <row r="369" spans="1:124" s="176" customFormat="1" ht="42" x14ac:dyDescent="0.2">
      <c r="A369" s="225" t="s">
        <v>119</v>
      </c>
      <c r="B369" s="197" t="s">
        <v>985</v>
      </c>
      <c r="C369" s="198">
        <v>1</v>
      </c>
      <c r="D369" s="199">
        <v>639400</v>
      </c>
      <c r="E369" s="198" t="s">
        <v>922</v>
      </c>
      <c r="F369" s="198" t="s">
        <v>191</v>
      </c>
      <c r="G369" s="198" t="s">
        <v>123</v>
      </c>
      <c r="H369" s="200">
        <v>1</v>
      </c>
      <c r="I369" s="199">
        <f t="shared" si="413"/>
        <v>0</v>
      </c>
      <c r="J369" s="199">
        <f t="shared" si="414"/>
        <v>639400</v>
      </c>
      <c r="K369" s="199">
        <f t="shared" si="415"/>
        <v>639400</v>
      </c>
      <c r="L369" s="199"/>
      <c r="M369" s="199">
        <v>639400</v>
      </c>
      <c r="N369" s="199">
        <f t="shared" si="416"/>
        <v>639400</v>
      </c>
      <c r="O369" s="199"/>
      <c r="P369" s="201">
        <v>0</v>
      </c>
      <c r="Q369" s="202">
        <v>14</v>
      </c>
      <c r="R369" s="203">
        <v>45566</v>
      </c>
      <c r="S369" s="199"/>
      <c r="T369" s="199">
        <v>639400</v>
      </c>
      <c r="U369" s="204">
        <f t="shared" si="417"/>
        <v>639400</v>
      </c>
      <c r="V369" s="205"/>
      <c r="W369" s="200"/>
      <c r="X369" s="201"/>
      <c r="Y369" s="201"/>
      <c r="Z369" s="201">
        <f t="shared" si="418"/>
        <v>0</v>
      </c>
      <c r="AA369" s="198"/>
      <c r="AB369" s="206"/>
      <c r="AC369" s="207"/>
      <c r="AD369" s="201"/>
      <c r="AE369" s="204">
        <f t="shared" si="419"/>
        <v>0</v>
      </c>
      <c r="AF369" s="203">
        <f t="shared" si="420"/>
        <v>45566</v>
      </c>
      <c r="AG369" s="201">
        <f t="shared" si="421"/>
        <v>0</v>
      </c>
      <c r="AH369" s="201">
        <f t="shared" si="422"/>
        <v>639400</v>
      </c>
      <c r="AI369" s="199">
        <f t="shared" si="423"/>
        <v>639400</v>
      </c>
      <c r="AJ369" s="201">
        <f t="shared" si="440"/>
        <v>0</v>
      </c>
      <c r="AK369" s="201">
        <f t="shared" si="440"/>
        <v>639400</v>
      </c>
      <c r="AL369" s="201">
        <f t="shared" si="424"/>
        <v>639400</v>
      </c>
      <c r="AM369" s="198"/>
      <c r="AN369" s="203"/>
      <c r="AO369" s="208"/>
      <c r="AP369" s="201">
        <f t="shared" si="425"/>
        <v>0</v>
      </c>
      <c r="AQ369" s="201">
        <f t="shared" si="426"/>
        <v>571580.14</v>
      </c>
      <c r="AR369" s="201">
        <f t="shared" si="427"/>
        <v>571580.14</v>
      </c>
      <c r="AS369" s="201">
        <f t="shared" si="428"/>
        <v>89.393203002815142</v>
      </c>
      <c r="AT369" s="201"/>
      <c r="AU369" s="209">
        <v>571580.14</v>
      </c>
      <c r="AV369" s="201">
        <f t="shared" si="429"/>
        <v>571580.14</v>
      </c>
      <c r="AW369" s="201">
        <f t="shared" si="438"/>
        <v>12.511729746637473</v>
      </c>
      <c r="AX369" s="201">
        <f t="shared" si="430"/>
        <v>89.393203002815142</v>
      </c>
      <c r="AY369" s="208"/>
      <c r="AZ369" s="201">
        <f t="shared" si="431"/>
        <v>0</v>
      </c>
      <c r="BA369" s="201">
        <f t="shared" si="432"/>
        <v>0</v>
      </c>
      <c r="BB369" s="201">
        <f t="shared" si="433"/>
        <v>0</v>
      </c>
      <c r="BC369" s="201"/>
      <c r="BD369" s="209">
        <v>0</v>
      </c>
      <c r="BE369" s="201">
        <f t="shared" si="406"/>
        <v>0</v>
      </c>
      <c r="BF369" s="208"/>
      <c r="BG369" s="201">
        <f t="shared" si="411"/>
        <v>0</v>
      </c>
      <c r="BH369" s="201">
        <f t="shared" si="411"/>
        <v>571580.14</v>
      </c>
      <c r="BI369" s="201">
        <f t="shared" si="434"/>
        <v>571580.14</v>
      </c>
      <c r="BJ369" s="201">
        <f t="shared" si="435"/>
        <v>89.393203002815142</v>
      </c>
      <c r="BK369" s="210">
        <v>0</v>
      </c>
      <c r="BL369" s="210">
        <v>80</v>
      </c>
      <c r="BM369" s="211"/>
      <c r="BN369" s="211"/>
      <c r="BO369" s="212">
        <f t="shared" si="436"/>
        <v>0</v>
      </c>
      <c r="BP369" s="201">
        <f t="shared" si="437"/>
        <v>67819.859999999986</v>
      </c>
      <c r="BQ369" s="201">
        <f t="shared" si="407"/>
        <v>67819.859999999986</v>
      </c>
      <c r="BR369" s="201">
        <f t="shared" si="412"/>
        <v>0</v>
      </c>
      <c r="BS369" s="201">
        <f t="shared" si="412"/>
        <v>67819.859999999986</v>
      </c>
      <c r="BT369" s="201">
        <f t="shared" si="408"/>
        <v>67819.859999999986</v>
      </c>
      <c r="BU369" s="213">
        <f t="shared" si="439"/>
        <v>0</v>
      </c>
      <c r="BV369" s="201"/>
      <c r="BW369" s="201"/>
      <c r="BX369" s="201">
        <f t="shared" si="409"/>
        <v>0</v>
      </c>
      <c r="BY369" s="199">
        <v>0</v>
      </c>
      <c r="BZ369" s="199">
        <v>0</v>
      </c>
      <c r="CA369" s="199">
        <v>0</v>
      </c>
      <c r="CB369" s="199">
        <v>0</v>
      </c>
      <c r="CC369" s="199">
        <v>80000</v>
      </c>
      <c r="CD369" s="199">
        <v>80000</v>
      </c>
      <c r="CE369" s="199">
        <v>80000</v>
      </c>
      <c r="CF369" s="199">
        <v>80000</v>
      </c>
      <c r="CG369" s="199">
        <v>80000</v>
      </c>
      <c r="CH369" s="199">
        <v>80000</v>
      </c>
      <c r="CI369" s="199">
        <v>80000</v>
      </c>
      <c r="CJ369" s="199">
        <v>79400</v>
      </c>
      <c r="CK369" s="214" t="s">
        <v>986</v>
      </c>
      <c r="CL369" s="214" t="s">
        <v>610</v>
      </c>
      <c r="CM369" s="211">
        <v>198</v>
      </c>
      <c r="CN369" s="215"/>
      <c r="CO369" s="215"/>
      <c r="CP369" s="216"/>
      <c r="CQ369" s="217"/>
      <c r="CR369" s="211"/>
      <c r="CS369" s="218"/>
      <c r="CT369" s="218"/>
      <c r="CU369" s="218"/>
      <c r="CV369" s="211"/>
      <c r="CW369" s="211"/>
      <c r="CX369" s="211"/>
      <c r="CY369" s="211"/>
      <c r="CZ369" s="211"/>
      <c r="DA369" s="211"/>
      <c r="DB369" s="211"/>
      <c r="DC369" s="219"/>
      <c r="DD369" s="219"/>
      <c r="DE369" s="219"/>
      <c r="DF369" s="211"/>
      <c r="DG369" s="211"/>
      <c r="DH369" s="211"/>
      <c r="DI369" s="211"/>
      <c r="DJ369" s="211"/>
      <c r="DK369" s="220" t="s">
        <v>32</v>
      </c>
      <c r="DT369" s="222"/>
    </row>
    <row r="370" spans="1:124" s="176" customFormat="1" ht="42" x14ac:dyDescent="0.2">
      <c r="A370" s="225" t="s">
        <v>119</v>
      </c>
      <c r="B370" s="197" t="s">
        <v>987</v>
      </c>
      <c r="C370" s="198">
        <v>1</v>
      </c>
      <c r="D370" s="199">
        <v>2260000</v>
      </c>
      <c r="E370" s="198" t="s">
        <v>922</v>
      </c>
      <c r="F370" s="198" t="s">
        <v>191</v>
      </c>
      <c r="G370" s="198" t="s">
        <v>123</v>
      </c>
      <c r="H370" s="200">
        <v>1</v>
      </c>
      <c r="I370" s="199">
        <f t="shared" si="413"/>
        <v>0</v>
      </c>
      <c r="J370" s="199">
        <f t="shared" si="414"/>
        <v>2260000</v>
      </c>
      <c r="K370" s="199">
        <f t="shared" si="415"/>
        <v>2260000</v>
      </c>
      <c r="L370" s="199"/>
      <c r="M370" s="199">
        <v>2260000</v>
      </c>
      <c r="N370" s="199">
        <f t="shared" si="416"/>
        <v>2260000</v>
      </c>
      <c r="O370" s="199"/>
      <c r="P370" s="201">
        <v>0</v>
      </c>
      <c r="Q370" s="202">
        <v>14</v>
      </c>
      <c r="R370" s="203">
        <v>45566</v>
      </c>
      <c r="S370" s="199"/>
      <c r="T370" s="199">
        <v>2260000</v>
      </c>
      <c r="U370" s="204">
        <f t="shared" si="417"/>
        <v>2260000</v>
      </c>
      <c r="V370" s="205"/>
      <c r="W370" s="200"/>
      <c r="X370" s="201"/>
      <c r="Y370" s="201"/>
      <c r="Z370" s="201">
        <f t="shared" si="418"/>
        <v>0</v>
      </c>
      <c r="AA370" s="198"/>
      <c r="AB370" s="206"/>
      <c r="AC370" s="207"/>
      <c r="AD370" s="201"/>
      <c r="AE370" s="204">
        <f t="shared" si="419"/>
        <v>0</v>
      </c>
      <c r="AF370" s="203">
        <f t="shared" si="420"/>
        <v>45566</v>
      </c>
      <c r="AG370" s="201">
        <f t="shared" si="421"/>
        <v>0</v>
      </c>
      <c r="AH370" s="201">
        <f t="shared" si="422"/>
        <v>2260000</v>
      </c>
      <c r="AI370" s="199">
        <f t="shared" si="423"/>
        <v>2260000</v>
      </c>
      <c r="AJ370" s="201">
        <f t="shared" si="440"/>
        <v>0</v>
      </c>
      <c r="AK370" s="201">
        <f t="shared" si="440"/>
        <v>2260000</v>
      </c>
      <c r="AL370" s="201">
        <f t="shared" si="424"/>
        <v>2260000</v>
      </c>
      <c r="AM370" s="198"/>
      <c r="AN370" s="203"/>
      <c r="AO370" s="208"/>
      <c r="AP370" s="201">
        <f t="shared" si="425"/>
        <v>0</v>
      </c>
      <c r="AQ370" s="201">
        <f t="shared" si="426"/>
        <v>1681966.27</v>
      </c>
      <c r="AR370" s="201">
        <f t="shared" si="427"/>
        <v>1681966.27</v>
      </c>
      <c r="AS370" s="201">
        <f t="shared" si="428"/>
        <v>74.423286283185845</v>
      </c>
      <c r="AT370" s="201"/>
      <c r="AU370" s="209">
        <v>1681966.27</v>
      </c>
      <c r="AV370" s="201">
        <f t="shared" si="429"/>
        <v>1681966.27</v>
      </c>
      <c r="AW370" s="201">
        <f t="shared" si="438"/>
        <v>8.9380530973451329</v>
      </c>
      <c r="AX370" s="201">
        <f t="shared" si="430"/>
        <v>74.423286283185845</v>
      </c>
      <c r="AY370" s="208"/>
      <c r="AZ370" s="201">
        <f t="shared" si="431"/>
        <v>0</v>
      </c>
      <c r="BA370" s="201">
        <f t="shared" si="432"/>
        <v>0</v>
      </c>
      <c r="BB370" s="201">
        <f t="shared" si="433"/>
        <v>0</v>
      </c>
      <c r="BC370" s="201"/>
      <c r="BD370" s="209">
        <v>0</v>
      </c>
      <c r="BE370" s="201">
        <f t="shared" si="406"/>
        <v>0</v>
      </c>
      <c r="BF370" s="208"/>
      <c r="BG370" s="201">
        <f t="shared" si="411"/>
        <v>0</v>
      </c>
      <c r="BH370" s="201">
        <f t="shared" si="411"/>
        <v>1681966.27</v>
      </c>
      <c r="BI370" s="201">
        <f t="shared" si="434"/>
        <v>1681966.27</v>
      </c>
      <c r="BJ370" s="201">
        <f t="shared" si="435"/>
        <v>74.423286283185845</v>
      </c>
      <c r="BK370" s="210">
        <v>8</v>
      </c>
      <c r="BL370" s="210">
        <v>60</v>
      </c>
      <c r="BM370" s="211"/>
      <c r="BN370" s="211"/>
      <c r="BO370" s="212">
        <f t="shared" si="436"/>
        <v>0</v>
      </c>
      <c r="BP370" s="201">
        <f t="shared" si="437"/>
        <v>578033.73</v>
      </c>
      <c r="BQ370" s="201">
        <f t="shared" si="407"/>
        <v>578033.73</v>
      </c>
      <c r="BR370" s="201">
        <f t="shared" si="412"/>
        <v>0</v>
      </c>
      <c r="BS370" s="201">
        <f t="shared" si="412"/>
        <v>578033.73</v>
      </c>
      <c r="BT370" s="201">
        <f t="shared" si="408"/>
        <v>578033.73</v>
      </c>
      <c r="BU370" s="213">
        <f t="shared" si="439"/>
        <v>0</v>
      </c>
      <c r="BV370" s="201"/>
      <c r="BW370" s="201"/>
      <c r="BX370" s="201">
        <f t="shared" si="409"/>
        <v>0</v>
      </c>
      <c r="BY370" s="199">
        <v>0</v>
      </c>
      <c r="BZ370" s="199">
        <v>202000</v>
      </c>
      <c r="CA370" s="199">
        <v>202000</v>
      </c>
      <c r="CB370" s="199">
        <v>202000</v>
      </c>
      <c r="CC370" s="199">
        <v>202000</v>
      </c>
      <c r="CD370" s="199">
        <v>202000</v>
      </c>
      <c r="CE370" s="199">
        <v>202000</v>
      </c>
      <c r="CF370" s="199">
        <v>202000</v>
      </c>
      <c r="CG370" s="199">
        <v>202000</v>
      </c>
      <c r="CH370" s="199">
        <v>202000</v>
      </c>
      <c r="CI370" s="199">
        <v>202000</v>
      </c>
      <c r="CJ370" s="199">
        <v>240000</v>
      </c>
      <c r="CK370" s="214" t="s">
        <v>988</v>
      </c>
      <c r="CL370" s="214" t="s">
        <v>610</v>
      </c>
      <c r="CM370" s="211">
        <v>198</v>
      </c>
      <c r="CN370" s="215"/>
      <c r="CO370" s="215"/>
      <c r="CP370" s="216"/>
      <c r="CQ370" s="217"/>
      <c r="CR370" s="211"/>
      <c r="CS370" s="218"/>
      <c r="CT370" s="218"/>
      <c r="CU370" s="218"/>
      <c r="CV370" s="211"/>
      <c r="CW370" s="211"/>
      <c r="CX370" s="211"/>
      <c r="CY370" s="211"/>
      <c r="CZ370" s="211"/>
      <c r="DA370" s="211"/>
      <c r="DB370" s="211"/>
      <c r="DC370" s="219"/>
      <c r="DD370" s="219"/>
      <c r="DE370" s="219"/>
      <c r="DF370" s="211"/>
      <c r="DG370" s="211"/>
      <c r="DH370" s="211"/>
      <c r="DI370" s="211"/>
      <c r="DJ370" s="211"/>
      <c r="DK370" s="220" t="s">
        <v>32</v>
      </c>
      <c r="DT370" s="222"/>
    </row>
    <row r="371" spans="1:124" s="176" customFormat="1" x14ac:dyDescent="0.2">
      <c r="A371" s="195" t="s">
        <v>136</v>
      </c>
      <c r="B371" s="197" t="s">
        <v>989</v>
      </c>
      <c r="C371" s="198">
        <v>1</v>
      </c>
      <c r="D371" s="199">
        <v>490000</v>
      </c>
      <c r="E371" s="198" t="s">
        <v>111</v>
      </c>
      <c r="F371" s="198" t="s">
        <v>473</v>
      </c>
      <c r="G371" s="198" t="s">
        <v>139</v>
      </c>
      <c r="H371" s="200">
        <v>1</v>
      </c>
      <c r="I371" s="199">
        <f t="shared" si="413"/>
        <v>481300</v>
      </c>
      <c r="J371" s="199">
        <f t="shared" si="414"/>
        <v>8700</v>
      </c>
      <c r="K371" s="199">
        <f t="shared" si="415"/>
        <v>490000</v>
      </c>
      <c r="L371" s="199">
        <v>481300</v>
      </c>
      <c r="M371" s="199">
        <v>8700</v>
      </c>
      <c r="N371" s="199">
        <f t="shared" si="416"/>
        <v>490000</v>
      </c>
      <c r="O371" s="199"/>
      <c r="P371" s="201">
        <v>0</v>
      </c>
      <c r="Q371" s="202">
        <v>1326</v>
      </c>
      <c r="R371" s="203">
        <v>45680</v>
      </c>
      <c r="S371" s="199">
        <v>473356</v>
      </c>
      <c r="T371" s="199">
        <v>8284</v>
      </c>
      <c r="U371" s="204">
        <f>S371+T371</f>
        <v>481640</v>
      </c>
      <c r="V371" s="205"/>
      <c r="W371" s="200"/>
      <c r="X371" s="201"/>
      <c r="Y371" s="201"/>
      <c r="Z371" s="201">
        <f t="shared" si="418"/>
        <v>0</v>
      </c>
      <c r="AA371" s="198"/>
      <c r="AB371" s="206"/>
      <c r="AC371" s="207"/>
      <c r="AD371" s="201"/>
      <c r="AE371" s="204">
        <f t="shared" si="419"/>
        <v>0</v>
      </c>
      <c r="AF371" s="203">
        <f t="shared" si="420"/>
        <v>45680</v>
      </c>
      <c r="AG371" s="201">
        <f t="shared" si="421"/>
        <v>473356</v>
      </c>
      <c r="AH371" s="201">
        <f t="shared" si="422"/>
        <v>8284</v>
      </c>
      <c r="AI371" s="199">
        <f t="shared" si="423"/>
        <v>481640</v>
      </c>
      <c r="AJ371" s="201">
        <f t="shared" si="440"/>
        <v>473356</v>
      </c>
      <c r="AK371" s="201">
        <f t="shared" si="440"/>
        <v>8284</v>
      </c>
      <c r="AL371" s="201">
        <f t="shared" si="424"/>
        <v>481640</v>
      </c>
      <c r="AM371" s="198"/>
      <c r="AN371" s="203"/>
      <c r="AO371" s="208"/>
      <c r="AP371" s="201">
        <f t="shared" si="425"/>
        <v>473355.62</v>
      </c>
      <c r="AQ371" s="201">
        <f t="shared" si="426"/>
        <v>0</v>
      </c>
      <c r="AR371" s="201">
        <f t="shared" si="427"/>
        <v>473355.62</v>
      </c>
      <c r="AS371" s="201">
        <f t="shared" si="428"/>
        <v>98.279964288680347</v>
      </c>
      <c r="AT371" s="201">
        <v>473355.62</v>
      </c>
      <c r="AU371" s="209"/>
      <c r="AV371" s="201">
        <f>SUM(AT371:AU371)</f>
        <v>473355.62</v>
      </c>
      <c r="AW371" s="201">
        <f t="shared" si="438"/>
        <v>0</v>
      </c>
      <c r="AX371" s="201">
        <f t="shared" si="430"/>
        <v>98.279964288680347</v>
      </c>
      <c r="AY371" s="208"/>
      <c r="AZ371" s="201">
        <f t="shared" si="431"/>
        <v>0</v>
      </c>
      <c r="BA371" s="201">
        <f t="shared" si="432"/>
        <v>0</v>
      </c>
      <c r="BB371" s="201">
        <f t="shared" si="433"/>
        <v>0</v>
      </c>
      <c r="BC371" s="201"/>
      <c r="BD371" s="209">
        <v>0</v>
      </c>
      <c r="BE371" s="201">
        <f>SUM(BC371:BD371)</f>
        <v>0</v>
      </c>
      <c r="BF371" s="208"/>
      <c r="BG371" s="201">
        <f t="shared" si="411"/>
        <v>473355.62</v>
      </c>
      <c r="BH371" s="201">
        <f t="shared" si="411"/>
        <v>0</v>
      </c>
      <c r="BI371" s="201">
        <f t="shared" si="434"/>
        <v>473355.62</v>
      </c>
      <c r="BJ371" s="201">
        <f t="shared" si="435"/>
        <v>98.279964288680347</v>
      </c>
      <c r="BK371" s="210">
        <v>40</v>
      </c>
      <c r="BL371" s="210">
        <v>95</v>
      </c>
      <c r="BM371" s="211"/>
      <c r="BN371" s="211"/>
      <c r="BO371" s="212">
        <f t="shared" si="436"/>
        <v>0.38000000000465661</v>
      </c>
      <c r="BP371" s="201">
        <f t="shared" si="437"/>
        <v>8284</v>
      </c>
      <c r="BQ371" s="201">
        <f t="shared" si="407"/>
        <v>8284.3800000000047</v>
      </c>
      <c r="BR371" s="201">
        <f t="shared" si="412"/>
        <v>0.38000000000465661</v>
      </c>
      <c r="BS371" s="201">
        <f t="shared" si="412"/>
        <v>8284</v>
      </c>
      <c r="BT371" s="201">
        <f t="shared" si="408"/>
        <v>8284.3800000000047</v>
      </c>
      <c r="BU371" s="213">
        <f t="shared" si="439"/>
        <v>0</v>
      </c>
      <c r="BV371" s="201"/>
      <c r="BW371" s="201"/>
      <c r="BX371" s="201">
        <f t="shared" si="409"/>
        <v>0</v>
      </c>
      <c r="BY371" s="199">
        <v>90000</v>
      </c>
      <c r="BZ371" s="199">
        <v>300000</v>
      </c>
      <c r="CA371" s="199">
        <v>100000</v>
      </c>
      <c r="CB371" s="199"/>
      <c r="CC371" s="199"/>
      <c r="CD371" s="199">
        <v>0</v>
      </c>
      <c r="CE371" s="199">
        <v>0</v>
      </c>
      <c r="CF371" s="199">
        <v>0</v>
      </c>
      <c r="CG371" s="199">
        <v>0</v>
      </c>
      <c r="CH371" s="199">
        <v>0</v>
      </c>
      <c r="CI371" s="199">
        <v>0</v>
      </c>
      <c r="CJ371" s="199">
        <v>0</v>
      </c>
      <c r="CK371" s="214"/>
      <c r="CL371" s="214"/>
      <c r="CM371" s="211">
        <v>191</v>
      </c>
      <c r="CN371" s="215"/>
      <c r="CO371" s="215"/>
      <c r="CP371" s="216"/>
      <c r="CQ371" s="217"/>
      <c r="CR371" s="211"/>
      <c r="CS371" s="218"/>
      <c r="CT371" s="218"/>
      <c r="CU371" s="218"/>
      <c r="CV371" s="211"/>
      <c r="CW371" s="211"/>
      <c r="CX371" s="211"/>
      <c r="CY371" s="211"/>
      <c r="CZ371" s="211"/>
      <c r="DA371" s="211"/>
      <c r="DB371" s="211"/>
      <c r="DC371" s="219"/>
      <c r="DD371" s="219"/>
      <c r="DE371" s="219"/>
      <c r="DF371" s="211"/>
      <c r="DG371" s="211"/>
      <c r="DH371" s="211"/>
      <c r="DI371" s="211"/>
      <c r="DJ371" s="211"/>
      <c r="DK371" s="220" t="s">
        <v>70</v>
      </c>
      <c r="DT371" s="222"/>
    </row>
    <row r="372" spans="1:124" s="176" customFormat="1" ht="42" x14ac:dyDescent="0.2">
      <c r="A372" s="225" t="s">
        <v>136</v>
      </c>
      <c r="B372" s="197" t="s">
        <v>990</v>
      </c>
      <c r="C372" s="198">
        <v>1</v>
      </c>
      <c r="D372" s="199">
        <v>5000000</v>
      </c>
      <c r="E372" s="198" t="s">
        <v>142</v>
      </c>
      <c r="F372" s="198" t="s">
        <v>143</v>
      </c>
      <c r="G372" s="198" t="s">
        <v>139</v>
      </c>
      <c r="H372" s="200">
        <v>1</v>
      </c>
      <c r="I372" s="199">
        <f t="shared" si="413"/>
        <v>0</v>
      </c>
      <c r="J372" s="199">
        <f t="shared" si="414"/>
        <v>5000000</v>
      </c>
      <c r="K372" s="199">
        <f t="shared" si="415"/>
        <v>5000000</v>
      </c>
      <c r="L372" s="199"/>
      <c r="M372" s="199">
        <v>5000000</v>
      </c>
      <c r="N372" s="199">
        <f t="shared" si="416"/>
        <v>5000000</v>
      </c>
      <c r="O372" s="199"/>
      <c r="P372" s="201">
        <v>0</v>
      </c>
      <c r="Q372" s="202">
        <v>14</v>
      </c>
      <c r="R372" s="203">
        <v>45566</v>
      </c>
      <c r="S372" s="199"/>
      <c r="T372" s="199">
        <v>5000000</v>
      </c>
      <c r="U372" s="204">
        <f t="shared" si="417"/>
        <v>5000000</v>
      </c>
      <c r="V372" s="205"/>
      <c r="W372" s="200"/>
      <c r="X372" s="201"/>
      <c r="Y372" s="201"/>
      <c r="Z372" s="201">
        <f t="shared" si="418"/>
        <v>0</v>
      </c>
      <c r="AA372" s="198"/>
      <c r="AB372" s="206"/>
      <c r="AC372" s="207"/>
      <c r="AD372" s="201"/>
      <c r="AE372" s="204">
        <f t="shared" si="419"/>
        <v>0</v>
      </c>
      <c r="AF372" s="203">
        <f t="shared" si="420"/>
        <v>45566</v>
      </c>
      <c r="AG372" s="201">
        <f t="shared" si="421"/>
        <v>0</v>
      </c>
      <c r="AH372" s="201">
        <f t="shared" si="422"/>
        <v>5000000</v>
      </c>
      <c r="AI372" s="199">
        <f t="shared" si="423"/>
        <v>5000000</v>
      </c>
      <c r="AJ372" s="201">
        <f t="shared" si="440"/>
        <v>0</v>
      </c>
      <c r="AK372" s="201">
        <f t="shared" si="440"/>
        <v>5000000</v>
      </c>
      <c r="AL372" s="201">
        <f t="shared" si="424"/>
        <v>5000000</v>
      </c>
      <c r="AM372" s="198"/>
      <c r="AN372" s="203"/>
      <c r="AO372" s="208"/>
      <c r="AP372" s="201">
        <f t="shared" si="425"/>
        <v>0</v>
      </c>
      <c r="AQ372" s="201">
        <f t="shared" si="426"/>
        <v>4017487.8</v>
      </c>
      <c r="AR372" s="201">
        <f t="shared" si="427"/>
        <v>4017487.8</v>
      </c>
      <c r="AS372" s="201">
        <f t="shared" si="428"/>
        <v>80.349755999999999</v>
      </c>
      <c r="AT372" s="201"/>
      <c r="AU372" s="209">
        <v>4017487.8</v>
      </c>
      <c r="AV372" s="201">
        <f t="shared" si="429"/>
        <v>4017487.8</v>
      </c>
      <c r="AW372" s="201">
        <f t="shared" si="438"/>
        <v>0</v>
      </c>
      <c r="AX372" s="201">
        <f t="shared" si="430"/>
        <v>80.349755999999999</v>
      </c>
      <c r="AY372" s="208"/>
      <c r="AZ372" s="201">
        <f t="shared" si="431"/>
        <v>0</v>
      </c>
      <c r="BA372" s="201">
        <f t="shared" si="432"/>
        <v>294480</v>
      </c>
      <c r="BB372" s="201">
        <f t="shared" si="433"/>
        <v>294480</v>
      </c>
      <c r="BC372" s="201"/>
      <c r="BD372" s="209">
        <v>294480</v>
      </c>
      <c r="BE372" s="201">
        <f t="shared" si="406"/>
        <v>294480</v>
      </c>
      <c r="BF372" s="208"/>
      <c r="BG372" s="201">
        <f t="shared" si="411"/>
        <v>0</v>
      </c>
      <c r="BH372" s="201">
        <f t="shared" si="411"/>
        <v>4311967.8</v>
      </c>
      <c r="BI372" s="201">
        <f t="shared" si="434"/>
        <v>4311967.8</v>
      </c>
      <c r="BJ372" s="201">
        <f t="shared" si="435"/>
        <v>86.239356000000001</v>
      </c>
      <c r="BK372" s="210">
        <v>20</v>
      </c>
      <c r="BL372" s="210">
        <v>70</v>
      </c>
      <c r="BM372" s="211"/>
      <c r="BN372" s="211"/>
      <c r="BO372" s="212">
        <f t="shared" si="436"/>
        <v>0</v>
      </c>
      <c r="BP372" s="201">
        <f t="shared" si="437"/>
        <v>982512.20000000019</v>
      </c>
      <c r="BQ372" s="201">
        <f t="shared" si="407"/>
        <v>982512.20000000019</v>
      </c>
      <c r="BR372" s="201">
        <f t="shared" si="412"/>
        <v>0</v>
      </c>
      <c r="BS372" s="201">
        <f t="shared" si="412"/>
        <v>982512.20000000019</v>
      </c>
      <c r="BT372" s="201">
        <f t="shared" si="408"/>
        <v>982512.20000000019</v>
      </c>
      <c r="BU372" s="213">
        <f t="shared" si="439"/>
        <v>0</v>
      </c>
      <c r="BV372" s="201"/>
      <c r="BW372" s="201"/>
      <c r="BX372" s="201">
        <f t="shared" si="409"/>
        <v>0</v>
      </c>
      <c r="BY372" s="199">
        <v>833000</v>
      </c>
      <c r="BZ372" s="199">
        <v>833000</v>
      </c>
      <c r="CA372" s="199">
        <v>833000</v>
      </c>
      <c r="CB372" s="199">
        <v>833000</v>
      </c>
      <c r="CC372" s="199">
        <v>833000</v>
      </c>
      <c r="CD372" s="199">
        <v>835000</v>
      </c>
      <c r="CE372" s="199">
        <v>0</v>
      </c>
      <c r="CF372" s="199">
        <v>0</v>
      </c>
      <c r="CG372" s="199">
        <v>0</v>
      </c>
      <c r="CH372" s="199">
        <v>0</v>
      </c>
      <c r="CI372" s="199">
        <v>0</v>
      </c>
      <c r="CJ372" s="199">
        <v>0</v>
      </c>
      <c r="CK372" s="214" t="s">
        <v>991</v>
      </c>
      <c r="CL372" s="214" t="s">
        <v>610</v>
      </c>
      <c r="CM372" s="211">
        <v>198</v>
      </c>
      <c r="CN372" s="215"/>
      <c r="CO372" s="215"/>
      <c r="CP372" s="216"/>
      <c r="CQ372" s="217"/>
      <c r="CR372" s="211"/>
      <c r="CS372" s="218"/>
      <c r="CT372" s="218"/>
      <c r="CU372" s="218"/>
      <c r="CV372" s="211"/>
      <c r="CW372" s="211"/>
      <c r="CX372" s="211"/>
      <c r="CY372" s="211"/>
      <c r="CZ372" s="211"/>
      <c r="DA372" s="211"/>
      <c r="DB372" s="211"/>
      <c r="DC372" s="219"/>
      <c r="DD372" s="219"/>
      <c r="DE372" s="219"/>
      <c r="DF372" s="211"/>
      <c r="DG372" s="211"/>
      <c r="DH372" s="211"/>
      <c r="DI372" s="211"/>
      <c r="DJ372" s="211"/>
      <c r="DK372" s="220" t="s">
        <v>32</v>
      </c>
      <c r="DT372" s="222"/>
    </row>
    <row r="373" spans="1:124" s="176" customFormat="1" ht="42" x14ac:dyDescent="0.2">
      <c r="A373" s="225" t="s">
        <v>136</v>
      </c>
      <c r="B373" s="197" t="s">
        <v>992</v>
      </c>
      <c r="C373" s="198">
        <v>1</v>
      </c>
      <c r="D373" s="199">
        <v>5000000</v>
      </c>
      <c r="E373" s="198" t="s">
        <v>142</v>
      </c>
      <c r="F373" s="198" t="s">
        <v>143</v>
      </c>
      <c r="G373" s="198" t="s">
        <v>139</v>
      </c>
      <c r="H373" s="200">
        <v>1</v>
      </c>
      <c r="I373" s="199">
        <f t="shared" si="413"/>
        <v>0</v>
      </c>
      <c r="J373" s="199">
        <f t="shared" si="414"/>
        <v>5000000</v>
      </c>
      <c r="K373" s="199">
        <f t="shared" si="415"/>
        <v>5000000</v>
      </c>
      <c r="L373" s="199"/>
      <c r="M373" s="199">
        <v>5000000</v>
      </c>
      <c r="N373" s="199">
        <f t="shared" si="416"/>
        <v>5000000</v>
      </c>
      <c r="O373" s="199"/>
      <c r="P373" s="201">
        <v>0</v>
      </c>
      <c r="Q373" s="202">
        <v>14</v>
      </c>
      <c r="R373" s="203">
        <v>45566</v>
      </c>
      <c r="S373" s="199"/>
      <c r="T373" s="199">
        <v>5000000</v>
      </c>
      <c r="U373" s="204">
        <f t="shared" si="417"/>
        <v>5000000</v>
      </c>
      <c r="V373" s="205"/>
      <c r="W373" s="200"/>
      <c r="X373" s="201"/>
      <c r="Y373" s="201"/>
      <c r="Z373" s="201">
        <f t="shared" si="418"/>
        <v>0</v>
      </c>
      <c r="AA373" s="198"/>
      <c r="AB373" s="206"/>
      <c r="AC373" s="207"/>
      <c r="AD373" s="201"/>
      <c r="AE373" s="204">
        <f t="shared" si="419"/>
        <v>0</v>
      </c>
      <c r="AF373" s="203">
        <f t="shared" si="420"/>
        <v>45566</v>
      </c>
      <c r="AG373" s="201">
        <f t="shared" si="421"/>
        <v>0</v>
      </c>
      <c r="AH373" s="201">
        <f t="shared" si="422"/>
        <v>5000000</v>
      </c>
      <c r="AI373" s="199">
        <f t="shared" si="423"/>
        <v>5000000</v>
      </c>
      <c r="AJ373" s="201">
        <f t="shared" si="440"/>
        <v>0</v>
      </c>
      <c r="AK373" s="201">
        <f t="shared" si="440"/>
        <v>5000000</v>
      </c>
      <c r="AL373" s="201">
        <f t="shared" si="424"/>
        <v>5000000</v>
      </c>
      <c r="AM373" s="198"/>
      <c r="AN373" s="203"/>
      <c r="AO373" s="208"/>
      <c r="AP373" s="201">
        <f t="shared" si="425"/>
        <v>0</v>
      </c>
      <c r="AQ373" s="201">
        <f t="shared" si="426"/>
        <v>4622020.1500000004</v>
      </c>
      <c r="AR373" s="201">
        <f t="shared" si="427"/>
        <v>4622020.1500000004</v>
      </c>
      <c r="AS373" s="201">
        <f t="shared" si="428"/>
        <v>92.440403000000018</v>
      </c>
      <c r="AT373" s="201"/>
      <c r="AU373" s="209">
        <v>4622020.1500000004</v>
      </c>
      <c r="AV373" s="201">
        <f t="shared" si="429"/>
        <v>4622020.1500000004</v>
      </c>
      <c r="AW373" s="201">
        <f t="shared" si="438"/>
        <v>0</v>
      </c>
      <c r="AX373" s="201">
        <f t="shared" si="430"/>
        <v>92.440403000000018</v>
      </c>
      <c r="AY373" s="208"/>
      <c r="AZ373" s="201">
        <f t="shared" si="431"/>
        <v>0</v>
      </c>
      <c r="BA373" s="201">
        <f t="shared" si="432"/>
        <v>0</v>
      </c>
      <c r="BB373" s="201">
        <f t="shared" si="433"/>
        <v>0</v>
      </c>
      <c r="BC373" s="201"/>
      <c r="BD373" s="209">
        <v>0</v>
      </c>
      <c r="BE373" s="201">
        <f t="shared" si="406"/>
        <v>0</v>
      </c>
      <c r="BF373" s="208"/>
      <c r="BG373" s="201">
        <f t="shared" si="411"/>
        <v>0</v>
      </c>
      <c r="BH373" s="201">
        <f t="shared" si="411"/>
        <v>4622020.1500000004</v>
      </c>
      <c r="BI373" s="201">
        <f t="shared" si="434"/>
        <v>4622020.1500000004</v>
      </c>
      <c r="BJ373" s="201">
        <f t="shared" si="435"/>
        <v>92.440403000000018</v>
      </c>
      <c r="BK373" s="210">
        <v>20</v>
      </c>
      <c r="BL373" s="210">
        <v>70</v>
      </c>
      <c r="BM373" s="211"/>
      <c r="BN373" s="211"/>
      <c r="BO373" s="212">
        <f t="shared" si="436"/>
        <v>0</v>
      </c>
      <c r="BP373" s="201">
        <f t="shared" si="437"/>
        <v>377979.84999999963</v>
      </c>
      <c r="BQ373" s="201">
        <f t="shared" si="407"/>
        <v>377979.84999999963</v>
      </c>
      <c r="BR373" s="201">
        <f t="shared" si="412"/>
        <v>0</v>
      </c>
      <c r="BS373" s="201">
        <f t="shared" si="412"/>
        <v>377979.84999999963</v>
      </c>
      <c r="BT373" s="201">
        <f t="shared" si="408"/>
        <v>377979.84999999963</v>
      </c>
      <c r="BU373" s="213">
        <f t="shared" si="439"/>
        <v>0</v>
      </c>
      <c r="BV373" s="201"/>
      <c r="BW373" s="201"/>
      <c r="BX373" s="201">
        <f t="shared" si="409"/>
        <v>0</v>
      </c>
      <c r="BY373" s="199">
        <v>833000</v>
      </c>
      <c r="BZ373" s="199">
        <v>833000</v>
      </c>
      <c r="CA373" s="199">
        <v>833000</v>
      </c>
      <c r="CB373" s="199">
        <v>833000</v>
      </c>
      <c r="CC373" s="199">
        <v>833000</v>
      </c>
      <c r="CD373" s="199">
        <v>835000</v>
      </c>
      <c r="CE373" s="199">
        <v>0</v>
      </c>
      <c r="CF373" s="199">
        <v>0</v>
      </c>
      <c r="CG373" s="199">
        <v>0</v>
      </c>
      <c r="CH373" s="199">
        <v>0</v>
      </c>
      <c r="CI373" s="199">
        <v>0</v>
      </c>
      <c r="CJ373" s="199">
        <v>0</v>
      </c>
      <c r="CK373" s="214" t="s">
        <v>993</v>
      </c>
      <c r="CL373" s="214" t="s">
        <v>610</v>
      </c>
      <c r="CM373" s="211">
        <v>198</v>
      </c>
      <c r="CN373" s="215"/>
      <c r="CO373" s="215"/>
      <c r="CP373" s="216"/>
      <c r="CQ373" s="217"/>
      <c r="CR373" s="211"/>
      <c r="CS373" s="218"/>
      <c r="CT373" s="218"/>
      <c r="CU373" s="218"/>
      <c r="CV373" s="211"/>
      <c r="CW373" s="211"/>
      <c r="CX373" s="211"/>
      <c r="CY373" s="211"/>
      <c r="CZ373" s="211"/>
      <c r="DA373" s="211"/>
      <c r="DB373" s="211"/>
      <c r="DC373" s="219"/>
      <c r="DD373" s="219"/>
      <c r="DE373" s="219"/>
      <c r="DF373" s="211"/>
      <c r="DG373" s="211"/>
      <c r="DH373" s="211"/>
      <c r="DI373" s="211"/>
      <c r="DJ373" s="211"/>
      <c r="DK373" s="220" t="s">
        <v>32</v>
      </c>
      <c r="DT373" s="222"/>
    </row>
    <row r="374" spans="1:124" s="176" customFormat="1" ht="42" x14ac:dyDescent="0.2">
      <c r="A374" s="225" t="s">
        <v>136</v>
      </c>
      <c r="B374" s="197" t="s">
        <v>994</v>
      </c>
      <c r="C374" s="198">
        <v>1</v>
      </c>
      <c r="D374" s="199">
        <v>5000000</v>
      </c>
      <c r="E374" s="198" t="s">
        <v>142</v>
      </c>
      <c r="F374" s="198" t="s">
        <v>143</v>
      </c>
      <c r="G374" s="198" t="s">
        <v>139</v>
      </c>
      <c r="H374" s="200">
        <v>1</v>
      </c>
      <c r="I374" s="199">
        <f t="shared" si="413"/>
        <v>0</v>
      </c>
      <c r="J374" s="199">
        <f t="shared" si="414"/>
        <v>5000000</v>
      </c>
      <c r="K374" s="199">
        <f t="shared" si="415"/>
        <v>5000000</v>
      </c>
      <c r="L374" s="199"/>
      <c r="M374" s="199">
        <v>5000000</v>
      </c>
      <c r="N374" s="199">
        <f t="shared" si="416"/>
        <v>5000000</v>
      </c>
      <c r="O374" s="199"/>
      <c r="P374" s="201">
        <v>0</v>
      </c>
      <c r="Q374" s="202">
        <v>14</v>
      </c>
      <c r="R374" s="203">
        <v>45566</v>
      </c>
      <c r="S374" s="199"/>
      <c r="T374" s="199">
        <v>5000000</v>
      </c>
      <c r="U374" s="204">
        <f t="shared" si="417"/>
        <v>5000000</v>
      </c>
      <c r="V374" s="205"/>
      <c r="W374" s="200"/>
      <c r="X374" s="201"/>
      <c r="Y374" s="201"/>
      <c r="Z374" s="201">
        <f t="shared" si="418"/>
        <v>0</v>
      </c>
      <c r="AA374" s="198"/>
      <c r="AB374" s="206"/>
      <c r="AC374" s="207"/>
      <c r="AD374" s="201"/>
      <c r="AE374" s="204">
        <f t="shared" si="419"/>
        <v>0</v>
      </c>
      <c r="AF374" s="203">
        <f t="shared" si="420"/>
        <v>45566</v>
      </c>
      <c r="AG374" s="201">
        <f t="shared" si="421"/>
        <v>0</v>
      </c>
      <c r="AH374" s="201">
        <f t="shared" si="422"/>
        <v>5000000</v>
      </c>
      <c r="AI374" s="199">
        <f t="shared" si="423"/>
        <v>5000000</v>
      </c>
      <c r="AJ374" s="201">
        <f t="shared" si="440"/>
        <v>0</v>
      </c>
      <c r="AK374" s="201">
        <f t="shared" si="440"/>
        <v>5000000</v>
      </c>
      <c r="AL374" s="201">
        <f t="shared" si="424"/>
        <v>5000000</v>
      </c>
      <c r="AM374" s="198"/>
      <c r="AN374" s="203"/>
      <c r="AO374" s="208"/>
      <c r="AP374" s="201">
        <f t="shared" si="425"/>
        <v>0</v>
      </c>
      <c r="AQ374" s="201">
        <f t="shared" si="426"/>
        <v>3986841</v>
      </c>
      <c r="AR374" s="201">
        <f t="shared" si="427"/>
        <v>3986841</v>
      </c>
      <c r="AS374" s="201">
        <f t="shared" si="428"/>
        <v>79.736819999999994</v>
      </c>
      <c r="AT374" s="201"/>
      <c r="AU374" s="209">
        <v>3986841</v>
      </c>
      <c r="AV374" s="201">
        <f t="shared" si="429"/>
        <v>3986841</v>
      </c>
      <c r="AW374" s="201">
        <f t="shared" si="438"/>
        <v>0</v>
      </c>
      <c r="AX374" s="201">
        <f t="shared" si="430"/>
        <v>79.736819999999994</v>
      </c>
      <c r="AY374" s="208"/>
      <c r="AZ374" s="201">
        <f t="shared" si="431"/>
        <v>0</v>
      </c>
      <c r="BA374" s="201">
        <f t="shared" si="432"/>
        <v>305092</v>
      </c>
      <c r="BB374" s="201">
        <f t="shared" si="433"/>
        <v>305092</v>
      </c>
      <c r="BC374" s="201"/>
      <c r="BD374" s="209">
        <v>305092</v>
      </c>
      <c r="BE374" s="201">
        <f t="shared" si="406"/>
        <v>305092</v>
      </c>
      <c r="BF374" s="208"/>
      <c r="BG374" s="201">
        <f t="shared" si="411"/>
        <v>0</v>
      </c>
      <c r="BH374" s="201">
        <f t="shared" si="411"/>
        <v>4291933</v>
      </c>
      <c r="BI374" s="201">
        <f t="shared" si="434"/>
        <v>4291933</v>
      </c>
      <c r="BJ374" s="201">
        <f t="shared" si="435"/>
        <v>85.838660000000004</v>
      </c>
      <c r="BK374" s="210">
        <v>20</v>
      </c>
      <c r="BL374" s="210">
        <v>70</v>
      </c>
      <c r="BM374" s="211"/>
      <c r="BN374" s="211"/>
      <c r="BO374" s="212">
        <f t="shared" si="436"/>
        <v>0</v>
      </c>
      <c r="BP374" s="201">
        <f t="shared" si="437"/>
        <v>1013159</v>
      </c>
      <c r="BQ374" s="201">
        <f t="shared" si="407"/>
        <v>1013159</v>
      </c>
      <c r="BR374" s="201">
        <f t="shared" si="412"/>
        <v>0</v>
      </c>
      <c r="BS374" s="201">
        <f t="shared" si="412"/>
        <v>1013159</v>
      </c>
      <c r="BT374" s="201">
        <f t="shared" si="408"/>
        <v>1013159</v>
      </c>
      <c r="BU374" s="213">
        <f t="shared" si="439"/>
        <v>0</v>
      </c>
      <c r="BV374" s="201"/>
      <c r="BW374" s="201"/>
      <c r="BX374" s="201">
        <f t="shared" si="409"/>
        <v>0</v>
      </c>
      <c r="BY374" s="199">
        <v>833000</v>
      </c>
      <c r="BZ374" s="199">
        <v>833000</v>
      </c>
      <c r="CA374" s="199">
        <v>833000</v>
      </c>
      <c r="CB374" s="199">
        <v>833000</v>
      </c>
      <c r="CC374" s="199">
        <v>833000</v>
      </c>
      <c r="CD374" s="199">
        <v>835000</v>
      </c>
      <c r="CE374" s="199">
        <v>0</v>
      </c>
      <c r="CF374" s="199">
        <v>0</v>
      </c>
      <c r="CG374" s="199">
        <v>0</v>
      </c>
      <c r="CH374" s="199">
        <v>0</v>
      </c>
      <c r="CI374" s="199">
        <v>0</v>
      </c>
      <c r="CJ374" s="199">
        <v>0</v>
      </c>
      <c r="CK374" s="214" t="s">
        <v>995</v>
      </c>
      <c r="CL374" s="214" t="s">
        <v>610</v>
      </c>
      <c r="CM374" s="211">
        <v>198</v>
      </c>
      <c r="CN374" s="215"/>
      <c r="CO374" s="215"/>
      <c r="CP374" s="216"/>
      <c r="CQ374" s="217"/>
      <c r="CR374" s="211"/>
      <c r="CS374" s="218"/>
      <c r="CT374" s="218"/>
      <c r="CU374" s="218"/>
      <c r="CV374" s="211"/>
      <c r="CW374" s="211"/>
      <c r="CX374" s="211"/>
      <c r="CY374" s="211"/>
      <c r="CZ374" s="211"/>
      <c r="DA374" s="211"/>
      <c r="DB374" s="211"/>
      <c r="DC374" s="219"/>
      <c r="DD374" s="219"/>
      <c r="DE374" s="219"/>
      <c r="DF374" s="211"/>
      <c r="DG374" s="211"/>
      <c r="DH374" s="211"/>
      <c r="DI374" s="211"/>
      <c r="DJ374" s="211"/>
      <c r="DK374" s="220" t="s">
        <v>32</v>
      </c>
      <c r="DT374" s="222"/>
    </row>
    <row r="375" spans="1:124" s="176" customFormat="1" ht="42" x14ac:dyDescent="0.2">
      <c r="A375" s="225" t="s">
        <v>136</v>
      </c>
      <c r="B375" s="197" t="s">
        <v>996</v>
      </c>
      <c r="C375" s="198">
        <v>1</v>
      </c>
      <c r="D375" s="199">
        <v>995000</v>
      </c>
      <c r="E375" s="198" t="s">
        <v>250</v>
      </c>
      <c r="F375" s="198" t="s">
        <v>250</v>
      </c>
      <c r="G375" s="198" t="s">
        <v>139</v>
      </c>
      <c r="H375" s="200">
        <v>1</v>
      </c>
      <c r="I375" s="199">
        <f t="shared" si="413"/>
        <v>0</v>
      </c>
      <c r="J375" s="199">
        <f t="shared" si="414"/>
        <v>995000</v>
      </c>
      <c r="K375" s="199">
        <f t="shared" si="415"/>
        <v>995000</v>
      </c>
      <c r="L375" s="199"/>
      <c r="M375" s="199">
        <v>995000</v>
      </c>
      <c r="N375" s="199">
        <f t="shared" si="416"/>
        <v>995000</v>
      </c>
      <c r="O375" s="199"/>
      <c r="P375" s="201">
        <v>0</v>
      </c>
      <c r="Q375" s="202">
        <v>14</v>
      </c>
      <c r="R375" s="203">
        <v>45566</v>
      </c>
      <c r="S375" s="199"/>
      <c r="T375" s="199">
        <v>995000</v>
      </c>
      <c r="U375" s="204">
        <f t="shared" si="417"/>
        <v>995000</v>
      </c>
      <c r="V375" s="205">
        <v>690</v>
      </c>
      <c r="W375" s="200">
        <v>45622</v>
      </c>
      <c r="X375" s="201"/>
      <c r="Y375" s="201">
        <v>-42100</v>
      </c>
      <c r="Z375" s="201">
        <f t="shared" si="418"/>
        <v>-42100</v>
      </c>
      <c r="AA375" s="198"/>
      <c r="AB375" s="206"/>
      <c r="AC375" s="207"/>
      <c r="AD375" s="201"/>
      <c r="AE375" s="204">
        <f t="shared" si="419"/>
        <v>0</v>
      </c>
      <c r="AF375" s="203">
        <f t="shared" si="420"/>
        <v>45566</v>
      </c>
      <c r="AG375" s="201">
        <f t="shared" si="421"/>
        <v>0</v>
      </c>
      <c r="AH375" s="201">
        <f t="shared" si="422"/>
        <v>952900</v>
      </c>
      <c r="AI375" s="199">
        <f t="shared" si="423"/>
        <v>952900</v>
      </c>
      <c r="AJ375" s="201">
        <f t="shared" si="440"/>
        <v>0</v>
      </c>
      <c r="AK375" s="201">
        <f t="shared" si="440"/>
        <v>952900</v>
      </c>
      <c r="AL375" s="201">
        <f t="shared" si="424"/>
        <v>952900</v>
      </c>
      <c r="AM375" s="198"/>
      <c r="AN375" s="203"/>
      <c r="AO375" s="208"/>
      <c r="AP375" s="201">
        <f t="shared" si="425"/>
        <v>0</v>
      </c>
      <c r="AQ375" s="201">
        <f t="shared" si="426"/>
        <v>952875.83</v>
      </c>
      <c r="AR375" s="201">
        <f t="shared" si="427"/>
        <v>952875.83</v>
      </c>
      <c r="AS375" s="201">
        <f t="shared" si="428"/>
        <v>99.997463532374852</v>
      </c>
      <c r="AT375" s="201"/>
      <c r="AU375" s="209">
        <v>952875.83</v>
      </c>
      <c r="AV375" s="201">
        <f t="shared" si="429"/>
        <v>952875.83</v>
      </c>
      <c r="AW375" s="201">
        <f t="shared" si="438"/>
        <v>0</v>
      </c>
      <c r="AX375" s="201">
        <f t="shared" si="430"/>
        <v>99.997463532374852</v>
      </c>
      <c r="AY375" s="208"/>
      <c r="AZ375" s="201">
        <f t="shared" si="431"/>
        <v>0</v>
      </c>
      <c r="BA375" s="201">
        <f t="shared" si="432"/>
        <v>0</v>
      </c>
      <c r="BB375" s="201">
        <f t="shared" si="433"/>
        <v>0</v>
      </c>
      <c r="BC375" s="201"/>
      <c r="BD375" s="209">
        <v>0</v>
      </c>
      <c r="BE375" s="201">
        <f t="shared" si="406"/>
        <v>0</v>
      </c>
      <c r="BF375" s="208"/>
      <c r="BG375" s="201">
        <f t="shared" si="411"/>
        <v>0</v>
      </c>
      <c r="BH375" s="201">
        <f t="shared" si="411"/>
        <v>952875.83</v>
      </c>
      <c r="BI375" s="201">
        <f t="shared" si="434"/>
        <v>952875.83</v>
      </c>
      <c r="BJ375" s="201">
        <f t="shared" si="435"/>
        <v>99.997463532374852</v>
      </c>
      <c r="BK375" s="210">
        <v>20</v>
      </c>
      <c r="BL375" s="210">
        <v>70</v>
      </c>
      <c r="BM375" s="211"/>
      <c r="BN375" s="211"/>
      <c r="BO375" s="212">
        <f t="shared" si="436"/>
        <v>0</v>
      </c>
      <c r="BP375" s="201">
        <f t="shared" si="437"/>
        <v>24.17000000004191</v>
      </c>
      <c r="BQ375" s="201">
        <f t="shared" si="407"/>
        <v>24.17000000004191</v>
      </c>
      <c r="BR375" s="201">
        <f t="shared" si="412"/>
        <v>0</v>
      </c>
      <c r="BS375" s="201">
        <f t="shared" si="412"/>
        <v>24.17000000004191</v>
      </c>
      <c r="BT375" s="201">
        <f t="shared" si="408"/>
        <v>24.17000000004191</v>
      </c>
      <c r="BU375" s="213">
        <f t="shared" si="439"/>
        <v>0</v>
      </c>
      <c r="BV375" s="201">
        <v>42100</v>
      </c>
      <c r="BW375" s="201"/>
      <c r="BX375" s="201">
        <f t="shared" si="409"/>
        <v>42100</v>
      </c>
      <c r="BY375" s="199">
        <v>330000</v>
      </c>
      <c r="BZ375" s="199">
        <v>335000</v>
      </c>
      <c r="CA375" s="199">
        <v>330000</v>
      </c>
      <c r="CB375" s="199"/>
      <c r="CC375" s="199">
        <v>0</v>
      </c>
      <c r="CD375" s="199">
        <v>0</v>
      </c>
      <c r="CE375" s="199">
        <v>0</v>
      </c>
      <c r="CF375" s="199">
        <v>0</v>
      </c>
      <c r="CG375" s="199">
        <v>0</v>
      </c>
      <c r="CH375" s="199">
        <v>0</v>
      </c>
      <c r="CI375" s="199">
        <v>0</v>
      </c>
      <c r="CJ375" s="199">
        <v>0</v>
      </c>
      <c r="CK375" s="214" t="s">
        <v>997</v>
      </c>
      <c r="CL375" s="214" t="s">
        <v>610</v>
      </c>
      <c r="CM375" s="211">
        <v>198</v>
      </c>
      <c r="CN375" s="215"/>
      <c r="CO375" s="215"/>
      <c r="CP375" s="216"/>
      <c r="CQ375" s="217"/>
      <c r="CR375" s="211"/>
      <c r="CS375" s="218"/>
      <c r="CT375" s="218"/>
      <c r="CU375" s="218"/>
      <c r="CV375" s="211"/>
      <c r="CW375" s="211"/>
      <c r="CX375" s="211"/>
      <c r="CY375" s="211"/>
      <c r="CZ375" s="211"/>
      <c r="DA375" s="211"/>
      <c r="DB375" s="211"/>
      <c r="DC375" s="219"/>
      <c r="DD375" s="219"/>
      <c r="DE375" s="219"/>
      <c r="DF375" s="211"/>
      <c r="DG375" s="211"/>
      <c r="DH375" s="211"/>
      <c r="DI375" s="211"/>
      <c r="DJ375" s="211"/>
      <c r="DK375" s="220" t="s">
        <v>32</v>
      </c>
      <c r="DT375" s="222"/>
    </row>
    <row r="376" spans="1:124" s="176" customFormat="1" ht="42" x14ac:dyDescent="0.2">
      <c r="A376" s="225" t="s">
        <v>136</v>
      </c>
      <c r="B376" s="197" t="s">
        <v>998</v>
      </c>
      <c r="C376" s="198">
        <v>1</v>
      </c>
      <c r="D376" s="199">
        <v>925000</v>
      </c>
      <c r="E376" s="198" t="s">
        <v>999</v>
      </c>
      <c r="F376" s="198" t="s">
        <v>250</v>
      </c>
      <c r="G376" s="198" t="s">
        <v>139</v>
      </c>
      <c r="H376" s="200">
        <v>1</v>
      </c>
      <c r="I376" s="199">
        <f t="shared" si="413"/>
        <v>0</v>
      </c>
      <c r="J376" s="199">
        <f t="shared" si="414"/>
        <v>925000</v>
      </c>
      <c r="K376" s="199">
        <f t="shared" si="415"/>
        <v>925000</v>
      </c>
      <c r="L376" s="199"/>
      <c r="M376" s="199">
        <v>925000</v>
      </c>
      <c r="N376" s="199">
        <f t="shared" si="416"/>
        <v>925000</v>
      </c>
      <c r="O376" s="199"/>
      <c r="P376" s="201">
        <v>0</v>
      </c>
      <c r="Q376" s="202">
        <v>14</v>
      </c>
      <c r="R376" s="203">
        <v>45566</v>
      </c>
      <c r="S376" s="199"/>
      <c r="T376" s="199">
        <v>925000</v>
      </c>
      <c r="U376" s="204">
        <f t="shared" si="417"/>
        <v>925000</v>
      </c>
      <c r="V376" s="205"/>
      <c r="W376" s="200"/>
      <c r="X376" s="201"/>
      <c r="Y376" s="201"/>
      <c r="Z376" s="201">
        <f t="shared" si="418"/>
        <v>0</v>
      </c>
      <c r="AA376" s="198"/>
      <c r="AB376" s="206"/>
      <c r="AC376" s="207"/>
      <c r="AD376" s="201"/>
      <c r="AE376" s="204">
        <f t="shared" si="419"/>
        <v>0</v>
      </c>
      <c r="AF376" s="203">
        <f t="shared" si="420"/>
        <v>45566</v>
      </c>
      <c r="AG376" s="201">
        <f t="shared" si="421"/>
        <v>0</v>
      </c>
      <c r="AH376" s="201">
        <f t="shared" si="422"/>
        <v>925000</v>
      </c>
      <c r="AI376" s="199">
        <f t="shared" si="423"/>
        <v>925000</v>
      </c>
      <c r="AJ376" s="201">
        <f t="shared" si="440"/>
        <v>0</v>
      </c>
      <c r="AK376" s="201">
        <f t="shared" si="440"/>
        <v>925000</v>
      </c>
      <c r="AL376" s="201">
        <f t="shared" si="424"/>
        <v>925000</v>
      </c>
      <c r="AM376" s="198"/>
      <c r="AN376" s="203"/>
      <c r="AO376" s="208"/>
      <c r="AP376" s="201">
        <f t="shared" si="425"/>
        <v>0</v>
      </c>
      <c r="AQ376" s="201">
        <f t="shared" si="426"/>
        <v>579601.85</v>
      </c>
      <c r="AR376" s="201">
        <f t="shared" si="427"/>
        <v>579601.85</v>
      </c>
      <c r="AS376" s="201">
        <f t="shared" si="428"/>
        <v>62.659659459459462</v>
      </c>
      <c r="AT376" s="201"/>
      <c r="AU376" s="209">
        <v>579601.85</v>
      </c>
      <c r="AV376" s="201">
        <f t="shared" si="429"/>
        <v>579601.85</v>
      </c>
      <c r="AW376" s="201">
        <f t="shared" si="438"/>
        <v>0</v>
      </c>
      <c r="AX376" s="201">
        <f t="shared" si="430"/>
        <v>62.659659459459462</v>
      </c>
      <c r="AY376" s="208"/>
      <c r="AZ376" s="201">
        <f t="shared" si="431"/>
        <v>0</v>
      </c>
      <c r="BA376" s="201">
        <f t="shared" si="432"/>
        <v>0</v>
      </c>
      <c r="BB376" s="201">
        <f t="shared" si="433"/>
        <v>0</v>
      </c>
      <c r="BC376" s="201"/>
      <c r="BD376" s="209">
        <v>0</v>
      </c>
      <c r="BE376" s="201">
        <f t="shared" si="406"/>
        <v>0</v>
      </c>
      <c r="BF376" s="208"/>
      <c r="BG376" s="201">
        <f t="shared" ref="BG376:BH439" si="441">+AP376+AZ376</f>
        <v>0</v>
      </c>
      <c r="BH376" s="201">
        <f t="shared" si="441"/>
        <v>579601.85</v>
      </c>
      <c r="BI376" s="201">
        <f t="shared" si="434"/>
        <v>579601.85</v>
      </c>
      <c r="BJ376" s="201">
        <f t="shared" si="435"/>
        <v>62.659659459459462</v>
      </c>
      <c r="BK376" s="210">
        <v>20</v>
      </c>
      <c r="BL376" s="210">
        <v>60</v>
      </c>
      <c r="BM376" s="211"/>
      <c r="BN376" s="211"/>
      <c r="BO376" s="212">
        <f t="shared" si="436"/>
        <v>0</v>
      </c>
      <c r="BP376" s="201">
        <f t="shared" si="437"/>
        <v>345398.15</v>
      </c>
      <c r="BQ376" s="201">
        <f t="shared" si="407"/>
        <v>345398.15</v>
      </c>
      <c r="BR376" s="201">
        <f t="shared" si="412"/>
        <v>0</v>
      </c>
      <c r="BS376" s="201">
        <f t="shared" si="412"/>
        <v>345398.15</v>
      </c>
      <c r="BT376" s="201">
        <f t="shared" si="408"/>
        <v>345398.15</v>
      </c>
      <c r="BU376" s="213">
        <f t="shared" si="439"/>
        <v>0</v>
      </c>
      <c r="BV376" s="201"/>
      <c r="BW376" s="201"/>
      <c r="BX376" s="201">
        <f t="shared" si="409"/>
        <v>0</v>
      </c>
      <c r="BY376" s="199">
        <v>305000</v>
      </c>
      <c r="BZ376" s="199">
        <v>305000</v>
      </c>
      <c r="CA376" s="199">
        <v>315000</v>
      </c>
      <c r="CB376" s="199"/>
      <c r="CC376" s="199">
        <v>0</v>
      </c>
      <c r="CD376" s="199">
        <v>0</v>
      </c>
      <c r="CE376" s="199">
        <v>0</v>
      </c>
      <c r="CF376" s="199">
        <v>0</v>
      </c>
      <c r="CG376" s="199">
        <v>0</v>
      </c>
      <c r="CH376" s="199">
        <v>0</v>
      </c>
      <c r="CI376" s="199">
        <v>0</v>
      </c>
      <c r="CJ376" s="199">
        <v>0</v>
      </c>
      <c r="CK376" s="214" t="s">
        <v>1000</v>
      </c>
      <c r="CL376" s="214" t="s">
        <v>610</v>
      </c>
      <c r="CM376" s="211">
        <v>198</v>
      </c>
      <c r="CN376" s="215"/>
      <c r="CO376" s="215"/>
      <c r="CP376" s="216"/>
      <c r="CQ376" s="217"/>
      <c r="CR376" s="211"/>
      <c r="CS376" s="218"/>
      <c r="CT376" s="218"/>
      <c r="CU376" s="218"/>
      <c r="CV376" s="211"/>
      <c r="CW376" s="211"/>
      <c r="CX376" s="211"/>
      <c r="CY376" s="211"/>
      <c r="CZ376" s="211"/>
      <c r="DA376" s="211"/>
      <c r="DB376" s="211"/>
      <c r="DC376" s="219"/>
      <c r="DD376" s="219"/>
      <c r="DE376" s="219"/>
      <c r="DF376" s="211"/>
      <c r="DG376" s="211"/>
      <c r="DH376" s="211"/>
      <c r="DI376" s="211"/>
      <c r="DJ376" s="211"/>
      <c r="DK376" s="220" t="s">
        <v>32</v>
      </c>
      <c r="DT376" s="222"/>
    </row>
    <row r="377" spans="1:124" s="176" customFormat="1" ht="42" x14ac:dyDescent="0.2">
      <c r="A377" s="225" t="s">
        <v>136</v>
      </c>
      <c r="B377" s="197" t="s">
        <v>1001</v>
      </c>
      <c r="C377" s="198">
        <v>1</v>
      </c>
      <c r="D377" s="199">
        <v>850000</v>
      </c>
      <c r="E377" s="198" t="s">
        <v>999</v>
      </c>
      <c r="F377" s="198" t="s">
        <v>250</v>
      </c>
      <c r="G377" s="198" t="s">
        <v>139</v>
      </c>
      <c r="H377" s="200">
        <v>1</v>
      </c>
      <c r="I377" s="199">
        <f t="shared" si="413"/>
        <v>0</v>
      </c>
      <c r="J377" s="199">
        <f t="shared" si="414"/>
        <v>850000</v>
      </c>
      <c r="K377" s="199">
        <f t="shared" si="415"/>
        <v>850000</v>
      </c>
      <c r="L377" s="199"/>
      <c r="M377" s="199">
        <v>850000</v>
      </c>
      <c r="N377" s="199">
        <f t="shared" si="416"/>
        <v>850000</v>
      </c>
      <c r="O377" s="199"/>
      <c r="P377" s="201">
        <v>0</v>
      </c>
      <c r="Q377" s="202">
        <v>14</v>
      </c>
      <c r="R377" s="203">
        <v>45566</v>
      </c>
      <c r="S377" s="199"/>
      <c r="T377" s="199">
        <v>850000</v>
      </c>
      <c r="U377" s="204">
        <f t="shared" si="417"/>
        <v>850000</v>
      </c>
      <c r="V377" s="205">
        <v>690</v>
      </c>
      <c r="W377" s="200">
        <v>45622</v>
      </c>
      <c r="X377" s="201"/>
      <c r="Y377" s="201">
        <v>-17438</v>
      </c>
      <c r="Z377" s="201">
        <f t="shared" si="418"/>
        <v>-17438</v>
      </c>
      <c r="AA377" s="198"/>
      <c r="AB377" s="206"/>
      <c r="AC377" s="207"/>
      <c r="AD377" s="201"/>
      <c r="AE377" s="204">
        <f t="shared" si="419"/>
        <v>0</v>
      </c>
      <c r="AF377" s="203">
        <f t="shared" si="420"/>
        <v>45566</v>
      </c>
      <c r="AG377" s="201">
        <f t="shared" si="421"/>
        <v>0</v>
      </c>
      <c r="AH377" s="201">
        <f t="shared" si="422"/>
        <v>832562</v>
      </c>
      <c r="AI377" s="199">
        <f t="shared" si="423"/>
        <v>832562</v>
      </c>
      <c r="AJ377" s="201">
        <f t="shared" si="440"/>
        <v>0</v>
      </c>
      <c r="AK377" s="201">
        <f t="shared" si="440"/>
        <v>832562</v>
      </c>
      <c r="AL377" s="201">
        <f t="shared" si="424"/>
        <v>832562</v>
      </c>
      <c r="AM377" s="198"/>
      <c r="AN377" s="203"/>
      <c r="AO377" s="208"/>
      <c r="AP377" s="201">
        <f t="shared" si="425"/>
        <v>0</v>
      </c>
      <c r="AQ377" s="201">
        <f t="shared" si="426"/>
        <v>830577.11</v>
      </c>
      <c r="AR377" s="201">
        <f t="shared" si="427"/>
        <v>830577.11</v>
      </c>
      <c r="AS377" s="201">
        <f t="shared" si="428"/>
        <v>99.761592530045817</v>
      </c>
      <c r="AT377" s="201"/>
      <c r="AU377" s="209">
        <v>830577.11</v>
      </c>
      <c r="AV377" s="201">
        <f t="shared" si="429"/>
        <v>830577.11</v>
      </c>
      <c r="AW377" s="201">
        <f t="shared" si="438"/>
        <v>0</v>
      </c>
      <c r="AX377" s="201">
        <f t="shared" si="430"/>
        <v>99.761592530045817</v>
      </c>
      <c r="AY377" s="208"/>
      <c r="AZ377" s="201">
        <f t="shared" si="431"/>
        <v>0</v>
      </c>
      <c r="BA377" s="201">
        <f t="shared" si="432"/>
        <v>0</v>
      </c>
      <c r="BB377" s="201">
        <f t="shared" si="433"/>
        <v>0</v>
      </c>
      <c r="BC377" s="201"/>
      <c r="BD377" s="209">
        <v>0</v>
      </c>
      <c r="BE377" s="201">
        <f t="shared" si="406"/>
        <v>0</v>
      </c>
      <c r="BF377" s="208"/>
      <c r="BG377" s="201">
        <f t="shared" si="441"/>
        <v>0</v>
      </c>
      <c r="BH377" s="201">
        <f t="shared" si="441"/>
        <v>830577.11</v>
      </c>
      <c r="BI377" s="201">
        <f t="shared" si="434"/>
        <v>830577.11</v>
      </c>
      <c r="BJ377" s="201">
        <f t="shared" si="435"/>
        <v>99.761592530045817</v>
      </c>
      <c r="BK377" s="210">
        <v>20</v>
      </c>
      <c r="BL377" s="210">
        <v>70</v>
      </c>
      <c r="BM377" s="211"/>
      <c r="BN377" s="211"/>
      <c r="BO377" s="212">
        <f t="shared" si="436"/>
        <v>0</v>
      </c>
      <c r="BP377" s="201">
        <f t="shared" si="437"/>
        <v>1984.890000000014</v>
      </c>
      <c r="BQ377" s="201">
        <f t="shared" si="407"/>
        <v>1984.890000000014</v>
      </c>
      <c r="BR377" s="201">
        <f t="shared" ref="BR377:BS440" si="442">+AJ377-AT377</f>
        <v>0</v>
      </c>
      <c r="BS377" s="201">
        <f t="shared" si="442"/>
        <v>1984.890000000014</v>
      </c>
      <c r="BT377" s="201">
        <f t="shared" si="408"/>
        <v>1984.890000000014</v>
      </c>
      <c r="BU377" s="213">
        <f t="shared" si="439"/>
        <v>0</v>
      </c>
      <c r="BV377" s="201">
        <v>17438</v>
      </c>
      <c r="BW377" s="201"/>
      <c r="BX377" s="201">
        <f t="shared" si="409"/>
        <v>17438</v>
      </c>
      <c r="BY377" s="199">
        <v>280000</v>
      </c>
      <c r="BZ377" s="199">
        <v>280000</v>
      </c>
      <c r="CA377" s="199">
        <v>290000</v>
      </c>
      <c r="CB377" s="199"/>
      <c r="CC377" s="199">
        <v>0</v>
      </c>
      <c r="CD377" s="199">
        <v>0</v>
      </c>
      <c r="CE377" s="199">
        <v>0</v>
      </c>
      <c r="CF377" s="199">
        <v>0</v>
      </c>
      <c r="CG377" s="199">
        <v>0</v>
      </c>
      <c r="CH377" s="199">
        <v>0</v>
      </c>
      <c r="CI377" s="199">
        <v>0</v>
      </c>
      <c r="CJ377" s="199">
        <v>0</v>
      </c>
      <c r="CK377" s="214" t="s">
        <v>1002</v>
      </c>
      <c r="CL377" s="214" t="s">
        <v>610</v>
      </c>
      <c r="CM377" s="211">
        <v>198</v>
      </c>
      <c r="CN377" s="215"/>
      <c r="CO377" s="215"/>
      <c r="CP377" s="216"/>
      <c r="CQ377" s="217"/>
      <c r="CR377" s="211"/>
      <c r="CS377" s="218"/>
      <c r="CT377" s="218"/>
      <c r="CU377" s="218"/>
      <c r="CV377" s="211"/>
      <c r="CW377" s="211"/>
      <c r="CX377" s="211"/>
      <c r="CY377" s="211"/>
      <c r="CZ377" s="211"/>
      <c r="DA377" s="211"/>
      <c r="DB377" s="211"/>
      <c r="DC377" s="219"/>
      <c r="DD377" s="219"/>
      <c r="DE377" s="219"/>
      <c r="DF377" s="211"/>
      <c r="DG377" s="211"/>
      <c r="DH377" s="211"/>
      <c r="DI377" s="211"/>
      <c r="DJ377" s="211"/>
      <c r="DK377" s="220" t="s">
        <v>32</v>
      </c>
      <c r="DT377" s="222"/>
    </row>
    <row r="378" spans="1:124" s="176" customFormat="1" x14ac:dyDescent="0.2">
      <c r="A378" s="225" t="s">
        <v>136</v>
      </c>
      <c r="B378" s="197" t="s">
        <v>1003</v>
      </c>
      <c r="C378" s="198">
        <v>1</v>
      </c>
      <c r="D378" s="199">
        <v>900000</v>
      </c>
      <c r="E378" s="198" t="s">
        <v>111</v>
      </c>
      <c r="F378" s="198" t="s">
        <v>473</v>
      </c>
      <c r="G378" s="198" t="s">
        <v>139</v>
      </c>
      <c r="H378" s="200">
        <v>1</v>
      </c>
      <c r="I378" s="199">
        <f t="shared" si="413"/>
        <v>0</v>
      </c>
      <c r="J378" s="199">
        <f t="shared" si="414"/>
        <v>900000</v>
      </c>
      <c r="K378" s="199">
        <f t="shared" si="415"/>
        <v>900000</v>
      </c>
      <c r="L378" s="199"/>
      <c r="M378" s="199">
        <v>900000</v>
      </c>
      <c r="N378" s="199">
        <f t="shared" si="416"/>
        <v>900000</v>
      </c>
      <c r="O378" s="199"/>
      <c r="P378" s="201">
        <v>0</v>
      </c>
      <c r="Q378" s="202">
        <v>14</v>
      </c>
      <c r="R378" s="203">
        <v>45566</v>
      </c>
      <c r="S378" s="199"/>
      <c r="T378" s="199">
        <v>900000</v>
      </c>
      <c r="U378" s="204">
        <f t="shared" si="417"/>
        <v>900000</v>
      </c>
      <c r="V378" s="205">
        <v>690</v>
      </c>
      <c r="W378" s="200">
        <v>45622</v>
      </c>
      <c r="X378" s="201"/>
      <c r="Y378" s="201">
        <v>-18584</v>
      </c>
      <c r="Z378" s="201">
        <f t="shared" si="418"/>
        <v>-18584</v>
      </c>
      <c r="AA378" s="198"/>
      <c r="AB378" s="206"/>
      <c r="AC378" s="207"/>
      <c r="AD378" s="201"/>
      <c r="AE378" s="204">
        <f t="shared" si="419"/>
        <v>0</v>
      </c>
      <c r="AF378" s="203">
        <f t="shared" si="420"/>
        <v>45566</v>
      </c>
      <c r="AG378" s="201">
        <f t="shared" si="421"/>
        <v>0</v>
      </c>
      <c r="AH378" s="201">
        <f t="shared" si="422"/>
        <v>881416</v>
      </c>
      <c r="AI378" s="199">
        <f t="shared" si="423"/>
        <v>881416</v>
      </c>
      <c r="AJ378" s="201">
        <f t="shared" si="440"/>
        <v>0</v>
      </c>
      <c r="AK378" s="201">
        <f t="shared" si="440"/>
        <v>881416</v>
      </c>
      <c r="AL378" s="201">
        <f t="shared" si="424"/>
        <v>881416</v>
      </c>
      <c r="AM378" s="198"/>
      <c r="AN378" s="203"/>
      <c r="AO378" s="208"/>
      <c r="AP378" s="201">
        <f t="shared" si="425"/>
        <v>0</v>
      </c>
      <c r="AQ378" s="201">
        <f t="shared" si="426"/>
        <v>558965.9</v>
      </c>
      <c r="AR378" s="201">
        <f t="shared" si="427"/>
        <v>558965.9</v>
      </c>
      <c r="AS378" s="201">
        <f t="shared" si="428"/>
        <v>63.416808862103707</v>
      </c>
      <c r="AT378" s="201"/>
      <c r="AU378" s="209">
        <v>558965.9</v>
      </c>
      <c r="AV378" s="201">
        <f t="shared" si="429"/>
        <v>558965.9</v>
      </c>
      <c r="AW378" s="201">
        <f t="shared" si="438"/>
        <v>0</v>
      </c>
      <c r="AX378" s="201">
        <f t="shared" si="430"/>
        <v>63.416808862103707</v>
      </c>
      <c r="AY378" s="208"/>
      <c r="AZ378" s="201">
        <f t="shared" si="431"/>
        <v>0</v>
      </c>
      <c r="BA378" s="201">
        <f t="shared" si="432"/>
        <v>0</v>
      </c>
      <c r="BB378" s="201">
        <f t="shared" si="433"/>
        <v>0</v>
      </c>
      <c r="BC378" s="201"/>
      <c r="BD378" s="209">
        <v>0</v>
      </c>
      <c r="BE378" s="201">
        <f t="shared" si="406"/>
        <v>0</v>
      </c>
      <c r="BF378" s="208"/>
      <c r="BG378" s="201">
        <f t="shared" si="441"/>
        <v>0</v>
      </c>
      <c r="BH378" s="201">
        <f t="shared" si="441"/>
        <v>558965.9</v>
      </c>
      <c r="BI378" s="201">
        <f t="shared" si="434"/>
        <v>558965.9</v>
      </c>
      <c r="BJ378" s="201">
        <f t="shared" si="435"/>
        <v>63.416808862103707</v>
      </c>
      <c r="BK378" s="210">
        <v>20</v>
      </c>
      <c r="BL378" s="210">
        <v>60</v>
      </c>
      <c r="BM378" s="211"/>
      <c r="BN378" s="211"/>
      <c r="BO378" s="212">
        <f t="shared" si="436"/>
        <v>0</v>
      </c>
      <c r="BP378" s="201">
        <f t="shared" si="437"/>
        <v>322450.09999999998</v>
      </c>
      <c r="BQ378" s="201">
        <f t="shared" si="407"/>
        <v>322450.09999999998</v>
      </c>
      <c r="BR378" s="201">
        <f t="shared" si="442"/>
        <v>0</v>
      </c>
      <c r="BS378" s="201">
        <f t="shared" si="442"/>
        <v>322450.09999999998</v>
      </c>
      <c r="BT378" s="201">
        <f t="shared" si="408"/>
        <v>322450.09999999998</v>
      </c>
      <c r="BU378" s="213">
        <f t="shared" si="439"/>
        <v>0</v>
      </c>
      <c r="BV378" s="201">
        <v>18584</v>
      </c>
      <c r="BW378" s="201"/>
      <c r="BX378" s="201">
        <f t="shared" si="409"/>
        <v>18584</v>
      </c>
      <c r="BY378" s="199">
        <v>300000</v>
      </c>
      <c r="BZ378" s="199">
        <v>300000</v>
      </c>
      <c r="CA378" s="199">
        <v>300000</v>
      </c>
      <c r="CB378" s="199"/>
      <c r="CC378" s="199">
        <v>0</v>
      </c>
      <c r="CD378" s="199">
        <v>0</v>
      </c>
      <c r="CE378" s="199">
        <v>0</v>
      </c>
      <c r="CF378" s="199">
        <v>0</v>
      </c>
      <c r="CG378" s="199">
        <v>0</v>
      </c>
      <c r="CH378" s="199">
        <v>0</v>
      </c>
      <c r="CI378" s="199">
        <v>0</v>
      </c>
      <c r="CJ378" s="199">
        <v>0</v>
      </c>
      <c r="CK378" s="214" t="s">
        <v>1004</v>
      </c>
      <c r="CL378" s="214" t="s">
        <v>610</v>
      </c>
      <c r="CM378" s="211">
        <v>198</v>
      </c>
      <c r="CN378" s="215"/>
      <c r="CO378" s="215"/>
      <c r="CP378" s="216"/>
      <c r="CQ378" s="217"/>
      <c r="CR378" s="211"/>
      <c r="CS378" s="218"/>
      <c r="CT378" s="218"/>
      <c r="CU378" s="218"/>
      <c r="CV378" s="211"/>
      <c r="CW378" s="211"/>
      <c r="CX378" s="211"/>
      <c r="CY378" s="211"/>
      <c r="CZ378" s="211"/>
      <c r="DA378" s="211"/>
      <c r="DB378" s="211"/>
      <c r="DC378" s="219"/>
      <c r="DD378" s="219"/>
      <c r="DE378" s="219"/>
      <c r="DF378" s="211"/>
      <c r="DG378" s="211"/>
      <c r="DH378" s="211"/>
      <c r="DI378" s="211"/>
      <c r="DJ378" s="211"/>
      <c r="DK378" s="220" t="s">
        <v>32</v>
      </c>
      <c r="DT378" s="222"/>
    </row>
    <row r="379" spans="1:124" s="176" customFormat="1" ht="42" x14ac:dyDescent="0.2">
      <c r="A379" s="225" t="s">
        <v>136</v>
      </c>
      <c r="B379" s="197" t="s">
        <v>1005</v>
      </c>
      <c r="C379" s="198">
        <v>1</v>
      </c>
      <c r="D379" s="199">
        <v>995000</v>
      </c>
      <c r="E379" s="198" t="s">
        <v>250</v>
      </c>
      <c r="F379" s="198" t="s">
        <v>250</v>
      </c>
      <c r="G379" s="198" t="s">
        <v>139</v>
      </c>
      <c r="H379" s="200">
        <v>1</v>
      </c>
      <c r="I379" s="199">
        <f t="shared" si="413"/>
        <v>0</v>
      </c>
      <c r="J379" s="199">
        <f t="shared" si="414"/>
        <v>995000</v>
      </c>
      <c r="K379" s="199">
        <f t="shared" si="415"/>
        <v>995000</v>
      </c>
      <c r="L379" s="199"/>
      <c r="M379" s="199">
        <v>995000</v>
      </c>
      <c r="N379" s="199">
        <f t="shared" si="416"/>
        <v>995000</v>
      </c>
      <c r="O379" s="199"/>
      <c r="P379" s="201">
        <v>0</v>
      </c>
      <c r="Q379" s="202">
        <v>14</v>
      </c>
      <c r="R379" s="203">
        <v>45566</v>
      </c>
      <c r="S379" s="199"/>
      <c r="T379" s="199">
        <v>995000</v>
      </c>
      <c r="U379" s="204">
        <f t="shared" si="417"/>
        <v>995000</v>
      </c>
      <c r="V379" s="205">
        <v>690</v>
      </c>
      <c r="W379" s="200">
        <v>45622</v>
      </c>
      <c r="X379" s="201"/>
      <c r="Y379" s="201">
        <v>-23140</v>
      </c>
      <c r="Z379" s="201">
        <f t="shared" si="418"/>
        <v>-23140</v>
      </c>
      <c r="AA379" s="198"/>
      <c r="AB379" s="206"/>
      <c r="AC379" s="207"/>
      <c r="AD379" s="201"/>
      <c r="AE379" s="204">
        <f t="shared" si="419"/>
        <v>0</v>
      </c>
      <c r="AF379" s="203">
        <f t="shared" si="420"/>
        <v>45566</v>
      </c>
      <c r="AG379" s="201">
        <f t="shared" si="421"/>
        <v>0</v>
      </c>
      <c r="AH379" s="201">
        <f t="shared" si="422"/>
        <v>971860</v>
      </c>
      <c r="AI379" s="199">
        <f t="shared" si="423"/>
        <v>971860</v>
      </c>
      <c r="AJ379" s="201">
        <f t="shared" si="440"/>
        <v>0</v>
      </c>
      <c r="AK379" s="201">
        <f t="shared" si="440"/>
        <v>971860</v>
      </c>
      <c r="AL379" s="201">
        <f t="shared" si="424"/>
        <v>971860</v>
      </c>
      <c r="AM379" s="198"/>
      <c r="AN379" s="203"/>
      <c r="AO379" s="208"/>
      <c r="AP379" s="201">
        <f t="shared" si="425"/>
        <v>0</v>
      </c>
      <c r="AQ379" s="201">
        <f t="shared" si="426"/>
        <v>608022.41</v>
      </c>
      <c r="AR379" s="201">
        <f t="shared" si="427"/>
        <v>608022.41</v>
      </c>
      <c r="AS379" s="201">
        <f t="shared" si="428"/>
        <v>62.562756981458236</v>
      </c>
      <c r="AT379" s="201"/>
      <c r="AU379" s="209">
        <v>608022.41</v>
      </c>
      <c r="AV379" s="201">
        <f t="shared" si="429"/>
        <v>608022.41</v>
      </c>
      <c r="AW379" s="201">
        <f t="shared" si="438"/>
        <v>0</v>
      </c>
      <c r="AX379" s="201">
        <f t="shared" si="430"/>
        <v>62.562756981458236</v>
      </c>
      <c r="AY379" s="208"/>
      <c r="AZ379" s="201">
        <f t="shared" si="431"/>
        <v>0</v>
      </c>
      <c r="BA379" s="201">
        <f t="shared" si="432"/>
        <v>9816</v>
      </c>
      <c r="BB379" s="201">
        <f t="shared" si="433"/>
        <v>9816</v>
      </c>
      <c r="BC379" s="201"/>
      <c r="BD379" s="209">
        <v>9816</v>
      </c>
      <c r="BE379" s="201">
        <f t="shared" si="406"/>
        <v>9816</v>
      </c>
      <c r="BF379" s="208"/>
      <c r="BG379" s="201">
        <f t="shared" si="441"/>
        <v>0</v>
      </c>
      <c r="BH379" s="201">
        <f t="shared" si="441"/>
        <v>617838.41</v>
      </c>
      <c r="BI379" s="201">
        <f t="shared" si="434"/>
        <v>617838.41</v>
      </c>
      <c r="BJ379" s="201">
        <f t="shared" si="435"/>
        <v>63.572779001090694</v>
      </c>
      <c r="BK379" s="210">
        <v>20</v>
      </c>
      <c r="BL379" s="210">
        <v>60</v>
      </c>
      <c r="BM379" s="211"/>
      <c r="BN379" s="211"/>
      <c r="BO379" s="212">
        <f t="shared" si="436"/>
        <v>0</v>
      </c>
      <c r="BP379" s="201">
        <f t="shared" si="437"/>
        <v>363837.58999999997</v>
      </c>
      <c r="BQ379" s="201">
        <f t="shared" si="407"/>
        <v>363837.58999999997</v>
      </c>
      <c r="BR379" s="201">
        <f t="shared" si="442"/>
        <v>0</v>
      </c>
      <c r="BS379" s="201">
        <f t="shared" si="442"/>
        <v>363837.58999999997</v>
      </c>
      <c r="BT379" s="201">
        <f t="shared" si="408"/>
        <v>363837.58999999997</v>
      </c>
      <c r="BU379" s="213">
        <f t="shared" si="439"/>
        <v>0</v>
      </c>
      <c r="BV379" s="201">
        <v>23140</v>
      </c>
      <c r="BW379" s="201"/>
      <c r="BX379" s="201">
        <f t="shared" si="409"/>
        <v>23140</v>
      </c>
      <c r="BY379" s="199">
        <v>330000</v>
      </c>
      <c r="BZ379" s="199">
        <v>340000</v>
      </c>
      <c r="CA379" s="199">
        <v>325000</v>
      </c>
      <c r="CB379" s="199">
        <v>0</v>
      </c>
      <c r="CC379" s="199">
        <v>0</v>
      </c>
      <c r="CD379" s="199">
        <v>0</v>
      </c>
      <c r="CE379" s="199">
        <v>0</v>
      </c>
      <c r="CF379" s="199">
        <v>0</v>
      </c>
      <c r="CG379" s="199">
        <v>0</v>
      </c>
      <c r="CH379" s="199">
        <v>0</v>
      </c>
      <c r="CI379" s="199">
        <v>0</v>
      </c>
      <c r="CJ379" s="199">
        <v>0</v>
      </c>
      <c r="CK379" s="214" t="s">
        <v>1006</v>
      </c>
      <c r="CL379" s="214" t="s">
        <v>610</v>
      </c>
      <c r="CM379" s="211">
        <v>198</v>
      </c>
      <c r="CN379" s="215"/>
      <c r="CO379" s="215"/>
      <c r="CP379" s="216"/>
      <c r="CQ379" s="217"/>
      <c r="CR379" s="211"/>
      <c r="CS379" s="218"/>
      <c r="CT379" s="218"/>
      <c r="CU379" s="218"/>
      <c r="CV379" s="211"/>
      <c r="CW379" s="211"/>
      <c r="CX379" s="211"/>
      <c r="CY379" s="211"/>
      <c r="CZ379" s="211"/>
      <c r="DA379" s="211"/>
      <c r="DB379" s="211"/>
      <c r="DC379" s="219"/>
      <c r="DD379" s="219"/>
      <c r="DE379" s="219"/>
      <c r="DF379" s="211"/>
      <c r="DG379" s="211"/>
      <c r="DH379" s="211"/>
      <c r="DI379" s="211"/>
      <c r="DJ379" s="211"/>
      <c r="DK379" s="220" t="s">
        <v>32</v>
      </c>
      <c r="DT379" s="222"/>
    </row>
    <row r="380" spans="1:124" s="176" customFormat="1" ht="42" x14ac:dyDescent="0.2">
      <c r="A380" s="225" t="s">
        <v>136</v>
      </c>
      <c r="B380" s="197" t="s">
        <v>1007</v>
      </c>
      <c r="C380" s="198">
        <v>1</v>
      </c>
      <c r="D380" s="199">
        <v>1562000</v>
      </c>
      <c r="E380" s="198" t="s">
        <v>458</v>
      </c>
      <c r="F380" s="198" t="s">
        <v>195</v>
      </c>
      <c r="G380" s="198" t="s">
        <v>139</v>
      </c>
      <c r="H380" s="200">
        <v>1</v>
      </c>
      <c r="I380" s="199">
        <f t="shared" si="413"/>
        <v>0</v>
      </c>
      <c r="J380" s="199">
        <f t="shared" si="414"/>
        <v>1562000</v>
      </c>
      <c r="K380" s="199">
        <f t="shared" si="415"/>
        <v>1562000</v>
      </c>
      <c r="L380" s="199"/>
      <c r="M380" s="199">
        <v>1562000</v>
      </c>
      <c r="N380" s="199">
        <f t="shared" si="416"/>
        <v>1562000</v>
      </c>
      <c r="O380" s="199"/>
      <c r="P380" s="201">
        <v>0</v>
      </c>
      <c r="Q380" s="202">
        <v>14</v>
      </c>
      <c r="R380" s="203">
        <v>45566</v>
      </c>
      <c r="S380" s="199"/>
      <c r="T380" s="199">
        <v>1562000</v>
      </c>
      <c r="U380" s="204">
        <f t="shared" si="417"/>
        <v>1562000</v>
      </c>
      <c r="V380" s="205"/>
      <c r="W380" s="200"/>
      <c r="X380" s="201"/>
      <c r="Y380" s="201"/>
      <c r="Z380" s="201">
        <f t="shared" si="418"/>
        <v>0</v>
      </c>
      <c r="AA380" s="198"/>
      <c r="AB380" s="206"/>
      <c r="AC380" s="207"/>
      <c r="AD380" s="201"/>
      <c r="AE380" s="204">
        <f t="shared" si="419"/>
        <v>0</v>
      </c>
      <c r="AF380" s="203">
        <f t="shared" si="420"/>
        <v>45566</v>
      </c>
      <c r="AG380" s="201">
        <f t="shared" si="421"/>
        <v>0</v>
      </c>
      <c r="AH380" s="201">
        <f t="shared" si="422"/>
        <v>1562000</v>
      </c>
      <c r="AI380" s="199">
        <f t="shared" si="423"/>
        <v>1562000</v>
      </c>
      <c r="AJ380" s="201">
        <f t="shared" si="440"/>
        <v>0</v>
      </c>
      <c r="AK380" s="201">
        <f t="shared" si="440"/>
        <v>1562000</v>
      </c>
      <c r="AL380" s="201">
        <f t="shared" si="424"/>
        <v>1562000</v>
      </c>
      <c r="AM380" s="198"/>
      <c r="AN380" s="203"/>
      <c r="AO380" s="208"/>
      <c r="AP380" s="201">
        <f t="shared" si="425"/>
        <v>0</v>
      </c>
      <c r="AQ380" s="201">
        <f t="shared" si="426"/>
        <v>871363.67</v>
      </c>
      <c r="AR380" s="201">
        <f t="shared" si="427"/>
        <v>871363.67</v>
      </c>
      <c r="AS380" s="201">
        <f t="shared" si="428"/>
        <v>55.785126120358512</v>
      </c>
      <c r="AT380" s="201"/>
      <c r="AU380" s="209">
        <v>871363.67</v>
      </c>
      <c r="AV380" s="201">
        <f t="shared" si="429"/>
        <v>871363.67</v>
      </c>
      <c r="AW380" s="201">
        <f t="shared" si="438"/>
        <v>0</v>
      </c>
      <c r="AX380" s="201">
        <f t="shared" si="430"/>
        <v>55.785126120358512</v>
      </c>
      <c r="AY380" s="208"/>
      <c r="AZ380" s="201">
        <f t="shared" si="431"/>
        <v>0</v>
      </c>
      <c r="BA380" s="201">
        <f t="shared" si="432"/>
        <v>65440</v>
      </c>
      <c r="BB380" s="201">
        <f t="shared" si="433"/>
        <v>65440</v>
      </c>
      <c r="BC380" s="201"/>
      <c r="BD380" s="209">
        <v>65440</v>
      </c>
      <c r="BE380" s="201">
        <f t="shared" si="406"/>
        <v>65440</v>
      </c>
      <c r="BF380" s="208"/>
      <c r="BG380" s="201">
        <f t="shared" si="441"/>
        <v>0</v>
      </c>
      <c r="BH380" s="201">
        <f t="shared" si="441"/>
        <v>936803.67</v>
      </c>
      <c r="BI380" s="201">
        <f t="shared" si="434"/>
        <v>936803.67</v>
      </c>
      <c r="BJ380" s="201">
        <f t="shared" si="435"/>
        <v>59.974626760563382</v>
      </c>
      <c r="BK380" s="210">
        <v>20</v>
      </c>
      <c r="BL380" s="210">
        <v>50</v>
      </c>
      <c r="BM380" s="211"/>
      <c r="BN380" s="211"/>
      <c r="BO380" s="212">
        <f t="shared" si="436"/>
        <v>0</v>
      </c>
      <c r="BP380" s="201">
        <f t="shared" si="437"/>
        <v>690636.33</v>
      </c>
      <c r="BQ380" s="201">
        <f t="shared" si="407"/>
        <v>690636.33</v>
      </c>
      <c r="BR380" s="201">
        <f t="shared" si="442"/>
        <v>0</v>
      </c>
      <c r="BS380" s="201">
        <f t="shared" si="442"/>
        <v>690636.33</v>
      </c>
      <c r="BT380" s="201">
        <f t="shared" si="408"/>
        <v>690636.33</v>
      </c>
      <c r="BU380" s="213">
        <f t="shared" si="439"/>
        <v>0</v>
      </c>
      <c r="BV380" s="201"/>
      <c r="BW380" s="201"/>
      <c r="BX380" s="201">
        <f t="shared" si="409"/>
        <v>0</v>
      </c>
      <c r="BY380" s="199">
        <v>260000</v>
      </c>
      <c r="BZ380" s="199">
        <v>260000</v>
      </c>
      <c r="CA380" s="199">
        <v>260000</v>
      </c>
      <c r="CB380" s="199">
        <v>260000</v>
      </c>
      <c r="CC380" s="199">
        <v>260000</v>
      </c>
      <c r="CD380" s="199">
        <v>262000</v>
      </c>
      <c r="CE380" s="199"/>
      <c r="CF380" s="199"/>
      <c r="CG380" s="199"/>
      <c r="CH380" s="199">
        <v>0</v>
      </c>
      <c r="CI380" s="199">
        <v>0</v>
      </c>
      <c r="CJ380" s="199">
        <v>0</v>
      </c>
      <c r="CK380" s="214" t="s">
        <v>1008</v>
      </c>
      <c r="CL380" s="214" t="s">
        <v>610</v>
      </c>
      <c r="CM380" s="211">
        <v>198</v>
      </c>
      <c r="CN380" s="215"/>
      <c r="CO380" s="215"/>
      <c r="CP380" s="216"/>
      <c r="CQ380" s="217"/>
      <c r="CR380" s="211"/>
      <c r="CS380" s="218"/>
      <c r="CT380" s="218"/>
      <c r="CU380" s="218"/>
      <c r="CV380" s="211"/>
      <c r="CW380" s="211"/>
      <c r="CX380" s="211"/>
      <c r="CY380" s="211"/>
      <c r="CZ380" s="211"/>
      <c r="DA380" s="211"/>
      <c r="DB380" s="211"/>
      <c r="DC380" s="219"/>
      <c r="DD380" s="219"/>
      <c r="DE380" s="219"/>
      <c r="DF380" s="211"/>
      <c r="DG380" s="211"/>
      <c r="DH380" s="211"/>
      <c r="DI380" s="211"/>
      <c r="DJ380" s="211"/>
      <c r="DK380" s="220" t="s">
        <v>32</v>
      </c>
      <c r="DT380" s="222"/>
    </row>
    <row r="381" spans="1:124" s="176" customFormat="1" ht="42" x14ac:dyDescent="0.2">
      <c r="A381" s="225" t="s">
        <v>136</v>
      </c>
      <c r="B381" s="197" t="s">
        <v>1009</v>
      </c>
      <c r="C381" s="198">
        <v>1</v>
      </c>
      <c r="D381" s="199">
        <v>1680000</v>
      </c>
      <c r="E381" s="198" t="s">
        <v>458</v>
      </c>
      <c r="F381" s="198" t="s">
        <v>195</v>
      </c>
      <c r="G381" s="198" t="s">
        <v>139</v>
      </c>
      <c r="H381" s="200">
        <v>1</v>
      </c>
      <c r="I381" s="199">
        <f t="shared" si="413"/>
        <v>0</v>
      </c>
      <c r="J381" s="199">
        <f t="shared" si="414"/>
        <v>1680000</v>
      </c>
      <c r="K381" s="199">
        <f t="shared" si="415"/>
        <v>1680000</v>
      </c>
      <c r="L381" s="199"/>
      <c r="M381" s="199">
        <v>1680000</v>
      </c>
      <c r="N381" s="199">
        <f t="shared" si="416"/>
        <v>1680000</v>
      </c>
      <c r="O381" s="199"/>
      <c r="P381" s="201">
        <v>0</v>
      </c>
      <c r="Q381" s="202">
        <v>14</v>
      </c>
      <c r="R381" s="203">
        <v>45566</v>
      </c>
      <c r="S381" s="199"/>
      <c r="T381" s="199">
        <v>1680000</v>
      </c>
      <c r="U381" s="204">
        <f t="shared" si="417"/>
        <v>1680000</v>
      </c>
      <c r="V381" s="205">
        <v>1450</v>
      </c>
      <c r="W381" s="200">
        <v>45693</v>
      </c>
      <c r="X381" s="201"/>
      <c r="Y381" s="201">
        <v>-641.9</v>
      </c>
      <c r="Z381" s="201">
        <f t="shared" si="418"/>
        <v>-641.9</v>
      </c>
      <c r="AA381" s="198"/>
      <c r="AB381" s="206"/>
      <c r="AC381" s="207"/>
      <c r="AD381" s="201"/>
      <c r="AE381" s="204">
        <f t="shared" si="419"/>
        <v>0</v>
      </c>
      <c r="AF381" s="203">
        <f t="shared" si="420"/>
        <v>45566</v>
      </c>
      <c r="AG381" s="201">
        <f t="shared" si="421"/>
        <v>0</v>
      </c>
      <c r="AH381" s="201">
        <f t="shared" si="422"/>
        <v>1679358.1</v>
      </c>
      <c r="AI381" s="199">
        <f t="shared" si="423"/>
        <v>1679358.1</v>
      </c>
      <c r="AJ381" s="201">
        <f t="shared" si="440"/>
        <v>0</v>
      </c>
      <c r="AK381" s="201">
        <f t="shared" si="440"/>
        <v>1679358.1</v>
      </c>
      <c r="AL381" s="201">
        <f t="shared" si="424"/>
        <v>1679358.1</v>
      </c>
      <c r="AM381" s="198"/>
      <c r="AN381" s="203"/>
      <c r="AO381" s="208"/>
      <c r="AP381" s="201">
        <f t="shared" si="425"/>
        <v>0</v>
      </c>
      <c r="AQ381" s="201">
        <f t="shared" si="426"/>
        <v>1285684.17</v>
      </c>
      <c r="AR381" s="201">
        <f t="shared" si="427"/>
        <v>1285684.17</v>
      </c>
      <c r="AS381" s="201">
        <f t="shared" si="428"/>
        <v>76.558071205897065</v>
      </c>
      <c r="AT381" s="201"/>
      <c r="AU381" s="209">
        <v>1285684.17</v>
      </c>
      <c r="AV381" s="201">
        <f t="shared" si="429"/>
        <v>1285684.17</v>
      </c>
      <c r="AW381" s="201">
        <f t="shared" si="438"/>
        <v>0</v>
      </c>
      <c r="AX381" s="201">
        <f t="shared" si="430"/>
        <v>76.558071205897065</v>
      </c>
      <c r="AY381" s="208"/>
      <c r="AZ381" s="201">
        <f t="shared" si="431"/>
        <v>0</v>
      </c>
      <c r="BA381" s="201">
        <f t="shared" si="432"/>
        <v>0</v>
      </c>
      <c r="BB381" s="201">
        <f t="shared" si="433"/>
        <v>0</v>
      </c>
      <c r="BC381" s="201"/>
      <c r="BD381" s="209">
        <v>0</v>
      </c>
      <c r="BE381" s="201">
        <f t="shared" si="406"/>
        <v>0</v>
      </c>
      <c r="BF381" s="208"/>
      <c r="BG381" s="201">
        <f t="shared" si="441"/>
        <v>0</v>
      </c>
      <c r="BH381" s="201">
        <f t="shared" si="441"/>
        <v>1285684.17</v>
      </c>
      <c r="BI381" s="201">
        <f t="shared" si="434"/>
        <v>1285684.17</v>
      </c>
      <c r="BJ381" s="201">
        <f t="shared" si="435"/>
        <v>76.558071205897065</v>
      </c>
      <c r="BK381" s="210">
        <v>20</v>
      </c>
      <c r="BL381" s="210">
        <v>50</v>
      </c>
      <c r="BM381" s="211"/>
      <c r="BN381" s="211"/>
      <c r="BO381" s="212">
        <f t="shared" si="436"/>
        <v>0</v>
      </c>
      <c r="BP381" s="201">
        <f t="shared" si="437"/>
        <v>393673.93000000017</v>
      </c>
      <c r="BQ381" s="201">
        <f t="shared" si="407"/>
        <v>393673.93000000017</v>
      </c>
      <c r="BR381" s="201">
        <f t="shared" si="442"/>
        <v>0</v>
      </c>
      <c r="BS381" s="201">
        <f t="shared" si="442"/>
        <v>393673.93000000017</v>
      </c>
      <c r="BT381" s="201">
        <f t="shared" si="408"/>
        <v>393673.93000000017</v>
      </c>
      <c r="BU381" s="213">
        <f t="shared" si="439"/>
        <v>0</v>
      </c>
      <c r="BV381" s="201">
        <v>641.9</v>
      </c>
      <c r="BW381" s="201"/>
      <c r="BX381" s="201">
        <f t="shared" si="409"/>
        <v>641.9</v>
      </c>
      <c r="BY381" s="199">
        <v>280000</v>
      </c>
      <c r="BZ381" s="199">
        <v>280000</v>
      </c>
      <c r="CA381" s="199">
        <v>280000</v>
      </c>
      <c r="CB381" s="199">
        <v>280000</v>
      </c>
      <c r="CC381" s="199">
        <v>280000</v>
      </c>
      <c r="CD381" s="199">
        <v>280000</v>
      </c>
      <c r="CE381" s="199"/>
      <c r="CF381" s="199"/>
      <c r="CG381" s="199"/>
      <c r="CH381" s="199">
        <v>0</v>
      </c>
      <c r="CI381" s="199">
        <v>0</v>
      </c>
      <c r="CJ381" s="199">
        <v>0</v>
      </c>
      <c r="CK381" s="214" t="s">
        <v>1010</v>
      </c>
      <c r="CL381" s="214" t="s">
        <v>610</v>
      </c>
      <c r="CM381" s="211">
        <v>198</v>
      </c>
      <c r="CN381" s="215"/>
      <c r="CO381" s="215"/>
      <c r="CP381" s="216"/>
      <c r="CQ381" s="217"/>
      <c r="CR381" s="211"/>
      <c r="CS381" s="218"/>
      <c r="CT381" s="218"/>
      <c r="CU381" s="218"/>
      <c r="CV381" s="211"/>
      <c r="CW381" s="211"/>
      <c r="CX381" s="211"/>
      <c r="CY381" s="211"/>
      <c r="CZ381" s="211"/>
      <c r="DA381" s="211"/>
      <c r="DB381" s="211"/>
      <c r="DC381" s="219"/>
      <c r="DD381" s="219"/>
      <c r="DE381" s="219"/>
      <c r="DF381" s="211"/>
      <c r="DG381" s="211"/>
      <c r="DH381" s="211"/>
      <c r="DI381" s="211"/>
      <c r="DJ381" s="211"/>
      <c r="DK381" s="220" t="s">
        <v>32</v>
      </c>
      <c r="DT381" s="222"/>
    </row>
    <row r="382" spans="1:124" s="176" customFormat="1" ht="42" x14ac:dyDescent="0.2">
      <c r="A382" s="225" t="s">
        <v>136</v>
      </c>
      <c r="B382" s="197" t="s">
        <v>1011</v>
      </c>
      <c r="C382" s="198">
        <v>1</v>
      </c>
      <c r="D382" s="199">
        <v>985000</v>
      </c>
      <c r="E382" s="198" t="s">
        <v>999</v>
      </c>
      <c r="F382" s="198" t="s">
        <v>250</v>
      </c>
      <c r="G382" s="198" t="s">
        <v>139</v>
      </c>
      <c r="H382" s="200">
        <v>1</v>
      </c>
      <c r="I382" s="199">
        <f t="shared" si="413"/>
        <v>0</v>
      </c>
      <c r="J382" s="199">
        <f t="shared" si="414"/>
        <v>985000</v>
      </c>
      <c r="K382" s="199">
        <f t="shared" si="415"/>
        <v>985000</v>
      </c>
      <c r="L382" s="199"/>
      <c r="M382" s="199">
        <v>985000</v>
      </c>
      <c r="N382" s="199">
        <f t="shared" si="416"/>
        <v>985000</v>
      </c>
      <c r="O382" s="199"/>
      <c r="P382" s="201">
        <v>0</v>
      </c>
      <c r="Q382" s="202">
        <v>14</v>
      </c>
      <c r="R382" s="203">
        <v>45566</v>
      </c>
      <c r="S382" s="199"/>
      <c r="T382" s="199">
        <v>985000</v>
      </c>
      <c r="U382" s="204">
        <f t="shared" si="417"/>
        <v>985000</v>
      </c>
      <c r="V382" s="205">
        <v>690</v>
      </c>
      <c r="W382" s="200">
        <v>45622</v>
      </c>
      <c r="X382" s="201"/>
      <c r="Y382" s="201">
        <v>-21362</v>
      </c>
      <c r="Z382" s="201">
        <f t="shared" si="418"/>
        <v>-21362</v>
      </c>
      <c r="AA382" s="198">
        <v>1450</v>
      </c>
      <c r="AB382" s="206">
        <v>45693</v>
      </c>
      <c r="AC382" s="207"/>
      <c r="AD382" s="201">
        <v>-1171.08</v>
      </c>
      <c r="AE382" s="204">
        <f t="shared" si="419"/>
        <v>-1171.08</v>
      </c>
      <c r="AF382" s="203">
        <f t="shared" si="420"/>
        <v>45566</v>
      </c>
      <c r="AG382" s="201">
        <f t="shared" si="421"/>
        <v>0</v>
      </c>
      <c r="AH382" s="201">
        <f t="shared" si="422"/>
        <v>962466.92</v>
      </c>
      <c r="AI382" s="199">
        <f t="shared" si="423"/>
        <v>962466.92</v>
      </c>
      <c r="AJ382" s="201">
        <f t="shared" si="440"/>
        <v>0</v>
      </c>
      <c r="AK382" s="201">
        <f t="shared" si="440"/>
        <v>962466.92</v>
      </c>
      <c r="AL382" s="201">
        <f t="shared" si="424"/>
        <v>962466.92</v>
      </c>
      <c r="AM382" s="198"/>
      <c r="AN382" s="203"/>
      <c r="AO382" s="208"/>
      <c r="AP382" s="201">
        <f t="shared" si="425"/>
        <v>0</v>
      </c>
      <c r="AQ382" s="201">
        <f t="shared" si="426"/>
        <v>793811.61</v>
      </c>
      <c r="AR382" s="201">
        <f t="shared" si="427"/>
        <v>793811.61</v>
      </c>
      <c r="AS382" s="201">
        <f t="shared" si="428"/>
        <v>82.476768136612947</v>
      </c>
      <c r="AT382" s="201"/>
      <c r="AU382" s="209">
        <v>793811.61</v>
      </c>
      <c r="AV382" s="201">
        <f t="shared" si="429"/>
        <v>793811.61</v>
      </c>
      <c r="AW382" s="201">
        <f t="shared" si="438"/>
        <v>0</v>
      </c>
      <c r="AX382" s="201">
        <f t="shared" si="430"/>
        <v>82.476768136612947</v>
      </c>
      <c r="AY382" s="208"/>
      <c r="AZ382" s="201">
        <f t="shared" si="431"/>
        <v>0</v>
      </c>
      <c r="BA382" s="201">
        <f t="shared" si="432"/>
        <v>11779.2</v>
      </c>
      <c r="BB382" s="201">
        <f t="shared" si="433"/>
        <v>11779.2</v>
      </c>
      <c r="BC382" s="201"/>
      <c r="BD382" s="209">
        <v>11779.2</v>
      </c>
      <c r="BE382" s="201">
        <f t="shared" si="406"/>
        <v>11779.2</v>
      </c>
      <c r="BF382" s="208"/>
      <c r="BG382" s="201">
        <f t="shared" si="441"/>
        <v>0</v>
      </c>
      <c r="BH382" s="201">
        <f t="shared" si="441"/>
        <v>805590.80999999994</v>
      </c>
      <c r="BI382" s="201">
        <f t="shared" si="434"/>
        <v>805590.80999999994</v>
      </c>
      <c r="BJ382" s="201">
        <f t="shared" si="435"/>
        <v>83.700623186093495</v>
      </c>
      <c r="BK382" s="210">
        <v>20</v>
      </c>
      <c r="BL382" s="210">
        <v>60</v>
      </c>
      <c r="BM382" s="211"/>
      <c r="BN382" s="211"/>
      <c r="BO382" s="212">
        <f t="shared" si="436"/>
        <v>0</v>
      </c>
      <c r="BP382" s="201">
        <f t="shared" si="437"/>
        <v>168655.31000000006</v>
      </c>
      <c r="BQ382" s="201">
        <f t="shared" si="407"/>
        <v>168655.31000000006</v>
      </c>
      <c r="BR382" s="201">
        <f t="shared" si="442"/>
        <v>0</v>
      </c>
      <c r="BS382" s="201">
        <f t="shared" si="442"/>
        <v>168655.31000000006</v>
      </c>
      <c r="BT382" s="201">
        <f t="shared" si="408"/>
        <v>168655.31000000006</v>
      </c>
      <c r="BU382" s="213">
        <f t="shared" si="439"/>
        <v>0</v>
      </c>
      <c r="BV382" s="201">
        <f>21362+1171.08</f>
        <v>22533.08</v>
      </c>
      <c r="BW382" s="201"/>
      <c r="BX382" s="201">
        <f t="shared" si="409"/>
        <v>22533.08</v>
      </c>
      <c r="BY382" s="199">
        <v>325000</v>
      </c>
      <c r="BZ382" s="199">
        <v>325000</v>
      </c>
      <c r="CA382" s="199">
        <v>335000</v>
      </c>
      <c r="CB382" s="199"/>
      <c r="CC382" s="199">
        <v>0</v>
      </c>
      <c r="CD382" s="199">
        <v>0</v>
      </c>
      <c r="CE382" s="199">
        <v>0</v>
      </c>
      <c r="CF382" s="199">
        <v>0</v>
      </c>
      <c r="CG382" s="199">
        <v>0</v>
      </c>
      <c r="CH382" s="199">
        <v>0</v>
      </c>
      <c r="CI382" s="199">
        <v>0</v>
      </c>
      <c r="CJ382" s="199">
        <v>0</v>
      </c>
      <c r="CK382" s="214" t="s">
        <v>1012</v>
      </c>
      <c r="CL382" s="214" t="s">
        <v>610</v>
      </c>
      <c r="CM382" s="211">
        <v>198</v>
      </c>
      <c r="CN382" s="215"/>
      <c r="CO382" s="215"/>
      <c r="CP382" s="216"/>
      <c r="CQ382" s="217"/>
      <c r="CR382" s="211"/>
      <c r="CS382" s="218"/>
      <c r="CT382" s="218"/>
      <c r="CU382" s="218"/>
      <c r="CV382" s="211"/>
      <c r="CW382" s="211"/>
      <c r="CX382" s="211"/>
      <c r="CY382" s="211"/>
      <c r="CZ382" s="211"/>
      <c r="DA382" s="211"/>
      <c r="DB382" s="211"/>
      <c r="DC382" s="219"/>
      <c r="DD382" s="219"/>
      <c r="DE382" s="219"/>
      <c r="DF382" s="211"/>
      <c r="DG382" s="211"/>
      <c r="DH382" s="211"/>
      <c r="DI382" s="211"/>
      <c r="DJ382" s="211"/>
      <c r="DK382" s="220" t="s">
        <v>32</v>
      </c>
      <c r="DT382" s="222"/>
    </row>
    <row r="383" spans="1:124" s="176" customFormat="1" ht="42" x14ac:dyDescent="0.2">
      <c r="A383" s="195" t="s">
        <v>94</v>
      </c>
      <c r="B383" s="197" t="s">
        <v>1013</v>
      </c>
      <c r="C383" s="198">
        <v>1</v>
      </c>
      <c r="D383" s="199">
        <v>864000</v>
      </c>
      <c r="E383" s="198" t="s">
        <v>1014</v>
      </c>
      <c r="F383" s="198" t="s">
        <v>195</v>
      </c>
      <c r="G383" s="198" t="s">
        <v>139</v>
      </c>
      <c r="H383" s="200">
        <v>1</v>
      </c>
      <c r="I383" s="199">
        <f t="shared" si="413"/>
        <v>0</v>
      </c>
      <c r="J383" s="199">
        <f t="shared" si="414"/>
        <v>864000</v>
      </c>
      <c r="K383" s="199">
        <f t="shared" si="415"/>
        <v>864000</v>
      </c>
      <c r="L383" s="199"/>
      <c r="M383" s="199">
        <v>864000</v>
      </c>
      <c r="N383" s="199">
        <f t="shared" si="416"/>
        <v>864000</v>
      </c>
      <c r="O383" s="199"/>
      <c r="P383" s="201">
        <v>0</v>
      </c>
      <c r="Q383" s="202"/>
      <c r="R383" s="203"/>
      <c r="S383" s="199"/>
      <c r="T383" s="199"/>
      <c r="U383" s="204">
        <f t="shared" si="417"/>
        <v>0</v>
      </c>
      <c r="V383" s="205"/>
      <c r="W383" s="200"/>
      <c r="X383" s="201"/>
      <c r="Y383" s="201"/>
      <c r="Z383" s="201">
        <f t="shared" si="418"/>
        <v>0</v>
      </c>
      <c r="AA383" s="198"/>
      <c r="AB383" s="206"/>
      <c r="AC383" s="207"/>
      <c r="AD383" s="201"/>
      <c r="AE383" s="204">
        <f t="shared" si="419"/>
        <v>0</v>
      </c>
      <c r="AF383" s="203">
        <f t="shared" si="420"/>
        <v>0</v>
      </c>
      <c r="AG383" s="201">
        <f t="shared" si="421"/>
        <v>0</v>
      </c>
      <c r="AH383" s="201">
        <f t="shared" si="422"/>
        <v>0</v>
      </c>
      <c r="AI383" s="199">
        <f t="shared" si="423"/>
        <v>0</v>
      </c>
      <c r="AJ383" s="201">
        <f t="shared" si="440"/>
        <v>0</v>
      </c>
      <c r="AK383" s="201">
        <f t="shared" si="440"/>
        <v>0</v>
      </c>
      <c r="AL383" s="201">
        <f t="shared" si="424"/>
        <v>0</v>
      </c>
      <c r="AM383" s="198"/>
      <c r="AN383" s="203"/>
      <c r="AO383" s="208"/>
      <c r="AP383" s="201">
        <f t="shared" si="425"/>
        <v>0</v>
      </c>
      <c r="AQ383" s="201">
        <f t="shared" si="426"/>
        <v>0</v>
      </c>
      <c r="AR383" s="201">
        <f t="shared" si="427"/>
        <v>0</v>
      </c>
      <c r="AS383" s="201">
        <f t="shared" si="428"/>
        <v>0</v>
      </c>
      <c r="AT383" s="201"/>
      <c r="AU383" s="209"/>
      <c r="AV383" s="201">
        <f t="shared" si="429"/>
        <v>0</v>
      </c>
      <c r="AW383" s="201" t="e">
        <f t="shared" si="438"/>
        <v>#DIV/0!</v>
      </c>
      <c r="AX383" s="201">
        <f t="shared" si="430"/>
        <v>0</v>
      </c>
      <c r="AY383" s="208"/>
      <c r="AZ383" s="201">
        <f t="shared" si="431"/>
        <v>0</v>
      </c>
      <c r="BA383" s="201">
        <f>+BD383+BF383</f>
        <v>0</v>
      </c>
      <c r="BB383" s="201">
        <f t="shared" si="433"/>
        <v>0</v>
      </c>
      <c r="BC383" s="201"/>
      <c r="BD383" s="209"/>
      <c r="BE383" s="201">
        <f t="shared" si="406"/>
        <v>0</v>
      </c>
      <c r="BF383" s="208"/>
      <c r="BG383" s="201">
        <f t="shared" si="441"/>
        <v>0</v>
      </c>
      <c r="BH383" s="201">
        <f>+AQ383+BA383</f>
        <v>0</v>
      </c>
      <c r="BI383" s="201">
        <f t="shared" si="434"/>
        <v>0</v>
      </c>
      <c r="BJ383" s="201" t="e">
        <f t="shared" si="435"/>
        <v>#DIV/0!</v>
      </c>
      <c r="BK383" s="210"/>
      <c r="BL383" s="210"/>
      <c r="BM383" s="211" t="s">
        <v>602</v>
      </c>
      <c r="BN383" s="211"/>
      <c r="BO383" s="212">
        <f t="shared" si="436"/>
        <v>0</v>
      </c>
      <c r="BP383" s="201">
        <f t="shared" si="437"/>
        <v>0</v>
      </c>
      <c r="BQ383" s="201">
        <f t="shared" si="407"/>
        <v>0</v>
      </c>
      <c r="BR383" s="201">
        <f t="shared" si="442"/>
        <v>0</v>
      </c>
      <c r="BS383" s="201">
        <f t="shared" si="442"/>
        <v>0</v>
      </c>
      <c r="BT383" s="201">
        <f t="shared" si="408"/>
        <v>0</v>
      </c>
      <c r="BU383" s="213">
        <f t="shared" si="439"/>
        <v>0</v>
      </c>
      <c r="BV383" s="201"/>
      <c r="BW383" s="201"/>
      <c r="BX383" s="201">
        <f t="shared" si="409"/>
        <v>0</v>
      </c>
      <c r="BY383" s="199">
        <v>0</v>
      </c>
      <c r="BZ383" s="199">
        <v>0</v>
      </c>
      <c r="CA383" s="199">
        <v>0</v>
      </c>
      <c r="CB383" s="199">
        <v>0</v>
      </c>
      <c r="CC383" s="199">
        <v>0</v>
      </c>
      <c r="CD383" s="199">
        <v>0</v>
      </c>
      <c r="CE383" s="199">
        <v>0</v>
      </c>
      <c r="CF383" s="199">
        <v>0</v>
      </c>
      <c r="CG383" s="199">
        <v>0</v>
      </c>
      <c r="CH383" s="199">
        <v>0</v>
      </c>
      <c r="CI383" s="199">
        <v>0</v>
      </c>
      <c r="CJ383" s="199">
        <v>0</v>
      </c>
      <c r="CK383" s="214"/>
      <c r="CL383" s="214"/>
      <c r="CM383" s="211">
        <v>191</v>
      </c>
      <c r="CN383" s="215"/>
      <c r="CO383" s="215"/>
      <c r="CP383" s="216"/>
      <c r="CQ383" s="217"/>
      <c r="CR383" s="211"/>
      <c r="CS383" s="218"/>
      <c r="CT383" s="218"/>
      <c r="CU383" s="218"/>
      <c r="CV383" s="211"/>
      <c r="CW383" s="211"/>
      <c r="CX383" s="211"/>
      <c r="CY383" s="211"/>
      <c r="CZ383" s="211"/>
      <c r="DA383" s="211"/>
      <c r="DB383" s="211"/>
      <c r="DC383" s="219"/>
      <c r="DD383" s="219"/>
      <c r="DE383" s="219"/>
      <c r="DF383" s="211"/>
      <c r="DG383" s="211"/>
      <c r="DH383" s="211"/>
      <c r="DI383" s="211"/>
      <c r="DJ383" s="211"/>
      <c r="DK383" s="220" t="s">
        <v>32</v>
      </c>
      <c r="DT383" s="222"/>
    </row>
    <row r="384" spans="1:124" s="176" customFormat="1" ht="42" x14ac:dyDescent="0.2">
      <c r="A384" s="225" t="s">
        <v>94</v>
      </c>
      <c r="B384" s="197" t="s">
        <v>1015</v>
      </c>
      <c r="C384" s="198">
        <v>1</v>
      </c>
      <c r="D384" s="199">
        <v>645000</v>
      </c>
      <c r="E384" s="198" t="s">
        <v>1014</v>
      </c>
      <c r="F384" s="198" t="s">
        <v>195</v>
      </c>
      <c r="G384" s="198" t="s">
        <v>139</v>
      </c>
      <c r="H384" s="200">
        <v>1</v>
      </c>
      <c r="I384" s="199">
        <f t="shared" si="413"/>
        <v>0</v>
      </c>
      <c r="J384" s="199">
        <f t="shared" si="414"/>
        <v>645000</v>
      </c>
      <c r="K384" s="199">
        <f t="shared" si="415"/>
        <v>645000</v>
      </c>
      <c r="L384" s="199"/>
      <c r="M384" s="199">
        <v>645000</v>
      </c>
      <c r="N384" s="199">
        <f t="shared" si="416"/>
        <v>645000</v>
      </c>
      <c r="O384" s="199"/>
      <c r="P384" s="201">
        <v>0</v>
      </c>
      <c r="Q384" s="202">
        <v>14</v>
      </c>
      <c r="R384" s="203">
        <v>45566</v>
      </c>
      <c r="S384" s="199"/>
      <c r="T384" s="199">
        <v>645000</v>
      </c>
      <c r="U384" s="204">
        <f t="shared" si="417"/>
        <v>645000</v>
      </c>
      <c r="V384" s="205"/>
      <c r="W384" s="200"/>
      <c r="X384" s="201"/>
      <c r="Y384" s="201"/>
      <c r="Z384" s="201">
        <f t="shared" si="418"/>
        <v>0</v>
      </c>
      <c r="AA384" s="198"/>
      <c r="AB384" s="206"/>
      <c r="AC384" s="207"/>
      <c r="AD384" s="201"/>
      <c r="AE384" s="204">
        <f t="shared" si="419"/>
        <v>0</v>
      </c>
      <c r="AF384" s="203">
        <f t="shared" si="420"/>
        <v>45566</v>
      </c>
      <c r="AG384" s="201">
        <f t="shared" si="421"/>
        <v>0</v>
      </c>
      <c r="AH384" s="201">
        <f t="shared" si="422"/>
        <v>645000</v>
      </c>
      <c r="AI384" s="199">
        <f t="shared" si="423"/>
        <v>645000</v>
      </c>
      <c r="AJ384" s="201">
        <f t="shared" si="440"/>
        <v>0</v>
      </c>
      <c r="AK384" s="201">
        <f t="shared" si="440"/>
        <v>645000</v>
      </c>
      <c r="AL384" s="201">
        <f t="shared" si="424"/>
        <v>645000</v>
      </c>
      <c r="AM384" s="198"/>
      <c r="AN384" s="203"/>
      <c r="AO384" s="208"/>
      <c r="AP384" s="201">
        <f t="shared" si="425"/>
        <v>0</v>
      </c>
      <c r="AQ384" s="201">
        <f t="shared" si="426"/>
        <v>634011.46</v>
      </c>
      <c r="AR384" s="201">
        <f t="shared" si="427"/>
        <v>634011.46</v>
      </c>
      <c r="AS384" s="201">
        <f t="shared" si="428"/>
        <v>98.296350387596902</v>
      </c>
      <c r="AT384" s="201"/>
      <c r="AU384" s="209">
        <v>634011.46</v>
      </c>
      <c r="AV384" s="201">
        <f t="shared" si="429"/>
        <v>634011.46</v>
      </c>
      <c r="AW384" s="201">
        <f t="shared" si="438"/>
        <v>0</v>
      </c>
      <c r="AX384" s="201">
        <f t="shared" si="430"/>
        <v>98.296350387596902</v>
      </c>
      <c r="AY384" s="208"/>
      <c r="AZ384" s="201">
        <f t="shared" si="431"/>
        <v>0</v>
      </c>
      <c r="BA384" s="201">
        <f t="shared" si="432"/>
        <v>0</v>
      </c>
      <c r="BB384" s="201">
        <f t="shared" si="433"/>
        <v>0</v>
      </c>
      <c r="BC384" s="201"/>
      <c r="BD384" s="209">
        <v>0</v>
      </c>
      <c r="BE384" s="201">
        <f t="shared" si="406"/>
        <v>0</v>
      </c>
      <c r="BF384" s="208"/>
      <c r="BG384" s="201">
        <f t="shared" si="441"/>
        <v>0</v>
      </c>
      <c r="BH384" s="201">
        <f t="shared" si="441"/>
        <v>634011.46</v>
      </c>
      <c r="BI384" s="201">
        <f t="shared" si="434"/>
        <v>634011.46</v>
      </c>
      <c r="BJ384" s="201">
        <f t="shared" si="435"/>
        <v>98.296350387596902</v>
      </c>
      <c r="BK384" s="210">
        <v>30</v>
      </c>
      <c r="BL384" s="210">
        <v>95</v>
      </c>
      <c r="BM384" s="211"/>
      <c r="BN384" s="211"/>
      <c r="BO384" s="212">
        <f t="shared" si="436"/>
        <v>0</v>
      </c>
      <c r="BP384" s="201">
        <f t="shared" si="437"/>
        <v>10988.540000000037</v>
      </c>
      <c r="BQ384" s="201">
        <f t="shared" si="407"/>
        <v>10988.540000000037</v>
      </c>
      <c r="BR384" s="201">
        <f t="shared" si="442"/>
        <v>0</v>
      </c>
      <c r="BS384" s="201">
        <f t="shared" si="442"/>
        <v>10988.540000000037</v>
      </c>
      <c r="BT384" s="201">
        <f t="shared" si="408"/>
        <v>10988.540000000037</v>
      </c>
      <c r="BU384" s="213">
        <f t="shared" si="439"/>
        <v>0</v>
      </c>
      <c r="BV384" s="201"/>
      <c r="BW384" s="201"/>
      <c r="BX384" s="201">
        <f t="shared" si="409"/>
        <v>0</v>
      </c>
      <c r="BY384" s="199">
        <v>215000</v>
      </c>
      <c r="BZ384" s="199">
        <v>215000</v>
      </c>
      <c r="CA384" s="199">
        <v>215000</v>
      </c>
      <c r="CB384" s="199">
        <v>0</v>
      </c>
      <c r="CC384" s="199">
        <v>0</v>
      </c>
      <c r="CD384" s="199">
        <v>0</v>
      </c>
      <c r="CE384" s="199">
        <v>0</v>
      </c>
      <c r="CF384" s="199">
        <v>0</v>
      </c>
      <c r="CG384" s="199">
        <v>0</v>
      </c>
      <c r="CH384" s="199">
        <v>0</v>
      </c>
      <c r="CI384" s="199">
        <v>0</v>
      </c>
      <c r="CJ384" s="199">
        <v>0</v>
      </c>
      <c r="CK384" s="214" t="s">
        <v>1016</v>
      </c>
      <c r="CL384" s="214" t="s">
        <v>610</v>
      </c>
      <c r="CM384" s="211">
        <v>198</v>
      </c>
      <c r="CN384" s="215"/>
      <c r="CO384" s="215"/>
      <c r="CP384" s="216"/>
      <c r="CQ384" s="217"/>
      <c r="CR384" s="211"/>
      <c r="CS384" s="218"/>
      <c r="CT384" s="218"/>
      <c r="CU384" s="218"/>
      <c r="CV384" s="211"/>
      <c r="CW384" s="211"/>
      <c r="CX384" s="211"/>
      <c r="CY384" s="211"/>
      <c r="CZ384" s="211"/>
      <c r="DA384" s="211"/>
      <c r="DB384" s="211"/>
      <c r="DC384" s="219"/>
      <c r="DD384" s="219"/>
      <c r="DE384" s="219"/>
      <c r="DF384" s="211"/>
      <c r="DG384" s="211"/>
      <c r="DH384" s="211"/>
      <c r="DI384" s="211"/>
      <c r="DJ384" s="211"/>
      <c r="DK384" s="220" t="s">
        <v>32</v>
      </c>
      <c r="DT384" s="222"/>
    </row>
    <row r="385" spans="1:124" s="176" customFormat="1" ht="42" x14ac:dyDescent="0.2">
      <c r="A385" s="225" t="s">
        <v>94</v>
      </c>
      <c r="B385" s="197" t="s">
        <v>1017</v>
      </c>
      <c r="C385" s="198">
        <v>1</v>
      </c>
      <c r="D385" s="199">
        <v>654000</v>
      </c>
      <c r="E385" s="198" t="s">
        <v>1014</v>
      </c>
      <c r="F385" s="198" t="s">
        <v>195</v>
      </c>
      <c r="G385" s="198" t="s">
        <v>139</v>
      </c>
      <c r="H385" s="200">
        <v>1</v>
      </c>
      <c r="I385" s="199">
        <f t="shared" si="413"/>
        <v>0</v>
      </c>
      <c r="J385" s="199">
        <f t="shared" si="414"/>
        <v>654000</v>
      </c>
      <c r="K385" s="199">
        <f t="shared" si="415"/>
        <v>654000</v>
      </c>
      <c r="L385" s="199"/>
      <c r="M385" s="199">
        <v>654000</v>
      </c>
      <c r="N385" s="199">
        <f t="shared" si="416"/>
        <v>654000</v>
      </c>
      <c r="O385" s="199"/>
      <c r="P385" s="201">
        <v>0</v>
      </c>
      <c r="Q385" s="202">
        <v>14</v>
      </c>
      <c r="R385" s="203">
        <v>45566</v>
      </c>
      <c r="S385" s="199"/>
      <c r="T385" s="199">
        <v>654000</v>
      </c>
      <c r="U385" s="204">
        <f t="shared" si="417"/>
        <v>654000</v>
      </c>
      <c r="V385" s="205"/>
      <c r="W385" s="200"/>
      <c r="X385" s="201"/>
      <c r="Y385" s="201"/>
      <c r="Z385" s="201">
        <f t="shared" si="418"/>
        <v>0</v>
      </c>
      <c r="AA385" s="198"/>
      <c r="AB385" s="206"/>
      <c r="AC385" s="207"/>
      <c r="AD385" s="201"/>
      <c r="AE385" s="204">
        <f t="shared" si="419"/>
        <v>0</v>
      </c>
      <c r="AF385" s="203">
        <f t="shared" si="420"/>
        <v>45566</v>
      </c>
      <c r="AG385" s="201">
        <f t="shared" si="421"/>
        <v>0</v>
      </c>
      <c r="AH385" s="201">
        <f t="shared" si="422"/>
        <v>654000</v>
      </c>
      <c r="AI385" s="199">
        <f t="shared" si="423"/>
        <v>654000</v>
      </c>
      <c r="AJ385" s="201">
        <f t="shared" si="440"/>
        <v>0</v>
      </c>
      <c r="AK385" s="201">
        <f t="shared" si="440"/>
        <v>654000</v>
      </c>
      <c r="AL385" s="201">
        <f t="shared" si="424"/>
        <v>654000</v>
      </c>
      <c r="AM385" s="198"/>
      <c r="AN385" s="203"/>
      <c r="AO385" s="208"/>
      <c r="AP385" s="201">
        <f t="shared" si="425"/>
        <v>0</v>
      </c>
      <c r="AQ385" s="201">
        <f t="shared" si="426"/>
        <v>644900.52</v>
      </c>
      <c r="AR385" s="201">
        <f t="shared" si="427"/>
        <v>644900.52</v>
      </c>
      <c r="AS385" s="201">
        <f t="shared" si="428"/>
        <v>98.608642201834869</v>
      </c>
      <c r="AT385" s="201"/>
      <c r="AU385" s="209">
        <v>644900.52</v>
      </c>
      <c r="AV385" s="201">
        <f t="shared" si="429"/>
        <v>644900.52</v>
      </c>
      <c r="AW385" s="201">
        <f t="shared" si="438"/>
        <v>0</v>
      </c>
      <c r="AX385" s="201">
        <f t="shared" si="430"/>
        <v>98.608642201834869</v>
      </c>
      <c r="AY385" s="208"/>
      <c r="AZ385" s="201">
        <f t="shared" si="431"/>
        <v>0</v>
      </c>
      <c r="BA385" s="201">
        <f t="shared" si="432"/>
        <v>0</v>
      </c>
      <c r="BB385" s="201">
        <f t="shared" si="433"/>
        <v>0</v>
      </c>
      <c r="BC385" s="201"/>
      <c r="BD385" s="209">
        <v>0</v>
      </c>
      <c r="BE385" s="201">
        <f t="shared" si="406"/>
        <v>0</v>
      </c>
      <c r="BF385" s="208"/>
      <c r="BG385" s="201">
        <f t="shared" si="441"/>
        <v>0</v>
      </c>
      <c r="BH385" s="201">
        <f t="shared" si="441"/>
        <v>644900.52</v>
      </c>
      <c r="BI385" s="201">
        <f t="shared" si="434"/>
        <v>644900.52</v>
      </c>
      <c r="BJ385" s="201">
        <f t="shared" si="435"/>
        <v>98.608642201834869</v>
      </c>
      <c r="BK385" s="210">
        <v>40</v>
      </c>
      <c r="BL385" s="210">
        <v>100</v>
      </c>
      <c r="BM385" s="211"/>
      <c r="BN385" s="211"/>
      <c r="BO385" s="212">
        <f t="shared" si="436"/>
        <v>0</v>
      </c>
      <c r="BP385" s="201">
        <f t="shared" si="437"/>
        <v>9099.4799999999814</v>
      </c>
      <c r="BQ385" s="201">
        <f t="shared" si="407"/>
        <v>9099.4799999999814</v>
      </c>
      <c r="BR385" s="201">
        <f t="shared" si="442"/>
        <v>0</v>
      </c>
      <c r="BS385" s="201">
        <f t="shared" si="442"/>
        <v>9099.4799999999814</v>
      </c>
      <c r="BT385" s="201">
        <f t="shared" si="408"/>
        <v>9099.4799999999814</v>
      </c>
      <c r="BU385" s="213">
        <f t="shared" si="439"/>
        <v>0</v>
      </c>
      <c r="BV385" s="201"/>
      <c r="BW385" s="201"/>
      <c r="BX385" s="201">
        <f t="shared" si="409"/>
        <v>0</v>
      </c>
      <c r="BY385" s="199">
        <v>218000</v>
      </c>
      <c r="BZ385" s="199">
        <v>218000</v>
      </c>
      <c r="CA385" s="199">
        <v>218000</v>
      </c>
      <c r="CB385" s="199">
        <v>0</v>
      </c>
      <c r="CC385" s="199">
        <v>0</v>
      </c>
      <c r="CD385" s="199">
        <v>0</v>
      </c>
      <c r="CE385" s="199">
        <v>0</v>
      </c>
      <c r="CF385" s="199">
        <v>0</v>
      </c>
      <c r="CG385" s="199">
        <v>0</v>
      </c>
      <c r="CH385" s="199">
        <v>0</v>
      </c>
      <c r="CI385" s="199">
        <v>0</v>
      </c>
      <c r="CJ385" s="199">
        <v>0</v>
      </c>
      <c r="CK385" s="214" t="s">
        <v>1018</v>
      </c>
      <c r="CL385" s="214" t="s">
        <v>610</v>
      </c>
      <c r="CM385" s="211">
        <v>198</v>
      </c>
      <c r="CN385" s="215"/>
      <c r="CO385" s="215"/>
      <c r="CP385" s="216"/>
      <c r="CQ385" s="217"/>
      <c r="CR385" s="211"/>
      <c r="CS385" s="218"/>
      <c r="CT385" s="218"/>
      <c r="CU385" s="218"/>
      <c r="CV385" s="211"/>
      <c r="CW385" s="211"/>
      <c r="CX385" s="211"/>
      <c r="CY385" s="211"/>
      <c r="CZ385" s="211"/>
      <c r="DA385" s="211"/>
      <c r="DB385" s="211"/>
      <c r="DC385" s="219"/>
      <c r="DD385" s="219"/>
      <c r="DE385" s="219"/>
      <c r="DF385" s="211"/>
      <c r="DG385" s="211"/>
      <c r="DH385" s="211"/>
      <c r="DI385" s="211"/>
      <c r="DJ385" s="211"/>
      <c r="DK385" s="220" t="s">
        <v>32</v>
      </c>
      <c r="DT385" s="222"/>
    </row>
    <row r="386" spans="1:124" s="176" customFormat="1" ht="42" x14ac:dyDescent="0.2">
      <c r="A386" s="225" t="s">
        <v>94</v>
      </c>
      <c r="B386" s="197" t="s">
        <v>1019</v>
      </c>
      <c r="C386" s="198">
        <v>1</v>
      </c>
      <c r="D386" s="199">
        <v>1460000</v>
      </c>
      <c r="E386" s="198" t="s">
        <v>1014</v>
      </c>
      <c r="F386" s="198" t="s">
        <v>195</v>
      </c>
      <c r="G386" s="198" t="s">
        <v>139</v>
      </c>
      <c r="H386" s="200">
        <v>1</v>
      </c>
      <c r="I386" s="199">
        <f t="shared" si="413"/>
        <v>0</v>
      </c>
      <c r="J386" s="199">
        <f t="shared" si="414"/>
        <v>1460000</v>
      </c>
      <c r="K386" s="199">
        <f t="shared" si="415"/>
        <v>1460000</v>
      </c>
      <c r="L386" s="199"/>
      <c r="M386" s="199">
        <v>1460000</v>
      </c>
      <c r="N386" s="199">
        <f t="shared" si="416"/>
        <v>1460000</v>
      </c>
      <c r="O386" s="199"/>
      <c r="P386" s="201">
        <v>0</v>
      </c>
      <c r="Q386" s="202">
        <v>14</v>
      </c>
      <c r="R386" s="203">
        <v>45566</v>
      </c>
      <c r="S386" s="199"/>
      <c r="T386" s="199">
        <v>1460000</v>
      </c>
      <c r="U386" s="204">
        <f t="shared" si="417"/>
        <v>1460000</v>
      </c>
      <c r="V386" s="205"/>
      <c r="W386" s="200"/>
      <c r="X386" s="201"/>
      <c r="Y386" s="201">
        <v>-3180.99999999995</v>
      </c>
      <c r="Z386" s="201">
        <f t="shared" si="418"/>
        <v>-3180.99999999995</v>
      </c>
      <c r="AA386" s="198"/>
      <c r="AB386" s="206"/>
      <c r="AC386" s="207"/>
      <c r="AD386" s="201"/>
      <c r="AE386" s="204">
        <f t="shared" si="419"/>
        <v>0</v>
      </c>
      <c r="AF386" s="203">
        <f t="shared" si="420"/>
        <v>45566</v>
      </c>
      <c r="AG386" s="201">
        <f t="shared" si="421"/>
        <v>0</v>
      </c>
      <c r="AH386" s="201">
        <f t="shared" si="422"/>
        <v>1456819</v>
      </c>
      <c r="AI386" s="199">
        <f t="shared" si="423"/>
        <v>1456819</v>
      </c>
      <c r="AJ386" s="201">
        <f t="shared" si="440"/>
        <v>0</v>
      </c>
      <c r="AK386" s="201">
        <f t="shared" si="440"/>
        <v>1456819</v>
      </c>
      <c r="AL386" s="201">
        <f t="shared" si="424"/>
        <v>1456819</v>
      </c>
      <c r="AM386" s="198"/>
      <c r="AN386" s="203"/>
      <c r="AO386" s="208"/>
      <c r="AP386" s="201">
        <f t="shared" si="425"/>
        <v>0</v>
      </c>
      <c r="AQ386" s="201">
        <f t="shared" si="426"/>
        <v>1455511.05</v>
      </c>
      <c r="AR386" s="201">
        <f t="shared" si="427"/>
        <v>1455511.05</v>
      </c>
      <c r="AS386" s="201">
        <f t="shared" si="428"/>
        <v>99.910218771171984</v>
      </c>
      <c r="AT386" s="201"/>
      <c r="AU386" s="209">
        <v>1455511.05</v>
      </c>
      <c r="AV386" s="201">
        <f t="shared" si="429"/>
        <v>1455511.05</v>
      </c>
      <c r="AW386" s="201">
        <f t="shared" si="438"/>
        <v>0</v>
      </c>
      <c r="AX386" s="201">
        <f t="shared" si="430"/>
        <v>99.910218771171984</v>
      </c>
      <c r="AY386" s="208"/>
      <c r="AZ386" s="201">
        <f t="shared" si="431"/>
        <v>0</v>
      </c>
      <c r="BA386" s="201">
        <f t="shared" si="432"/>
        <v>0</v>
      </c>
      <c r="BB386" s="201">
        <f t="shared" si="433"/>
        <v>0</v>
      </c>
      <c r="BC386" s="201"/>
      <c r="BD386" s="209">
        <v>0</v>
      </c>
      <c r="BE386" s="201">
        <f t="shared" si="406"/>
        <v>0</v>
      </c>
      <c r="BF386" s="208"/>
      <c r="BG386" s="201">
        <f t="shared" si="441"/>
        <v>0</v>
      </c>
      <c r="BH386" s="201">
        <f t="shared" si="441"/>
        <v>1455511.05</v>
      </c>
      <c r="BI386" s="201">
        <f t="shared" si="434"/>
        <v>1455511.05</v>
      </c>
      <c r="BJ386" s="201">
        <f t="shared" si="435"/>
        <v>99.910218771171984</v>
      </c>
      <c r="BK386" s="210">
        <v>20</v>
      </c>
      <c r="BL386" s="210">
        <v>100</v>
      </c>
      <c r="BM386" s="211"/>
      <c r="BN386" s="211"/>
      <c r="BO386" s="212">
        <f t="shared" si="436"/>
        <v>0</v>
      </c>
      <c r="BP386" s="201">
        <f t="shared" si="437"/>
        <v>1307.9499999999534</v>
      </c>
      <c r="BQ386" s="201">
        <f t="shared" si="407"/>
        <v>1307.9499999999534</v>
      </c>
      <c r="BR386" s="201">
        <f t="shared" si="442"/>
        <v>0</v>
      </c>
      <c r="BS386" s="201">
        <f t="shared" si="442"/>
        <v>1307.9499999999534</v>
      </c>
      <c r="BT386" s="201">
        <f t="shared" si="408"/>
        <v>1307.9499999999534</v>
      </c>
      <c r="BU386" s="213">
        <f t="shared" si="439"/>
        <v>0</v>
      </c>
      <c r="BV386" s="201">
        <v>3180.99999999995</v>
      </c>
      <c r="BW386" s="201"/>
      <c r="BX386" s="201">
        <f t="shared" si="409"/>
        <v>3180.99999999995</v>
      </c>
      <c r="BY386" s="199">
        <v>486600</v>
      </c>
      <c r="BZ386" s="199">
        <v>486600</v>
      </c>
      <c r="CA386" s="199">
        <v>486800</v>
      </c>
      <c r="CB386" s="199">
        <v>0</v>
      </c>
      <c r="CC386" s="199">
        <v>0</v>
      </c>
      <c r="CD386" s="199">
        <v>0</v>
      </c>
      <c r="CE386" s="199">
        <v>0</v>
      </c>
      <c r="CF386" s="199">
        <v>0</v>
      </c>
      <c r="CG386" s="199">
        <v>0</v>
      </c>
      <c r="CH386" s="199">
        <v>0</v>
      </c>
      <c r="CI386" s="199">
        <v>0</v>
      </c>
      <c r="CJ386" s="199">
        <v>0</v>
      </c>
      <c r="CK386" s="214" t="s">
        <v>1020</v>
      </c>
      <c r="CL386" s="214" t="s">
        <v>610</v>
      </c>
      <c r="CM386" s="211">
        <v>198</v>
      </c>
      <c r="CN386" s="215"/>
      <c r="CO386" s="215"/>
      <c r="CP386" s="216"/>
      <c r="CQ386" s="217"/>
      <c r="CR386" s="211"/>
      <c r="CS386" s="218"/>
      <c r="CT386" s="218"/>
      <c r="CU386" s="218"/>
      <c r="CV386" s="211"/>
      <c r="CW386" s="211"/>
      <c r="CX386" s="211"/>
      <c r="CY386" s="211"/>
      <c r="CZ386" s="211"/>
      <c r="DA386" s="211"/>
      <c r="DB386" s="211"/>
      <c r="DC386" s="219"/>
      <c r="DD386" s="219"/>
      <c r="DE386" s="219"/>
      <c r="DF386" s="211"/>
      <c r="DG386" s="211"/>
      <c r="DH386" s="211"/>
      <c r="DI386" s="211"/>
      <c r="DJ386" s="211"/>
      <c r="DK386" s="220" t="s">
        <v>32</v>
      </c>
      <c r="DT386" s="222"/>
    </row>
    <row r="387" spans="1:124" s="176" customFormat="1" ht="42" x14ac:dyDescent="0.2">
      <c r="A387" s="225" t="s">
        <v>136</v>
      </c>
      <c r="B387" s="197" t="s">
        <v>1021</v>
      </c>
      <c r="C387" s="198">
        <v>1</v>
      </c>
      <c r="D387" s="199">
        <v>985000</v>
      </c>
      <c r="E387" s="198" t="s">
        <v>462</v>
      </c>
      <c r="F387" s="198" t="s">
        <v>462</v>
      </c>
      <c r="G387" s="198" t="s">
        <v>139</v>
      </c>
      <c r="H387" s="200">
        <v>1</v>
      </c>
      <c r="I387" s="199">
        <f t="shared" si="413"/>
        <v>0</v>
      </c>
      <c r="J387" s="199">
        <f t="shared" si="414"/>
        <v>985000</v>
      </c>
      <c r="K387" s="199">
        <f t="shared" si="415"/>
        <v>985000</v>
      </c>
      <c r="L387" s="199"/>
      <c r="M387" s="199">
        <v>985000</v>
      </c>
      <c r="N387" s="199">
        <f t="shared" si="416"/>
        <v>985000</v>
      </c>
      <c r="O387" s="199"/>
      <c r="P387" s="201">
        <v>0</v>
      </c>
      <c r="Q387" s="202">
        <v>14</v>
      </c>
      <c r="R387" s="203">
        <v>45566</v>
      </c>
      <c r="S387" s="199"/>
      <c r="T387" s="199">
        <v>985000</v>
      </c>
      <c r="U387" s="204">
        <f t="shared" si="417"/>
        <v>985000</v>
      </c>
      <c r="V387" s="205"/>
      <c r="W387" s="200"/>
      <c r="X387" s="201"/>
      <c r="Y387" s="201"/>
      <c r="Z387" s="201">
        <f t="shared" si="418"/>
        <v>0</v>
      </c>
      <c r="AA387" s="198"/>
      <c r="AB387" s="206"/>
      <c r="AC387" s="207"/>
      <c r="AD387" s="201"/>
      <c r="AE387" s="204">
        <f t="shared" si="419"/>
        <v>0</v>
      </c>
      <c r="AF387" s="203">
        <f t="shared" si="420"/>
        <v>45566</v>
      </c>
      <c r="AG387" s="201">
        <f t="shared" si="421"/>
        <v>0</v>
      </c>
      <c r="AH387" s="201">
        <f t="shared" si="422"/>
        <v>985000</v>
      </c>
      <c r="AI387" s="199">
        <f t="shared" si="423"/>
        <v>985000</v>
      </c>
      <c r="AJ387" s="201">
        <f t="shared" si="440"/>
        <v>0</v>
      </c>
      <c r="AK387" s="201">
        <f t="shared" si="440"/>
        <v>985000</v>
      </c>
      <c r="AL387" s="201">
        <f t="shared" si="424"/>
        <v>985000</v>
      </c>
      <c r="AM387" s="198"/>
      <c r="AN387" s="203"/>
      <c r="AO387" s="208"/>
      <c r="AP387" s="201">
        <f t="shared" si="425"/>
        <v>0</v>
      </c>
      <c r="AQ387" s="201">
        <f t="shared" si="426"/>
        <v>914456.2</v>
      </c>
      <c r="AR387" s="201">
        <f t="shared" si="427"/>
        <v>914456.2</v>
      </c>
      <c r="AS387" s="201">
        <f t="shared" si="428"/>
        <v>92.838192893401015</v>
      </c>
      <c r="AT387" s="201"/>
      <c r="AU387" s="209">
        <v>914456.2</v>
      </c>
      <c r="AV387" s="201">
        <f t="shared" si="429"/>
        <v>914456.2</v>
      </c>
      <c r="AW387" s="201">
        <f t="shared" si="438"/>
        <v>10.152284263959391</v>
      </c>
      <c r="AX387" s="201">
        <f t="shared" si="430"/>
        <v>92.838192893401015</v>
      </c>
      <c r="AY387" s="208"/>
      <c r="AZ387" s="201">
        <f t="shared" si="431"/>
        <v>0</v>
      </c>
      <c r="BA387" s="201">
        <f t="shared" si="432"/>
        <v>0</v>
      </c>
      <c r="BB387" s="201">
        <f t="shared" si="433"/>
        <v>0</v>
      </c>
      <c r="BC387" s="201"/>
      <c r="BD387" s="209">
        <v>0</v>
      </c>
      <c r="BE387" s="201">
        <f t="shared" si="406"/>
        <v>0</v>
      </c>
      <c r="BF387" s="208"/>
      <c r="BG387" s="201">
        <f t="shared" si="441"/>
        <v>0</v>
      </c>
      <c r="BH387" s="201">
        <f t="shared" si="441"/>
        <v>914456.2</v>
      </c>
      <c r="BI387" s="201">
        <f t="shared" si="434"/>
        <v>914456.2</v>
      </c>
      <c r="BJ387" s="201">
        <f t="shared" si="435"/>
        <v>92.838192893401015</v>
      </c>
      <c r="BK387" s="210">
        <v>20</v>
      </c>
      <c r="BL387" s="210">
        <v>90</v>
      </c>
      <c r="BM387" s="211"/>
      <c r="BN387" s="211"/>
      <c r="BO387" s="212">
        <f t="shared" si="436"/>
        <v>0</v>
      </c>
      <c r="BP387" s="201">
        <f t="shared" si="437"/>
        <v>70543.800000000047</v>
      </c>
      <c r="BQ387" s="201">
        <f t="shared" si="407"/>
        <v>70543.800000000047</v>
      </c>
      <c r="BR387" s="201">
        <f t="shared" si="442"/>
        <v>0</v>
      </c>
      <c r="BS387" s="201">
        <f t="shared" si="442"/>
        <v>70543.800000000047</v>
      </c>
      <c r="BT387" s="201">
        <f t="shared" si="408"/>
        <v>70543.800000000047</v>
      </c>
      <c r="BU387" s="213">
        <f t="shared" si="439"/>
        <v>0</v>
      </c>
      <c r="BV387" s="201"/>
      <c r="BW387" s="201"/>
      <c r="BX387" s="201">
        <f t="shared" si="409"/>
        <v>0</v>
      </c>
      <c r="BY387" s="199">
        <v>60000</v>
      </c>
      <c r="BZ387" s="199">
        <v>70000</v>
      </c>
      <c r="CA387" s="199">
        <v>80000</v>
      </c>
      <c r="CB387" s="199">
        <v>90000</v>
      </c>
      <c r="CC387" s="199">
        <v>100000</v>
      </c>
      <c r="CD387" s="199">
        <v>100000</v>
      </c>
      <c r="CE387" s="199">
        <v>100000</v>
      </c>
      <c r="CF387" s="199">
        <v>100000</v>
      </c>
      <c r="CG387" s="199">
        <v>100000</v>
      </c>
      <c r="CH387" s="199">
        <v>100000</v>
      </c>
      <c r="CI387" s="199">
        <v>85000</v>
      </c>
      <c r="CJ387" s="199"/>
      <c r="CK387" s="214" t="s">
        <v>1022</v>
      </c>
      <c r="CL387" s="214" t="s">
        <v>610</v>
      </c>
      <c r="CM387" s="211">
        <v>198</v>
      </c>
      <c r="CN387" s="215"/>
      <c r="CO387" s="215"/>
      <c r="CP387" s="216"/>
      <c r="CQ387" s="217"/>
      <c r="CR387" s="211"/>
      <c r="CS387" s="218"/>
      <c r="CT387" s="218"/>
      <c r="CU387" s="218"/>
      <c r="CV387" s="211"/>
      <c r="CW387" s="211"/>
      <c r="CX387" s="211"/>
      <c r="CY387" s="211"/>
      <c r="CZ387" s="211"/>
      <c r="DA387" s="211"/>
      <c r="DB387" s="211"/>
      <c r="DC387" s="219"/>
      <c r="DD387" s="219"/>
      <c r="DE387" s="219"/>
      <c r="DF387" s="211"/>
      <c r="DG387" s="211"/>
      <c r="DH387" s="211"/>
      <c r="DI387" s="211"/>
      <c r="DJ387" s="211"/>
      <c r="DK387" s="220" t="s">
        <v>32</v>
      </c>
      <c r="DT387" s="222"/>
    </row>
    <row r="388" spans="1:124" s="176" customFormat="1" ht="42" x14ac:dyDescent="0.2">
      <c r="A388" s="225" t="s">
        <v>136</v>
      </c>
      <c r="B388" s="197" t="s">
        <v>1023</v>
      </c>
      <c r="C388" s="198">
        <v>1</v>
      </c>
      <c r="D388" s="199">
        <v>950000</v>
      </c>
      <c r="E388" s="198" t="s">
        <v>462</v>
      </c>
      <c r="F388" s="198" t="s">
        <v>462</v>
      </c>
      <c r="G388" s="198" t="s">
        <v>139</v>
      </c>
      <c r="H388" s="200">
        <v>1</v>
      </c>
      <c r="I388" s="199">
        <f t="shared" si="413"/>
        <v>0</v>
      </c>
      <c r="J388" s="199">
        <f t="shared" si="414"/>
        <v>950000</v>
      </c>
      <c r="K388" s="199">
        <f t="shared" si="415"/>
        <v>950000</v>
      </c>
      <c r="L388" s="199"/>
      <c r="M388" s="199">
        <v>950000</v>
      </c>
      <c r="N388" s="199">
        <f t="shared" si="416"/>
        <v>950000</v>
      </c>
      <c r="O388" s="199"/>
      <c r="P388" s="201">
        <v>0</v>
      </c>
      <c r="Q388" s="202">
        <v>14</v>
      </c>
      <c r="R388" s="203">
        <v>45566</v>
      </c>
      <c r="S388" s="199"/>
      <c r="T388" s="199">
        <v>950000</v>
      </c>
      <c r="U388" s="204">
        <f t="shared" si="417"/>
        <v>950000</v>
      </c>
      <c r="V388" s="205"/>
      <c r="W388" s="200"/>
      <c r="X388" s="201"/>
      <c r="Y388" s="201"/>
      <c r="Z388" s="201">
        <f t="shared" si="418"/>
        <v>0</v>
      </c>
      <c r="AA388" s="198"/>
      <c r="AB388" s="206"/>
      <c r="AC388" s="207"/>
      <c r="AD388" s="201"/>
      <c r="AE388" s="204">
        <f t="shared" si="419"/>
        <v>0</v>
      </c>
      <c r="AF388" s="203">
        <f t="shared" si="420"/>
        <v>45566</v>
      </c>
      <c r="AG388" s="201">
        <f t="shared" si="421"/>
        <v>0</v>
      </c>
      <c r="AH388" s="201">
        <f t="shared" si="422"/>
        <v>950000</v>
      </c>
      <c r="AI388" s="199">
        <f t="shared" si="423"/>
        <v>950000</v>
      </c>
      <c r="AJ388" s="201">
        <f t="shared" si="440"/>
        <v>0</v>
      </c>
      <c r="AK388" s="201">
        <f t="shared" si="440"/>
        <v>950000</v>
      </c>
      <c r="AL388" s="201">
        <f t="shared" si="424"/>
        <v>950000</v>
      </c>
      <c r="AM388" s="198"/>
      <c r="AN388" s="203"/>
      <c r="AO388" s="208"/>
      <c r="AP388" s="201">
        <f t="shared" si="425"/>
        <v>0</v>
      </c>
      <c r="AQ388" s="201">
        <f t="shared" si="426"/>
        <v>902917.14</v>
      </c>
      <c r="AR388" s="201">
        <f t="shared" si="427"/>
        <v>902917.14</v>
      </c>
      <c r="AS388" s="201">
        <f t="shared" si="428"/>
        <v>95.043909473684209</v>
      </c>
      <c r="AT388" s="201"/>
      <c r="AU388" s="209">
        <v>902917.14</v>
      </c>
      <c r="AV388" s="201">
        <f t="shared" si="429"/>
        <v>902917.14</v>
      </c>
      <c r="AW388" s="201">
        <f t="shared" si="438"/>
        <v>10.526315789473685</v>
      </c>
      <c r="AX388" s="201">
        <f t="shared" si="430"/>
        <v>95.043909473684209</v>
      </c>
      <c r="AY388" s="208"/>
      <c r="AZ388" s="201">
        <f t="shared" si="431"/>
        <v>0</v>
      </c>
      <c r="BA388" s="201">
        <f t="shared" si="432"/>
        <v>0</v>
      </c>
      <c r="BB388" s="201">
        <f t="shared" si="433"/>
        <v>0</v>
      </c>
      <c r="BC388" s="201"/>
      <c r="BD388" s="209">
        <v>0</v>
      </c>
      <c r="BE388" s="201">
        <f t="shared" si="406"/>
        <v>0</v>
      </c>
      <c r="BF388" s="208"/>
      <c r="BG388" s="201">
        <f t="shared" si="441"/>
        <v>0</v>
      </c>
      <c r="BH388" s="201">
        <f t="shared" si="441"/>
        <v>902917.14</v>
      </c>
      <c r="BI388" s="201">
        <f t="shared" si="434"/>
        <v>902917.14</v>
      </c>
      <c r="BJ388" s="201">
        <f t="shared" si="435"/>
        <v>95.043909473684209</v>
      </c>
      <c r="BK388" s="210">
        <v>20</v>
      </c>
      <c r="BL388" s="210">
        <v>90</v>
      </c>
      <c r="BM388" s="211"/>
      <c r="BN388" s="211"/>
      <c r="BO388" s="212">
        <f t="shared" si="436"/>
        <v>0</v>
      </c>
      <c r="BP388" s="201">
        <f t="shared" si="437"/>
        <v>47082.859999999986</v>
      </c>
      <c r="BQ388" s="201">
        <f t="shared" si="407"/>
        <v>47082.859999999986</v>
      </c>
      <c r="BR388" s="201">
        <f t="shared" si="442"/>
        <v>0</v>
      </c>
      <c r="BS388" s="201">
        <f t="shared" si="442"/>
        <v>47082.859999999986</v>
      </c>
      <c r="BT388" s="201">
        <f t="shared" si="408"/>
        <v>47082.859999999986</v>
      </c>
      <c r="BU388" s="213">
        <f t="shared" si="439"/>
        <v>0</v>
      </c>
      <c r="BV388" s="201"/>
      <c r="BW388" s="201"/>
      <c r="BX388" s="201">
        <f t="shared" si="409"/>
        <v>0</v>
      </c>
      <c r="BY388" s="199">
        <v>50000</v>
      </c>
      <c r="BZ388" s="199">
        <v>60000</v>
      </c>
      <c r="CA388" s="199">
        <v>70000</v>
      </c>
      <c r="CB388" s="199">
        <v>80000</v>
      </c>
      <c r="CC388" s="199">
        <v>100000</v>
      </c>
      <c r="CD388" s="199">
        <v>100000</v>
      </c>
      <c r="CE388" s="199">
        <v>100000</v>
      </c>
      <c r="CF388" s="199">
        <v>100000</v>
      </c>
      <c r="CG388" s="199">
        <v>100000</v>
      </c>
      <c r="CH388" s="199">
        <v>100000</v>
      </c>
      <c r="CI388" s="199">
        <v>90000</v>
      </c>
      <c r="CJ388" s="199"/>
      <c r="CK388" s="214" t="s">
        <v>1024</v>
      </c>
      <c r="CL388" s="214" t="s">
        <v>610</v>
      </c>
      <c r="CM388" s="211">
        <v>198</v>
      </c>
      <c r="CN388" s="215"/>
      <c r="CO388" s="215"/>
      <c r="CP388" s="216"/>
      <c r="CQ388" s="217"/>
      <c r="CR388" s="211"/>
      <c r="CS388" s="218"/>
      <c r="CT388" s="218"/>
      <c r="CU388" s="218"/>
      <c r="CV388" s="211"/>
      <c r="CW388" s="211"/>
      <c r="CX388" s="211"/>
      <c r="CY388" s="211"/>
      <c r="CZ388" s="211"/>
      <c r="DA388" s="211"/>
      <c r="DB388" s="211"/>
      <c r="DC388" s="219"/>
      <c r="DD388" s="219"/>
      <c r="DE388" s="219"/>
      <c r="DF388" s="211"/>
      <c r="DG388" s="211"/>
      <c r="DH388" s="211"/>
      <c r="DI388" s="211"/>
      <c r="DJ388" s="211"/>
      <c r="DK388" s="220" t="s">
        <v>32</v>
      </c>
      <c r="DT388" s="222"/>
    </row>
    <row r="389" spans="1:124" s="176" customFormat="1" ht="42" x14ac:dyDescent="0.2">
      <c r="A389" s="225" t="s">
        <v>136</v>
      </c>
      <c r="B389" s="197" t="s">
        <v>1025</v>
      </c>
      <c r="C389" s="198">
        <v>1</v>
      </c>
      <c r="D389" s="199">
        <v>950000</v>
      </c>
      <c r="E389" s="198" t="s">
        <v>462</v>
      </c>
      <c r="F389" s="198" t="s">
        <v>462</v>
      </c>
      <c r="G389" s="198" t="s">
        <v>139</v>
      </c>
      <c r="H389" s="200">
        <v>1</v>
      </c>
      <c r="I389" s="199">
        <f t="shared" si="413"/>
        <v>0</v>
      </c>
      <c r="J389" s="199">
        <f t="shared" si="414"/>
        <v>950000</v>
      </c>
      <c r="K389" s="199">
        <f t="shared" si="415"/>
        <v>950000</v>
      </c>
      <c r="L389" s="199"/>
      <c r="M389" s="199">
        <v>950000</v>
      </c>
      <c r="N389" s="199">
        <f t="shared" si="416"/>
        <v>950000</v>
      </c>
      <c r="O389" s="199"/>
      <c r="P389" s="201">
        <v>0</v>
      </c>
      <c r="Q389" s="202">
        <v>14</v>
      </c>
      <c r="R389" s="203">
        <v>45566</v>
      </c>
      <c r="S389" s="199"/>
      <c r="T389" s="199">
        <v>950000</v>
      </c>
      <c r="U389" s="204">
        <f t="shared" si="417"/>
        <v>950000</v>
      </c>
      <c r="V389" s="205"/>
      <c r="W389" s="200"/>
      <c r="X389" s="201"/>
      <c r="Y389" s="201"/>
      <c r="Z389" s="201">
        <f t="shared" si="418"/>
        <v>0</v>
      </c>
      <c r="AA389" s="198"/>
      <c r="AB389" s="206"/>
      <c r="AC389" s="207"/>
      <c r="AD389" s="201"/>
      <c r="AE389" s="204">
        <f t="shared" si="419"/>
        <v>0</v>
      </c>
      <c r="AF389" s="203">
        <f t="shared" si="420"/>
        <v>45566</v>
      </c>
      <c r="AG389" s="201">
        <f t="shared" si="421"/>
        <v>0</v>
      </c>
      <c r="AH389" s="201">
        <f t="shared" si="422"/>
        <v>950000</v>
      </c>
      <c r="AI389" s="199">
        <f t="shared" si="423"/>
        <v>950000</v>
      </c>
      <c r="AJ389" s="201">
        <f t="shared" ref="AJ389:AK452" si="443">+S389+X389+AC389</f>
        <v>0</v>
      </c>
      <c r="AK389" s="201">
        <f t="shared" si="443"/>
        <v>950000</v>
      </c>
      <c r="AL389" s="201">
        <f t="shared" si="424"/>
        <v>950000</v>
      </c>
      <c r="AM389" s="198"/>
      <c r="AN389" s="203"/>
      <c r="AO389" s="208"/>
      <c r="AP389" s="201">
        <f t="shared" si="425"/>
        <v>0</v>
      </c>
      <c r="AQ389" s="201">
        <f t="shared" si="426"/>
        <v>894861.53</v>
      </c>
      <c r="AR389" s="201">
        <f t="shared" si="427"/>
        <v>894861.53</v>
      </c>
      <c r="AS389" s="201">
        <f t="shared" si="428"/>
        <v>94.195950526315784</v>
      </c>
      <c r="AT389" s="201"/>
      <c r="AU389" s="209">
        <v>894861.53</v>
      </c>
      <c r="AV389" s="201">
        <f t="shared" si="429"/>
        <v>894861.53</v>
      </c>
      <c r="AW389" s="201">
        <f t="shared" si="438"/>
        <v>10.526315789473685</v>
      </c>
      <c r="AX389" s="201">
        <f t="shared" si="430"/>
        <v>94.195950526315784</v>
      </c>
      <c r="AY389" s="208"/>
      <c r="AZ389" s="201">
        <f t="shared" si="431"/>
        <v>0</v>
      </c>
      <c r="BA389" s="201">
        <f t="shared" si="432"/>
        <v>7990</v>
      </c>
      <c r="BB389" s="201">
        <f t="shared" si="433"/>
        <v>7990</v>
      </c>
      <c r="BC389" s="201"/>
      <c r="BD389" s="209">
        <v>7990</v>
      </c>
      <c r="BE389" s="201">
        <f t="shared" si="406"/>
        <v>7990</v>
      </c>
      <c r="BF389" s="208"/>
      <c r="BG389" s="201">
        <f t="shared" si="441"/>
        <v>0</v>
      </c>
      <c r="BH389" s="201">
        <f t="shared" si="441"/>
        <v>902851.53</v>
      </c>
      <c r="BI389" s="201">
        <f t="shared" si="434"/>
        <v>902851.53</v>
      </c>
      <c r="BJ389" s="201">
        <f t="shared" si="435"/>
        <v>95.037003157894731</v>
      </c>
      <c r="BK389" s="210">
        <v>20</v>
      </c>
      <c r="BL389" s="210">
        <v>90</v>
      </c>
      <c r="BM389" s="211"/>
      <c r="BN389" s="211"/>
      <c r="BO389" s="212">
        <f t="shared" si="436"/>
        <v>0</v>
      </c>
      <c r="BP389" s="201">
        <f t="shared" si="437"/>
        <v>55138.469999999972</v>
      </c>
      <c r="BQ389" s="201">
        <f t="shared" si="407"/>
        <v>55138.469999999972</v>
      </c>
      <c r="BR389" s="201">
        <f t="shared" si="442"/>
        <v>0</v>
      </c>
      <c r="BS389" s="201">
        <f t="shared" si="442"/>
        <v>55138.469999999972</v>
      </c>
      <c r="BT389" s="201">
        <f t="shared" si="408"/>
        <v>55138.469999999972</v>
      </c>
      <c r="BU389" s="213">
        <f t="shared" si="439"/>
        <v>0</v>
      </c>
      <c r="BV389" s="201"/>
      <c r="BW389" s="201"/>
      <c r="BX389" s="201">
        <f t="shared" si="409"/>
        <v>0</v>
      </c>
      <c r="BY389" s="199">
        <v>50000</v>
      </c>
      <c r="BZ389" s="199">
        <v>60000</v>
      </c>
      <c r="CA389" s="199">
        <v>70000</v>
      </c>
      <c r="CB389" s="199">
        <v>80000</v>
      </c>
      <c r="CC389" s="199">
        <v>100000</v>
      </c>
      <c r="CD389" s="199">
        <v>100000</v>
      </c>
      <c r="CE389" s="199">
        <v>100000</v>
      </c>
      <c r="CF389" s="199">
        <v>100000</v>
      </c>
      <c r="CG389" s="199">
        <v>100000</v>
      </c>
      <c r="CH389" s="199">
        <v>100000</v>
      </c>
      <c r="CI389" s="199">
        <v>90000</v>
      </c>
      <c r="CJ389" s="199"/>
      <c r="CK389" s="214" t="s">
        <v>1026</v>
      </c>
      <c r="CL389" s="214" t="s">
        <v>610</v>
      </c>
      <c r="CM389" s="211">
        <v>198</v>
      </c>
      <c r="CN389" s="215"/>
      <c r="CO389" s="215"/>
      <c r="CP389" s="216"/>
      <c r="CQ389" s="217"/>
      <c r="CR389" s="211"/>
      <c r="CS389" s="218"/>
      <c r="CT389" s="218"/>
      <c r="CU389" s="218"/>
      <c r="CV389" s="211"/>
      <c r="CW389" s="211"/>
      <c r="CX389" s="211"/>
      <c r="CY389" s="211"/>
      <c r="CZ389" s="211"/>
      <c r="DA389" s="211"/>
      <c r="DB389" s="211"/>
      <c r="DC389" s="219"/>
      <c r="DD389" s="219"/>
      <c r="DE389" s="219"/>
      <c r="DF389" s="211"/>
      <c r="DG389" s="211"/>
      <c r="DH389" s="211"/>
      <c r="DI389" s="211"/>
      <c r="DJ389" s="211"/>
      <c r="DK389" s="220" t="s">
        <v>32</v>
      </c>
      <c r="DT389" s="222"/>
    </row>
    <row r="390" spans="1:124" s="176" customFormat="1" ht="42" x14ac:dyDescent="0.2">
      <c r="A390" s="225" t="s">
        <v>136</v>
      </c>
      <c r="B390" s="197" t="s">
        <v>1027</v>
      </c>
      <c r="C390" s="198">
        <v>1</v>
      </c>
      <c r="D390" s="199">
        <v>950000</v>
      </c>
      <c r="E390" s="198" t="s">
        <v>462</v>
      </c>
      <c r="F390" s="198" t="s">
        <v>462</v>
      </c>
      <c r="G390" s="198" t="s">
        <v>139</v>
      </c>
      <c r="H390" s="200">
        <v>1</v>
      </c>
      <c r="I390" s="199">
        <f t="shared" si="413"/>
        <v>0</v>
      </c>
      <c r="J390" s="199">
        <f t="shared" si="414"/>
        <v>950000</v>
      </c>
      <c r="K390" s="199">
        <f t="shared" si="415"/>
        <v>950000</v>
      </c>
      <c r="L390" s="199"/>
      <c r="M390" s="199">
        <v>950000</v>
      </c>
      <c r="N390" s="199">
        <f t="shared" si="416"/>
        <v>950000</v>
      </c>
      <c r="O390" s="199"/>
      <c r="P390" s="201">
        <v>0</v>
      </c>
      <c r="Q390" s="202">
        <v>14</v>
      </c>
      <c r="R390" s="203">
        <v>45566</v>
      </c>
      <c r="S390" s="199"/>
      <c r="T390" s="199">
        <v>950000</v>
      </c>
      <c r="U390" s="204">
        <f t="shared" si="417"/>
        <v>950000</v>
      </c>
      <c r="V390" s="205"/>
      <c r="W390" s="200"/>
      <c r="X390" s="201"/>
      <c r="Y390" s="201"/>
      <c r="Z390" s="201">
        <f t="shared" si="418"/>
        <v>0</v>
      </c>
      <c r="AA390" s="198"/>
      <c r="AB390" s="206"/>
      <c r="AC390" s="207"/>
      <c r="AD390" s="201"/>
      <c r="AE390" s="204">
        <f t="shared" si="419"/>
        <v>0</v>
      </c>
      <c r="AF390" s="203">
        <f t="shared" si="420"/>
        <v>45566</v>
      </c>
      <c r="AG390" s="201">
        <f t="shared" si="421"/>
        <v>0</v>
      </c>
      <c r="AH390" s="201">
        <f t="shared" si="422"/>
        <v>950000</v>
      </c>
      <c r="AI390" s="199">
        <f t="shared" si="423"/>
        <v>950000</v>
      </c>
      <c r="AJ390" s="201">
        <f t="shared" si="443"/>
        <v>0</v>
      </c>
      <c r="AK390" s="201">
        <f t="shared" si="443"/>
        <v>950000</v>
      </c>
      <c r="AL390" s="201">
        <f t="shared" si="424"/>
        <v>950000</v>
      </c>
      <c r="AM390" s="198"/>
      <c r="AN390" s="203"/>
      <c r="AO390" s="208"/>
      <c r="AP390" s="201">
        <f t="shared" si="425"/>
        <v>0</v>
      </c>
      <c r="AQ390" s="201">
        <f t="shared" si="426"/>
        <v>901060.46</v>
      </c>
      <c r="AR390" s="201">
        <f t="shared" si="427"/>
        <v>901060.46</v>
      </c>
      <c r="AS390" s="201">
        <f t="shared" si="428"/>
        <v>94.848469473684204</v>
      </c>
      <c r="AT390" s="201"/>
      <c r="AU390" s="209">
        <v>901060.46</v>
      </c>
      <c r="AV390" s="201">
        <f t="shared" si="429"/>
        <v>901060.46</v>
      </c>
      <c r="AW390" s="201">
        <f t="shared" si="438"/>
        <v>10.526315789473685</v>
      </c>
      <c r="AX390" s="201">
        <f t="shared" si="430"/>
        <v>94.848469473684204</v>
      </c>
      <c r="AY390" s="208"/>
      <c r="AZ390" s="201">
        <f t="shared" si="431"/>
        <v>0</v>
      </c>
      <c r="BA390" s="201">
        <f t="shared" si="432"/>
        <v>0</v>
      </c>
      <c r="BB390" s="201">
        <f t="shared" si="433"/>
        <v>0</v>
      </c>
      <c r="BC390" s="201"/>
      <c r="BD390" s="209">
        <v>0</v>
      </c>
      <c r="BE390" s="201">
        <f t="shared" si="406"/>
        <v>0</v>
      </c>
      <c r="BF390" s="208"/>
      <c r="BG390" s="201">
        <f t="shared" si="441"/>
        <v>0</v>
      </c>
      <c r="BH390" s="201">
        <f t="shared" si="441"/>
        <v>901060.46</v>
      </c>
      <c r="BI390" s="201">
        <f t="shared" si="434"/>
        <v>901060.46</v>
      </c>
      <c r="BJ390" s="201">
        <f t="shared" si="435"/>
        <v>94.848469473684204</v>
      </c>
      <c r="BK390" s="210">
        <v>20</v>
      </c>
      <c r="BL390" s="210">
        <v>90</v>
      </c>
      <c r="BM390" s="211"/>
      <c r="BN390" s="211"/>
      <c r="BO390" s="212">
        <f t="shared" si="436"/>
        <v>0</v>
      </c>
      <c r="BP390" s="201">
        <f t="shared" si="437"/>
        <v>48939.540000000037</v>
      </c>
      <c r="BQ390" s="201">
        <f t="shared" si="407"/>
        <v>48939.540000000037</v>
      </c>
      <c r="BR390" s="201">
        <f t="shared" si="442"/>
        <v>0</v>
      </c>
      <c r="BS390" s="201">
        <f t="shared" si="442"/>
        <v>48939.540000000037</v>
      </c>
      <c r="BT390" s="201">
        <f t="shared" si="408"/>
        <v>48939.540000000037</v>
      </c>
      <c r="BU390" s="213">
        <f t="shared" si="439"/>
        <v>0</v>
      </c>
      <c r="BV390" s="201"/>
      <c r="BW390" s="201"/>
      <c r="BX390" s="201">
        <f t="shared" si="409"/>
        <v>0</v>
      </c>
      <c r="BY390" s="199">
        <v>50000</v>
      </c>
      <c r="BZ390" s="199">
        <v>60000</v>
      </c>
      <c r="CA390" s="199">
        <v>70000</v>
      </c>
      <c r="CB390" s="199">
        <v>80000</v>
      </c>
      <c r="CC390" s="199">
        <v>100000</v>
      </c>
      <c r="CD390" s="199">
        <v>100000</v>
      </c>
      <c r="CE390" s="199">
        <v>100000</v>
      </c>
      <c r="CF390" s="199">
        <v>100000</v>
      </c>
      <c r="CG390" s="199">
        <v>100000</v>
      </c>
      <c r="CH390" s="199">
        <v>100000</v>
      </c>
      <c r="CI390" s="199">
        <v>90000</v>
      </c>
      <c r="CJ390" s="199"/>
      <c r="CK390" s="214" t="s">
        <v>1028</v>
      </c>
      <c r="CL390" s="214" t="s">
        <v>610</v>
      </c>
      <c r="CM390" s="211">
        <v>198</v>
      </c>
      <c r="CN390" s="215"/>
      <c r="CO390" s="215"/>
      <c r="CP390" s="216"/>
      <c r="CQ390" s="217"/>
      <c r="CR390" s="211"/>
      <c r="CS390" s="218"/>
      <c r="CT390" s="218"/>
      <c r="CU390" s="218"/>
      <c r="CV390" s="211"/>
      <c r="CW390" s="211"/>
      <c r="CX390" s="211"/>
      <c r="CY390" s="211"/>
      <c r="CZ390" s="211"/>
      <c r="DA390" s="211"/>
      <c r="DB390" s="211"/>
      <c r="DC390" s="219"/>
      <c r="DD390" s="219"/>
      <c r="DE390" s="219"/>
      <c r="DF390" s="211"/>
      <c r="DG390" s="211"/>
      <c r="DH390" s="211"/>
      <c r="DI390" s="211"/>
      <c r="DJ390" s="211"/>
      <c r="DK390" s="220" t="s">
        <v>32</v>
      </c>
      <c r="DT390" s="222"/>
    </row>
    <row r="391" spans="1:124" s="176" customFormat="1" ht="42" x14ac:dyDescent="0.2">
      <c r="A391" s="225" t="s">
        <v>136</v>
      </c>
      <c r="B391" s="197" t="s">
        <v>1029</v>
      </c>
      <c r="C391" s="198">
        <v>1</v>
      </c>
      <c r="D391" s="199">
        <v>985000</v>
      </c>
      <c r="E391" s="198" t="s">
        <v>462</v>
      </c>
      <c r="F391" s="198" t="s">
        <v>462</v>
      </c>
      <c r="G391" s="198" t="s">
        <v>139</v>
      </c>
      <c r="H391" s="200">
        <v>1</v>
      </c>
      <c r="I391" s="199">
        <f t="shared" si="413"/>
        <v>0</v>
      </c>
      <c r="J391" s="199">
        <f t="shared" si="414"/>
        <v>985000</v>
      </c>
      <c r="K391" s="199">
        <f t="shared" si="415"/>
        <v>985000</v>
      </c>
      <c r="L391" s="199"/>
      <c r="M391" s="199">
        <v>985000</v>
      </c>
      <c r="N391" s="199">
        <f t="shared" si="416"/>
        <v>985000</v>
      </c>
      <c r="O391" s="199"/>
      <c r="P391" s="201">
        <v>0</v>
      </c>
      <c r="Q391" s="202">
        <v>14</v>
      </c>
      <c r="R391" s="203">
        <v>45566</v>
      </c>
      <c r="S391" s="199"/>
      <c r="T391" s="199">
        <v>985000</v>
      </c>
      <c r="U391" s="204">
        <f t="shared" si="417"/>
        <v>985000</v>
      </c>
      <c r="V391" s="205"/>
      <c r="W391" s="200"/>
      <c r="X391" s="201"/>
      <c r="Y391" s="201"/>
      <c r="Z391" s="201">
        <f t="shared" si="418"/>
        <v>0</v>
      </c>
      <c r="AA391" s="198"/>
      <c r="AB391" s="206"/>
      <c r="AC391" s="207"/>
      <c r="AD391" s="201"/>
      <c r="AE391" s="204">
        <f t="shared" si="419"/>
        <v>0</v>
      </c>
      <c r="AF391" s="203">
        <f t="shared" si="420"/>
        <v>45566</v>
      </c>
      <c r="AG391" s="201">
        <f t="shared" si="421"/>
        <v>0</v>
      </c>
      <c r="AH391" s="201">
        <f t="shared" si="422"/>
        <v>985000</v>
      </c>
      <c r="AI391" s="199">
        <f t="shared" si="423"/>
        <v>985000</v>
      </c>
      <c r="AJ391" s="201">
        <f t="shared" si="443"/>
        <v>0</v>
      </c>
      <c r="AK391" s="201">
        <f t="shared" si="443"/>
        <v>985000</v>
      </c>
      <c r="AL391" s="201">
        <f t="shared" si="424"/>
        <v>985000</v>
      </c>
      <c r="AM391" s="198"/>
      <c r="AN391" s="203"/>
      <c r="AO391" s="208"/>
      <c r="AP391" s="201">
        <f t="shared" si="425"/>
        <v>0</v>
      </c>
      <c r="AQ391" s="201">
        <f t="shared" si="426"/>
        <v>921480.67</v>
      </c>
      <c r="AR391" s="201">
        <f t="shared" si="427"/>
        <v>921480.67</v>
      </c>
      <c r="AS391" s="201">
        <f t="shared" si="428"/>
        <v>93.551337055837564</v>
      </c>
      <c r="AT391" s="201"/>
      <c r="AU391" s="209">
        <v>921480.67</v>
      </c>
      <c r="AV391" s="201">
        <f t="shared" si="429"/>
        <v>921480.67</v>
      </c>
      <c r="AW391" s="201">
        <f t="shared" si="438"/>
        <v>10.152284263959391</v>
      </c>
      <c r="AX391" s="201">
        <f t="shared" si="430"/>
        <v>93.551337055837564</v>
      </c>
      <c r="AY391" s="208"/>
      <c r="AZ391" s="201">
        <f t="shared" si="431"/>
        <v>0</v>
      </c>
      <c r="BA391" s="201">
        <f t="shared" si="432"/>
        <v>34731.599999999999</v>
      </c>
      <c r="BB391" s="201">
        <f t="shared" si="433"/>
        <v>34731.599999999999</v>
      </c>
      <c r="BC391" s="201"/>
      <c r="BD391" s="209">
        <v>34731.599999999999</v>
      </c>
      <c r="BE391" s="201">
        <f t="shared" si="406"/>
        <v>34731.599999999999</v>
      </c>
      <c r="BF391" s="208"/>
      <c r="BG391" s="201">
        <f t="shared" si="441"/>
        <v>0</v>
      </c>
      <c r="BH391" s="201">
        <f t="shared" si="441"/>
        <v>956212.27</v>
      </c>
      <c r="BI391" s="201">
        <f t="shared" si="434"/>
        <v>956212.27</v>
      </c>
      <c r="BJ391" s="201">
        <f t="shared" si="435"/>
        <v>97.077387817258881</v>
      </c>
      <c r="BK391" s="210">
        <v>20</v>
      </c>
      <c r="BL391" s="210">
        <v>95</v>
      </c>
      <c r="BM391" s="211"/>
      <c r="BN391" s="211"/>
      <c r="BO391" s="212">
        <f t="shared" si="436"/>
        <v>0</v>
      </c>
      <c r="BP391" s="201">
        <f t="shared" si="437"/>
        <v>63519.329999999958</v>
      </c>
      <c r="BQ391" s="201">
        <f t="shared" si="407"/>
        <v>63519.329999999958</v>
      </c>
      <c r="BR391" s="201">
        <f t="shared" si="442"/>
        <v>0</v>
      </c>
      <c r="BS391" s="201">
        <f t="shared" si="442"/>
        <v>63519.329999999958</v>
      </c>
      <c r="BT391" s="201">
        <f t="shared" si="408"/>
        <v>63519.329999999958</v>
      </c>
      <c r="BU391" s="213">
        <f t="shared" si="439"/>
        <v>0</v>
      </c>
      <c r="BV391" s="201"/>
      <c r="BW391" s="201"/>
      <c r="BX391" s="201">
        <f t="shared" si="409"/>
        <v>0</v>
      </c>
      <c r="BY391" s="199">
        <v>60000</v>
      </c>
      <c r="BZ391" s="199">
        <v>70000</v>
      </c>
      <c r="CA391" s="199">
        <v>80000</v>
      </c>
      <c r="CB391" s="199">
        <v>90000</v>
      </c>
      <c r="CC391" s="199">
        <v>100000</v>
      </c>
      <c r="CD391" s="199">
        <v>100000</v>
      </c>
      <c r="CE391" s="199">
        <v>100000</v>
      </c>
      <c r="CF391" s="199">
        <v>100000</v>
      </c>
      <c r="CG391" s="199">
        <v>100000</v>
      </c>
      <c r="CH391" s="199">
        <v>100000</v>
      </c>
      <c r="CI391" s="199">
        <v>85000</v>
      </c>
      <c r="CJ391" s="199"/>
      <c r="CK391" s="214" t="s">
        <v>1030</v>
      </c>
      <c r="CL391" s="214" t="s">
        <v>610</v>
      </c>
      <c r="CM391" s="211">
        <v>198</v>
      </c>
      <c r="CN391" s="215"/>
      <c r="CO391" s="215"/>
      <c r="CP391" s="216"/>
      <c r="CQ391" s="217"/>
      <c r="CR391" s="211"/>
      <c r="CS391" s="218"/>
      <c r="CT391" s="218"/>
      <c r="CU391" s="218"/>
      <c r="CV391" s="211"/>
      <c r="CW391" s="211"/>
      <c r="CX391" s="211"/>
      <c r="CY391" s="211"/>
      <c r="CZ391" s="211"/>
      <c r="DA391" s="211"/>
      <c r="DB391" s="211"/>
      <c r="DC391" s="219"/>
      <c r="DD391" s="219"/>
      <c r="DE391" s="219"/>
      <c r="DF391" s="211"/>
      <c r="DG391" s="211"/>
      <c r="DH391" s="211"/>
      <c r="DI391" s="211"/>
      <c r="DJ391" s="211"/>
      <c r="DK391" s="220" t="s">
        <v>32</v>
      </c>
      <c r="DT391" s="222"/>
    </row>
    <row r="392" spans="1:124" s="176" customFormat="1" ht="42" x14ac:dyDescent="0.2">
      <c r="A392" s="225" t="s">
        <v>136</v>
      </c>
      <c r="B392" s="197" t="s">
        <v>1031</v>
      </c>
      <c r="C392" s="198">
        <v>1</v>
      </c>
      <c r="D392" s="199">
        <v>988000</v>
      </c>
      <c r="E392" s="198" t="s">
        <v>458</v>
      </c>
      <c r="F392" s="198" t="s">
        <v>195</v>
      </c>
      <c r="G392" s="198" t="s">
        <v>139</v>
      </c>
      <c r="H392" s="200">
        <v>1</v>
      </c>
      <c r="I392" s="199">
        <f t="shared" si="413"/>
        <v>0</v>
      </c>
      <c r="J392" s="199">
        <f t="shared" si="414"/>
        <v>988000</v>
      </c>
      <c r="K392" s="199">
        <f t="shared" si="415"/>
        <v>988000</v>
      </c>
      <c r="L392" s="199"/>
      <c r="M392" s="199">
        <v>988000</v>
      </c>
      <c r="N392" s="199">
        <f t="shared" si="416"/>
        <v>988000</v>
      </c>
      <c r="O392" s="199"/>
      <c r="P392" s="201">
        <v>0</v>
      </c>
      <c r="Q392" s="202">
        <v>14</v>
      </c>
      <c r="R392" s="203">
        <v>45566</v>
      </c>
      <c r="S392" s="199"/>
      <c r="T392" s="199">
        <v>988000</v>
      </c>
      <c r="U392" s="204">
        <f t="shared" si="417"/>
        <v>988000</v>
      </c>
      <c r="V392" s="205">
        <v>1450</v>
      </c>
      <c r="W392" s="200">
        <v>45693</v>
      </c>
      <c r="X392" s="201"/>
      <c r="Y392" s="201">
        <v>-483.3</v>
      </c>
      <c r="Z392" s="201">
        <f t="shared" si="418"/>
        <v>-483.3</v>
      </c>
      <c r="AA392" s="198"/>
      <c r="AB392" s="206"/>
      <c r="AC392" s="207"/>
      <c r="AD392" s="201"/>
      <c r="AE392" s="204">
        <f t="shared" si="419"/>
        <v>0</v>
      </c>
      <c r="AF392" s="203">
        <f t="shared" si="420"/>
        <v>45566</v>
      </c>
      <c r="AG392" s="201">
        <f t="shared" si="421"/>
        <v>0</v>
      </c>
      <c r="AH392" s="201">
        <f t="shared" si="422"/>
        <v>987516.7</v>
      </c>
      <c r="AI392" s="199">
        <f t="shared" si="423"/>
        <v>987516.7</v>
      </c>
      <c r="AJ392" s="201">
        <f t="shared" si="443"/>
        <v>0</v>
      </c>
      <c r="AK392" s="201">
        <f t="shared" si="443"/>
        <v>987516.7</v>
      </c>
      <c r="AL392" s="201">
        <f t="shared" si="424"/>
        <v>987516.7</v>
      </c>
      <c r="AM392" s="198"/>
      <c r="AN392" s="203"/>
      <c r="AO392" s="208"/>
      <c r="AP392" s="201">
        <f t="shared" si="425"/>
        <v>0</v>
      </c>
      <c r="AQ392" s="201">
        <f t="shared" si="426"/>
        <v>591251</v>
      </c>
      <c r="AR392" s="201">
        <f t="shared" si="427"/>
        <v>591251</v>
      </c>
      <c r="AS392" s="201">
        <f t="shared" si="428"/>
        <v>59.872506459890758</v>
      </c>
      <c r="AT392" s="201"/>
      <c r="AU392" s="209">
        <v>591251</v>
      </c>
      <c r="AV392" s="201">
        <f t="shared" si="429"/>
        <v>591251</v>
      </c>
      <c r="AW392" s="201">
        <f t="shared" si="438"/>
        <v>0</v>
      </c>
      <c r="AX392" s="201">
        <f t="shared" si="430"/>
        <v>59.872506459890758</v>
      </c>
      <c r="AY392" s="208"/>
      <c r="AZ392" s="201">
        <f t="shared" si="431"/>
        <v>0</v>
      </c>
      <c r="BA392" s="201">
        <f t="shared" si="432"/>
        <v>0</v>
      </c>
      <c r="BB392" s="201">
        <f t="shared" si="433"/>
        <v>0</v>
      </c>
      <c r="BC392" s="201"/>
      <c r="BD392" s="209">
        <v>0</v>
      </c>
      <c r="BE392" s="201">
        <f t="shared" si="406"/>
        <v>0</v>
      </c>
      <c r="BF392" s="208"/>
      <c r="BG392" s="201">
        <f t="shared" si="441"/>
        <v>0</v>
      </c>
      <c r="BH392" s="201">
        <f t="shared" si="441"/>
        <v>591251</v>
      </c>
      <c r="BI392" s="201">
        <f t="shared" si="434"/>
        <v>591251</v>
      </c>
      <c r="BJ392" s="201">
        <f t="shared" si="435"/>
        <v>59.872506459890758</v>
      </c>
      <c r="BK392" s="210">
        <v>20</v>
      </c>
      <c r="BL392" s="210">
        <v>50</v>
      </c>
      <c r="BM392" s="211"/>
      <c r="BN392" s="211"/>
      <c r="BO392" s="212">
        <f t="shared" si="436"/>
        <v>0</v>
      </c>
      <c r="BP392" s="201">
        <f t="shared" si="437"/>
        <v>396265.69999999995</v>
      </c>
      <c r="BQ392" s="201">
        <f t="shared" si="407"/>
        <v>396265.69999999995</v>
      </c>
      <c r="BR392" s="201">
        <f t="shared" si="442"/>
        <v>0</v>
      </c>
      <c r="BS392" s="201">
        <f t="shared" si="442"/>
        <v>396265.69999999995</v>
      </c>
      <c r="BT392" s="201">
        <f t="shared" si="408"/>
        <v>396265.69999999995</v>
      </c>
      <c r="BU392" s="213">
        <f t="shared" si="439"/>
        <v>0</v>
      </c>
      <c r="BV392" s="201">
        <v>483.3</v>
      </c>
      <c r="BW392" s="201"/>
      <c r="BX392" s="201">
        <f t="shared" si="409"/>
        <v>483.3</v>
      </c>
      <c r="BY392" s="199">
        <v>329000</v>
      </c>
      <c r="BZ392" s="199">
        <v>329000</v>
      </c>
      <c r="CA392" s="199">
        <v>330000</v>
      </c>
      <c r="CB392" s="199"/>
      <c r="CC392" s="199"/>
      <c r="CD392" s="199">
        <v>0</v>
      </c>
      <c r="CE392" s="199">
        <v>0</v>
      </c>
      <c r="CF392" s="199">
        <v>0</v>
      </c>
      <c r="CG392" s="199">
        <v>0</v>
      </c>
      <c r="CH392" s="199">
        <v>0</v>
      </c>
      <c r="CI392" s="199">
        <v>0</v>
      </c>
      <c r="CJ392" s="199">
        <v>0</v>
      </c>
      <c r="CK392" s="214" t="s">
        <v>1032</v>
      </c>
      <c r="CL392" s="214" t="s">
        <v>610</v>
      </c>
      <c r="CM392" s="211">
        <v>198</v>
      </c>
      <c r="CN392" s="215"/>
      <c r="CO392" s="215"/>
      <c r="CP392" s="216"/>
      <c r="CQ392" s="217"/>
      <c r="CR392" s="211"/>
      <c r="CS392" s="218"/>
      <c r="CT392" s="218"/>
      <c r="CU392" s="218"/>
      <c r="CV392" s="211"/>
      <c r="CW392" s="211"/>
      <c r="CX392" s="211"/>
      <c r="CY392" s="211"/>
      <c r="CZ392" s="211"/>
      <c r="DA392" s="211"/>
      <c r="DB392" s="211"/>
      <c r="DC392" s="219"/>
      <c r="DD392" s="219"/>
      <c r="DE392" s="219"/>
      <c r="DF392" s="211"/>
      <c r="DG392" s="211"/>
      <c r="DH392" s="211"/>
      <c r="DI392" s="211"/>
      <c r="DJ392" s="211"/>
      <c r="DK392" s="220" t="s">
        <v>32</v>
      </c>
      <c r="DT392" s="222"/>
    </row>
    <row r="393" spans="1:124" s="176" customFormat="1" ht="42" x14ac:dyDescent="0.2">
      <c r="A393" s="225" t="s">
        <v>136</v>
      </c>
      <c r="B393" s="197" t="s">
        <v>1033</v>
      </c>
      <c r="C393" s="198">
        <v>1</v>
      </c>
      <c r="D393" s="199">
        <v>700000</v>
      </c>
      <c r="E393" s="198" t="s">
        <v>467</v>
      </c>
      <c r="F393" s="198" t="s">
        <v>143</v>
      </c>
      <c r="G393" s="198" t="s">
        <v>139</v>
      </c>
      <c r="H393" s="200">
        <v>1</v>
      </c>
      <c r="I393" s="199">
        <f t="shared" si="413"/>
        <v>0</v>
      </c>
      <c r="J393" s="199">
        <f t="shared" si="414"/>
        <v>700000</v>
      </c>
      <c r="K393" s="199">
        <f t="shared" si="415"/>
        <v>700000</v>
      </c>
      <c r="L393" s="199"/>
      <c r="M393" s="199">
        <v>700000</v>
      </c>
      <c r="N393" s="199">
        <f t="shared" si="416"/>
        <v>700000</v>
      </c>
      <c r="O393" s="199"/>
      <c r="P393" s="201">
        <v>0</v>
      </c>
      <c r="Q393" s="202">
        <v>14</v>
      </c>
      <c r="R393" s="203">
        <v>45566</v>
      </c>
      <c r="S393" s="199"/>
      <c r="T393" s="199">
        <v>700000</v>
      </c>
      <c r="U393" s="204">
        <f t="shared" si="417"/>
        <v>700000</v>
      </c>
      <c r="V393" s="205"/>
      <c r="W393" s="200"/>
      <c r="X393" s="201"/>
      <c r="Y393" s="201"/>
      <c r="Z393" s="201">
        <f t="shared" si="418"/>
        <v>0</v>
      </c>
      <c r="AA393" s="198"/>
      <c r="AB393" s="206"/>
      <c r="AC393" s="207"/>
      <c r="AD393" s="201"/>
      <c r="AE393" s="204">
        <f t="shared" si="419"/>
        <v>0</v>
      </c>
      <c r="AF393" s="203">
        <f t="shared" si="420"/>
        <v>45566</v>
      </c>
      <c r="AG393" s="201">
        <f t="shared" si="421"/>
        <v>0</v>
      </c>
      <c r="AH393" s="201">
        <f t="shared" si="422"/>
        <v>700000</v>
      </c>
      <c r="AI393" s="199">
        <f t="shared" si="423"/>
        <v>700000</v>
      </c>
      <c r="AJ393" s="201">
        <f t="shared" si="443"/>
        <v>0</v>
      </c>
      <c r="AK393" s="201">
        <f t="shared" si="443"/>
        <v>700000</v>
      </c>
      <c r="AL393" s="201">
        <f t="shared" si="424"/>
        <v>700000</v>
      </c>
      <c r="AM393" s="198"/>
      <c r="AN393" s="203"/>
      <c r="AO393" s="208"/>
      <c r="AP393" s="201">
        <f t="shared" si="425"/>
        <v>0</v>
      </c>
      <c r="AQ393" s="201">
        <f t="shared" si="426"/>
        <v>692537.79</v>
      </c>
      <c r="AR393" s="201">
        <f t="shared" si="427"/>
        <v>692537.79</v>
      </c>
      <c r="AS393" s="201">
        <f t="shared" si="428"/>
        <v>98.933970000000002</v>
      </c>
      <c r="AT393" s="201"/>
      <c r="AU393" s="209">
        <v>692537.79</v>
      </c>
      <c r="AV393" s="201">
        <f t="shared" si="429"/>
        <v>692537.79</v>
      </c>
      <c r="AW393" s="201">
        <f t="shared" si="438"/>
        <v>0</v>
      </c>
      <c r="AX393" s="201">
        <f t="shared" si="430"/>
        <v>98.933970000000002</v>
      </c>
      <c r="AY393" s="208"/>
      <c r="AZ393" s="201">
        <f t="shared" si="431"/>
        <v>0</v>
      </c>
      <c r="BA393" s="201">
        <f t="shared" si="432"/>
        <v>0</v>
      </c>
      <c r="BB393" s="201">
        <f t="shared" si="433"/>
        <v>0</v>
      </c>
      <c r="BC393" s="201"/>
      <c r="BD393" s="209">
        <v>0</v>
      </c>
      <c r="BE393" s="201">
        <f t="shared" si="406"/>
        <v>0</v>
      </c>
      <c r="BF393" s="208"/>
      <c r="BG393" s="201">
        <f t="shared" si="441"/>
        <v>0</v>
      </c>
      <c r="BH393" s="201">
        <f t="shared" si="441"/>
        <v>692537.79</v>
      </c>
      <c r="BI393" s="201">
        <f t="shared" si="434"/>
        <v>692537.79</v>
      </c>
      <c r="BJ393" s="201">
        <f t="shared" si="435"/>
        <v>98.933970000000002</v>
      </c>
      <c r="BK393" s="210">
        <v>20</v>
      </c>
      <c r="BL393" s="210">
        <v>100</v>
      </c>
      <c r="BM393" s="211"/>
      <c r="BN393" s="211"/>
      <c r="BO393" s="212">
        <f t="shared" si="436"/>
        <v>0</v>
      </c>
      <c r="BP393" s="201">
        <f t="shared" si="437"/>
        <v>7462.2099999999627</v>
      </c>
      <c r="BQ393" s="201">
        <f t="shared" si="407"/>
        <v>7462.2099999999627</v>
      </c>
      <c r="BR393" s="201">
        <f t="shared" si="442"/>
        <v>0</v>
      </c>
      <c r="BS393" s="201">
        <f t="shared" si="442"/>
        <v>7462.2099999999627</v>
      </c>
      <c r="BT393" s="201">
        <f t="shared" si="408"/>
        <v>7462.2099999999627</v>
      </c>
      <c r="BU393" s="213">
        <f t="shared" si="439"/>
        <v>0</v>
      </c>
      <c r="BV393" s="201"/>
      <c r="BW393" s="201"/>
      <c r="BX393" s="201">
        <f t="shared" si="409"/>
        <v>0</v>
      </c>
      <c r="BY393" s="199">
        <v>100000</v>
      </c>
      <c r="BZ393" s="199">
        <v>200000</v>
      </c>
      <c r="CA393" s="199">
        <v>100000</v>
      </c>
      <c r="CB393" s="199">
        <v>100000</v>
      </c>
      <c r="CC393" s="199">
        <v>100000</v>
      </c>
      <c r="CD393" s="199">
        <v>100000</v>
      </c>
      <c r="CE393" s="199">
        <v>0</v>
      </c>
      <c r="CF393" s="199">
        <v>0</v>
      </c>
      <c r="CG393" s="199">
        <v>0</v>
      </c>
      <c r="CH393" s="199">
        <v>0</v>
      </c>
      <c r="CI393" s="199">
        <v>0</v>
      </c>
      <c r="CJ393" s="199">
        <v>0</v>
      </c>
      <c r="CK393" s="214" t="s">
        <v>1034</v>
      </c>
      <c r="CL393" s="214" t="s">
        <v>610</v>
      </c>
      <c r="CM393" s="211">
        <v>198</v>
      </c>
      <c r="CN393" s="215"/>
      <c r="CO393" s="215"/>
      <c r="CP393" s="216"/>
      <c r="CQ393" s="217"/>
      <c r="CR393" s="211"/>
      <c r="CS393" s="218"/>
      <c r="CT393" s="218"/>
      <c r="CU393" s="218"/>
      <c r="CV393" s="211"/>
      <c r="CW393" s="211"/>
      <c r="CX393" s="211"/>
      <c r="CY393" s="211"/>
      <c r="CZ393" s="211"/>
      <c r="DA393" s="211"/>
      <c r="DB393" s="211"/>
      <c r="DC393" s="219"/>
      <c r="DD393" s="219"/>
      <c r="DE393" s="219"/>
      <c r="DF393" s="211"/>
      <c r="DG393" s="211"/>
      <c r="DH393" s="211"/>
      <c r="DI393" s="211"/>
      <c r="DJ393" s="211"/>
      <c r="DK393" s="220" t="s">
        <v>32</v>
      </c>
      <c r="DT393" s="222"/>
    </row>
    <row r="394" spans="1:124" s="176" customFormat="1" ht="42" x14ac:dyDescent="0.2">
      <c r="A394" s="225" t="s">
        <v>136</v>
      </c>
      <c r="B394" s="197" t="s">
        <v>1035</v>
      </c>
      <c r="C394" s="198">
        <v>1</v>
      </c>
      <c r="D394" s="199">
        <v>996000</v>
      </c>
      <c r="E394" s="198" t="s">
        <v>487</v>
      </c>
      <c r="F394" s="198" t="s">
        <v>195</v>
      </c>
      <c r="G394" s="198" t="s">
        <v>139</v>
      </c>
      <c r="H394" s="200">
        <v>1</v>
      </c>
      <c r="I394" s="199">
        <f t="shared" si="413"/>
        <v>0</v>
      </c>
      <c r="J394" s="199">
        <f t="shared" si="414"/>
        <v>996000</v>
      </c>
      <c r="K394" s="199">
        <f t="shared" si="415"/>
        <v>996000</v>
      </c>
      <c r="L394" s="199"/>
      <c r="M394" s="199">
        <v>996000</v>
      </c>
      <c r="N394" s="199">
        <f t="shared" si="416"/>
        <v>996000</v>
      </c>
      <c r="O394" s="199"/>
      <c r="P394" s="201">
        <v>0</v>
      </c>
      <c r="Q394" s="202">
        <v>15</v>
      </c>
      <c r="R394" s="203">
        <v>45566</v>
      </c>
      <c r="S394" s="199"/>
      <c r="T394" s="199">
        <v>996000</v>
      </c>
      <c r="U394" s="204">
        <f t="shared" si="417"/>
        <v>996000</v>
      </c>
      <c r="V394" s="205"/>
      <c r="W394" s="200"/>
      <c r="X394" s="201"/>
      <c r="Y394" s="201"/>
      <c r="Z394" s="201">
        <f t="shared" si="418"/>
        <v>0</v>
      </c>
      <c r="AA394" s="198"/>
      <c r="AB394" s="206"/>
      <c r="AC394" s="207"/>
      <c r="AD394" s="201"/>
      <c r="AE394" s="204">
        <f t="shared" si="419"/>
        <v>0</v>
      </c>
      <c r="AF394" s="203">
        <f t="shared" si="420"/>
        <v>45566</v>
      </c>
      <c r="AG394" s="201">
        <f t="shared" si="421"/>
        <v>0</v>
      </c>
      <c r="AH394" s="201">
        <f t="shared" si="422"/>
        <v>996000</v>
      </c>
      <c r="AI394" s="199">
        <f t="shared" si="423"/>
        <v>996000</v>
      </c>
      <c r="AJ394" s="201">
        <f t="shared" si="443"/>
        <v>0</v>
      </c>
      <c r="AK394" s="201">
        <f t="shared" si="443"/>
        <v>996000</v>
      </c>
      <c r="AL394" s="201">
        <f t="shared" si="424"/>
        <v>996000</v>
      </c>
      <c r="AM394" s="198"/>
      <c r="AN394" s="203"/>
      <c r="AO394" s="208"/>
      <c r="AP394" s="201">
        <f t="shared" si="425"/>
        <v>0</v>
      </c>
      <c r="AQ394" s="201">
        <f t="shared" si="426"/>
        <v>579012.17000000004</v>
      </c>
      <c r="AR394" s="201">
        <f t="shared" si="427"/>
        <v>579012.17000000004</v>
      </c>
      <c r="AS394" s="201">
        <f t="shared" si="428"/>
        <v>58.133752008032133</v>
      </c>
      <c r="AT394" s="201"/>
      <c r="AU394" s="209">
        <v>579012.17000000004</v>
      </c>
      <c r="AV394" s="201">
        <f t="shared" si="429"/>
        <v>579012.17000000004</v>
      </c>
      <c r="AW394" s="201">
        <f t="shared" si="438"/>
        <v>0</v>
      </c>
      <c r="AX394" s="201">
        <f t="shared" si="430"/>
        <v>58.133752008032133</v>
      </c>
      <c r="AY394" s="208"/>
      <c r="AZ394" s="201">
        <f t="shared" si="431"/>
        <v>0</v>
      </c>
      <c r="BA394" s="201">
        <f t="shared" si="432"/>
        <v>0</v>
      </c>
      <c r="BB394" s="201">
        <f t="shared" si="433"/>
        <v>0</v>
      </c>
      <c r="BC394" s="201"/>
      <c r="BD394" s="209">
        <v>0</v>
      </c>
      <c r="BE394" s="201">
        <f t="shared" si="406"/>
        <v>0</v>
      </c>
      <c r="BF394" s="208"/>
      <c r="BG394" s="201">
        <f t="shared" si="441"/>
        <v>0</v>
      </c>
      <c r="BH394" s="201">
        <f t="shared" si="441"/>
        <v>579012.17000000004</v>
      </c>
      <c r="BI394" s="201">
        <f t="shared" si="434"/>
        <v>579012.17000000004</v>
      </c>
      <c r="BJ394" s="201">
        <f t="shared" si="435"/>
        <v>58.133752008032133</v>
      </c>
      <c r="BK394" s="210">
        <v>20</v>
      </c>
      <c r="BL394" s="210">
        <v>35</v>
      </c>
      <c r="BM394" s="211"/>
      <c r="BN394" s="211"/>
      <c r="BO394" s="212">
        <f t="shared" si="436"/>
        <v>0</v>
      </c>
      <c r="BP394" s="201">
        <f t="shared" si="437"/>
        <v>416987.82999999996</v>
      </c>
      <c r="BQ394" s="201">
        <f t="shared" si="407"/>
        <v>416987.82999999996</v>
      </c>
      <c r="BR394" s="201">
        <f t="shared" si="442"/>
        <v>0</v>
      </c>
      <c r="BS394" s="201">
        <f t="shared" si="442"/>
        <v>416987.82999999996</v>
      </c>
      <c r="BT394" s="201">
        <f t="shared" si="408"/>
        <v>416987.82999999996</v>
      </c>
      <c r="BU394" s="213">
        <f t="shared" si="439"/>
        <v>0</v>
      </c>
      <c r="BV394" s="201"/>
      <c r="BW394" s="201"/>
      <c r="BX394" s="201">
        <f t="shared" si="409"/>
        <v>0</v>
      </c>
      <c r="BY394" s="199">
        <v>332000</v>
      </c>
      <c r="BZ394" s="199">
        <v>332000</v>
      </c>
      <c r="CA394" s="199">
        <v>332000</v>
      </c>
      <c r="CB394" s="199"/>
      <c r="CC394" s="199"/>
      <c r="CD394" s="199"/>
      <c r="CE394" s="199">
        <v>0</v>
      </c>
      <c r="CF394" s="199">
        <v>0</v>
      </c>
      <c r="CG394" s="199">
        <v>0</v>
      </c>
      <c r="CH394" s="199">
        <v>0</v>
      </c>
      <c r="CI394" s="199">
        <v>0</v>
      </c>
      <c r="CJ394" s="199">
        <v>0</v>
      </c>
      <c r="CK394" s="214" t="s">
        <v>1036</v>
      </c>
      <c r="CL394" s="214" t="s">
        <v>610</v>
      </c>
      <c r="CM394" s="211">
        <v>198</v>
      </c>
      <c r="CN394" s="215"/>
      <c r="CO394" s="215"/>
      <c r="CP394" s="216"/>
      <c r="CQ394" s="217"/>
      <c r="CR394" s="211"/>
      <c r="CS394" s="218"/>
      <c r="CT394" s="218"/>
      <c r="CU394" s="218"/>
      <c r="CV394" s="211"/>
      <c r="CW394" s="211"/>
      <c r="CX394" s="211"/>
      <c r="CY394" s="211"/>
      <c r="CZ394" s="211"/>
      <c r="DA394" s="211"/>
      <c r="DB394" s="211"/>
      <c r="DC394" s="219"/>
      <c r="DD394" s="219"/>
      <c r="DE394" s="219"/>
      <c r="DF394" s="211"/>
      <c r="DG394" s="211"/>
      <c r="DH394" s="211"/>
      <c r="DI394" s="211"/>
      <c r="DJ394" s="211"/>
      <c r="DK394" s="220" t="s">
        <v>32</v>
      </c>
      <c r="DT394" s="222"/>
    </row>
    <row r="395" spans="1:124" s="176" customFormat="1" x14ac:dyDescent="0.2">
      <c r="A395" s="225" t="s">
        <v>136</v>
      </c>
      <c r="B395" s="197" t="s">
        <v>1037</v>
      </c>
      <c r="C395" s="198">
        <v>1</v>
      </c>
      <c r="D395" s="199">
        <v>600000</v>
      </c>
      <c r="E395" s="198" t="s">
        <v>250</v>
      </c>
      <c r="F395" s="198" t="s">
        <v>250</v>
      </c>
      <c r="G395" s="198" t="s">
        <v>139</v>
      </c>
      <c r="H395" s="200">
        <v>1</v>
      </c>
      <c r="I395" s="199">
        <f t="shared" si="413"/>
        <v>0</v>
      </c>
      <c r="J395" s="199">
        <f t="shared" si="414"/>
        <v>600000</v>
      </c>
      <c r="K395" s="199">
        <f t="shared" si="415"/>
        <v>600000</v>
      </c>
      <c r="L395" s="199"/>
      <c r="M395" s="199">
        <v>600000</v>
      </c>
      <c r="N395" s="199">
        <f t="shared" si="416"/>
        <v>600000</v>
      </c>
      <c r="O395" s="199"/>
      <c r="P395" s="201">
        <v>0</v>
      </c>
      <c r="Q395" s="202">
        <v>15</v>
      </c>
      <c r="R395" s="203">
        <v>45566</v>
      </c>
      <c r="S395" s="199"/>
      <c r="T395" s="199">
        <v>600000</v>
      </c>
      <c r="U395" s="204">
        <f t="shared" si="417"/>
        <v>600000</v>
      </c>
      <c r="V395" s="205">
        <v>1450</v>
      </c>
      <c r="W395" s="200">
        <v>45693</v>
      </c>
      <c r="X395" s="201"/>
      <c r="Y395" s="201">
        <v>-1842</v>
      </c>
      <c r="Z395" s="201">
        <f t="shared" si="418"/>
        <v>-1842</v>
      </c>
      <c r="AA395" s="198"/>
      <c r="AB395" s="206"/>
      <c r="AC395" s="207"/>
      <c r="AD395" s="201"/>
      <c r="AE395" s="204">
        <f t="shared" si="419"/>
        <v>0</v>
      </c>
      <c r="AF395" s="203">
        <f t="shared" si="420"/>
        <v>45566</v>
      </c>
      <c r="AG395" s="201">
        <f t="shared" si="421"/>
        <v>0</v>
      </c>
      <c r="AH395" s="201">
        <f t="shared" si="422"/>
        <v>598158</v>
      </c>
      <c r="AI395" s="199">
        <f t="shared" si="423"/>
        <v>598158</v>
      </c>
      <c r="AJ395" s="201">
        <f t="shared" si="443"/>
        <v>0</v>
      </c>
      <c r="AK395" s="201">
        <f t="shared" si="443"/>
        <v>598158</v>
      </c>
      <c r="AL395" s="201">
        <f t="shared" si="424"/>
        <v>598158</v>
      </c>
      <c r="AM395" s="198"/>
      <c r="AN395" s="203"/>
      <c r="AO395" s="208"/>
      <c r="AP395" s="201">
        <f t="shared" si="425"/>
        <v>0</v>
      </c>
      <c r="AQ395" s="201">
        <f t="shared" si="426"/>
        <v>567803.6</v>
      </c>
      <c r="AR395" s="201">
        <f t="shared" si="427"/>
        <v>567803.6</v>
      </c>
      <c r="AS395" s="201">
        <f t="shared" si="428"/>
        <v>94.925354170637192</v>
      </c>
      <c r="AT395" s="201"/>
      <c r="AU395" s="209">
        <v>567803.6</v>
      </c>
      <c r="AV395" s="201">
        <f t="shared" si="429"/>
        <v>567803.6</v>
      </c>
      <c r="AW395" s="201">
        <f t="shared" si="438"/>
        <v>0</v>
      </c>
      <c r="AX395" s="201">
        <f t="shared" si="430"/>
        <v>94.925354170637192</v>
      </c>
      <c r="AY395" s="208"/>
      <c r="AZ395" s="201">
        <f t="shared" si="431"/>
        <v>0</v>
      </c>
      <c r="BA395" s="201">
        <f t="shared" si="432"/>
        <v>0</v>
      </c>
      <c r="BB395" s="201">
        <f t="shared" si="433"/>
        <v>0</v>
      </c>
      <c r="BC395" s="201"/>
      <c r="BD395" s="209">
        <v>0</v>
      </c>
      <c r="BE395" s="201">
        <f t="shared" si="406"/>
        <v>0</v>
      </c>
      <c r="BF395" s="208"/>
      <c r="BG395" s="201">
        <f t="shared" si="441"/>
        <v>0</v>
      </c>
      <c r="BH395" s="201">
        <f t="shared" si="441"/>
        <v>567803.6</v>
      </c>
      <c r="BI395" s="201">
        <f t="shared" si="434"/>
        <v>567803.6</v>
      </c>
      <c r="BJ395" s="201">
        <f t="shared" si="435"/>
        <v>94.925354170637192</v>
      </c>
      <c r="BK395" s="210">
        <v>40</v>
      </c>
      <c r="BL395" s="210">
        <v>70</v>
      </c>
      <c r="BM395" s="211"/>
      <c r="BN395" s="211"/>
      <c r="BO395" s="212">
        <f t="shared" si="436"/>
        <v>0</v>
      </c>
      <c r="BP395" s="201">
        <f t="shared" si="437"/>
        <v>30354.400000000023</v>
      </c>
      <c r="BQ395" s="201">
        <f t="shared" si="407"/>
        <v>30354.400000000023</v>
      </c>
      <c r="BR395" s="201">
        <f t="shared" si="442"/>
        <v>0</v>
      </c>
      <c r="BS395" s="201">
        <f t="shared" si="442"/>
        <v>30354.400000000023</v>
      </c>
      <c r="BT395" s="201">
        <f t="shared" si="408"/>
        <v>30354.400000000023</v>
      </c>
      <c r="BU395" s="213">
        <f t="shared" si="439"/>
        <v>0</v>
      </c>
      <c r="BV395" s="201">
        <v>1842</v>
      </c>
      <c r="BW395" s="201"/>
      <c r="BX395" s="201">
        <f t="shared" si="409"/>
        <v>1842</v>
      </c>
      <c r="BY395" s="199">
        <v>200000</v>
      </c>
      <c r="BZ395" s="199">
        <v>200000</v>
      </c>
      <c r="CA395" s="199">
        <v>200000</v>
      </c>
      <c r="CB395" s="199"/>
      <c r="CC395" s="199">
        <v>0</v>
      </c>
      <c r="CD395" s="199">
        <v>0</v>
      </c>
      <c r="CE395" s="199">
        <v>0</v>
      </c>
      <c r="CF395" s="199">
        <v>0</v>
      </c>
      <c r="CG395" s="199">
        <v>0</v>
      </c>
      <c r="CH395" s="199">
        <v>0</v>
      </c>
      <c r="CI395" s="199">
        <v>0</v>
      </c>
      <c r="CJ395" s="199">
        <v>0</v>
      </c>
      <c r="CK395" s="214" t="s">
        <v>1038</v>
      </c>
      <c r="CL395" s="214" t="s">
        <v>610</v>
      </c>
      <c r="CM395" s="211">
        <v>198</v>
      </c>
      <c r="CN395" s="215"/>
      <c r="CO395" s="215"/>
      <c r="CP395" s="216"/>
      <c r="CQ395" s="217"/>
      <c r="CR395" s="211"/>
      <c r="CS395" s="218"/>
      <c r="CT395" s="218"/>
      <c r="CU395" s="218"/>
      <c r="CV395" s="211"/>
      <c r="CW395" s="211"/>
      <c r="CX395" s="211"/>
      <c r="CY395" s="211"/>
      <c r="CZ395" s="211"/>
      <c r="DA395" s="211"/>
      <c r="DB395" s="211"/>
      <c r="DC395" s="219"/>
      <c r="DD395" s="219"/>
      <c r="DE395" s="219"/>
      <c r="DF395" s="211"/>
      <c r="DG395" s="211"/>
      <c r="DH395" s="211"/>
      <c r="DI395" s="211"/>
      <c r="DJ395" s="211"/>
      <c r="DK395" s="220" t="s">
        <v>32</v>
      </c>
      <c r="DT395" s="222"/>
    </row>
    <row r="396" spans="1:124" s="176" customFormat="1" ht="42" x14ac:dyDescent="0.2">
      <c r="A396" s="225" t="s">
        <v>136</v>
      </c>
      <c r="B396" s="197" t="s">
        <v>1039</v>
      </c>
      <c r="C396" s="198">
        <v>1</v>
      </c>
      <c r="D396" s="199">
        <v>970000</v>
      </c>
      <c r="E396" s="198" t="s">
        <v>250</v>
      </c>
      <c r="F396" s="198" t="s">
        <v>250</v>
      </c>
      <c r="G396" s="198" t="s">
        <v>139</v>
      </c>
      <c r="H396" s="200">
        <v>1</v>
      </c>
      <c r="I396" s="199">
        <f t="shared" si="413"/>
        <v>0</v>
      </c>
      <c r="J396" s="199">
        <f t="shared" si="414"/>
        <v>970000</v>
      </c>
      <c r="K396" s="199">
        <f t="shared" si="415"/>
        <v>970000</v>
      </c>
      <c r="L396" s="199"/>
      <c r="M396" s="199">
        <v>970000</v>
      </c>
      <c r="N396" s="199">
        <f t="shared" si="416"/>
        <v>970000</v>
      </c>
      <c r="O396" s="199"/>
      <c r="P396" s="201">
        <v>0</v>
      </c>
      <c r="Q396" s="202">
        <v>15</v>
      </c>
      <c r="R396" s="203">
        <v>45566</v>
      </c>
      <c r="S396" s="199"/>
      <c r="T396" s="199">
        <v>970000</v>
      </c>
      <c r="U396" s="204">
        <f t="shared" si="417"/>
        <v>970000</v>
      </c>
      <c r="V396" s="205"/>
      <c r="W396" s="200"/>
      <c r="X396" s="201"/>
      <c r="Y396" s="201"/>
      <c r="Z396" s="201">
        <f t="shared" si="418"/>
        <v>0</v>
      </c>
      <c r="AA396" s="198"/>
      <c r="AB396" s="206"/>
      <c r="AC396" s="207"/>
      <c r="AD396" s="201"/>
      <c r="AE396" s="204">
        <f t="shared" si="419"/>
        <v>0</v>
      </c>
      <c r="AF396" s="203">
        <f t="shared" si="420"/>
        <v>45566</v>
      </c>
      <c r="AG396" s="201">
        <f t="shared" si="421"/>
        <v>0</v>
      </c>
      <c r="AH396" s="201">
        <f t="shared" si="422"/>
        <v>970000</v>
      </c>
      <c r="AI396" s="199">
        <f t="shared" si="423"/>
        <v>970000</v>
      </c>
      <c r="AJ396" s="201">
        <f t="shared" si="443"/>
        <v>0</v>
      </c>
      <c r="AK396" s="201">
        <f t="shared" si="443"/>
        <v>970000</v>
      </c>
      <c r="AL396" s="201">
        <f t="shared" si="424"/>
        <v>970000</v>
      </c>
      <c r="AM396" s="198"/>
      <c r="AN396" s="203"/>
      <c r="AO396" s="208"/>
      <c r="AP396" s="201">
        <f t="shared" si="425"/>
        <v>0</v>
      </c>
      <c r="AQ396" s="201">
        <f t="shared" si="426"/>
        <v>899588.65</v>
      </c>
      <c r="AR396" s="201">
        <f t="shared" si="427"/>
        <v>899588.65</v>
      </c>
      <c r="AS396" s="201">
        <f t="shared" si="428"/>
        <v>92.741097938144335</v>
      </c>
      <c r="AT396" s="201"/>
      <c r="AU396" s="209">
        <v>899588.65</v>
      </c>
      <c r="AV396" s="201">
        <f t="shared" si="429"/>
        <v>899588.65</v>
      </c>
      <c r="AW396" s="201">
        <f t="shared" si="438"/>
        <v>0</v>
      </c>
      <c r="AX396" s="201">
        <f t="shared" si="430"/>
        <v>92.741097938144335</v>
      </c>
      <c r="AY396" s="208"/>
      <c r="AZ396" s="201">
        <f t="shared" si="431"/>
        <v>0</v>
      </c>
      <c r="BA396" s="201">
        <f t="shared" si="432"/>
        <v>49080</v>
      </c>
      <c r="BB396" s="201">
        <f t="shared" si="433"/>
        <v>49080</v>
      </c>
      <c r="BC396" s="201"/>
      <c r="BD396" s="209">
        <v>49080</v>
      </c>
      <c r="BE396" s="201">
        <f t="shared" si="406"/>
        <v>49080</v>
      </c>
      <c r="BF396" s="208"/>
      <c r="BG396" s="201">
        <f t="shared" si="441"/>
        <v>0</v>
      </c>
      <c r="BH396" s="201">
        <f t="shared" si="441"/>
        <v>948668.65</v>
      </c>
      <c r="BI396" s="201">
        <f t="shared" si="434"/>
        <v>948668.65</v>
      </c>
      <c r="BJ396" s="201">
        <f t="shared" si="435"/>
        <v>97.800891752577314</v>
      </c>
      <c r="BK396" s="210">
        <v>20</v>
      </c>
      <c r="BL396" s="210">
        <v>80</v>
      </c>
      <c r="BM396" s="211"/>
      <c r="BN396" s="211"/>
      <c r="BO396" s="212">
        <f t="shared" si="436"/>
        <v>0</v>
      </c>
      <c r="BP396" s="201">
        <f t="shared" si="437"/>
        <v>70411.349999999977</v>
      </c>
      <c r="BQ396" s="201">
        <f t="shared" si="407"/>
        <v>70411.349999999977</v>
      </c>
      <c r="BR396" s="201">
        <f t="shared" si="442"/>
        <v>0</v>
      </c>
      <c r="BS396" s="201">
        <f t="shared" si="442"/>
        <v>70411.349999999977</v>
      </c>
      <c r="BT396" s="201">
        <f t="shared" si="408"/>
        <v>70411.349999999977</v>
      </c>
      <c r="BU396" s="213">
        <f t="shared" si="439"/>
        <v>0</v>
      </c>
      <c r="BV396" s="201"/>
      <c r="BW396" s="201"/>
      <c r="BX396" s="201">
        <f t="shared" si="409"/>
        <v>0</v>
      </c>
      <c r="BY396" s="199">
        <v>320000</v>
      </c>
      <c r="BZ396" s="199">
        <v>320000</v>
      </c>
      <c r="CA396" s="199">
        <v>330000</v>
      </c>
      <c r="CB396" s="199"/>
      <c r="CC396" s="199">
        <v>0</v>
      </c>
      <c r="CD396" s="199">
        <v>0</v>
      </c>
      <c r="CE396" s="199">
        <v>0</v>
      </c>
      <c r="CF396" s="199">
        <v>0</v>
      </c>
      <c r="CG396" s="199">
        <v>0</v>
      </c>
      <c r="CH396" s="199">
        <v>0</v>
      </c>
      <c r="CI396" s="199">
        <v>0</v>
      </c>
      <c r="CJ396" s="199">
        <v>0</v>
      </c>
      <c r="CK396" s="214" t="s">
        <v>1040</v>
      </c>
      <c r="CL396" s="214" t="s">
        <v>610</v>
      </c>
      <c r="CM396" s="211">
        <v>198</v>
      </c>
      <c r="CN396" s="215"/>
      <c r="CO396" s="215"/>
      <c r="CP396" s="216"/>
      <c r="CQ396" s="217"/>
      <c r="CR396" s="211"/>
      <c r="CS396" s="218"/>
      <c r="CT396" s="218"/>
      <c r="CU396" s="218"/>
      <c r="CV396" s="211"/>
      <c r="CW396" s="211"/>
      <c r="CX396" s="211"/>
      <c r="CY396" s="211"/>
      <c r="CZ396" s="211"/>
      <c r="DA396" s="211"/>
      <c r="DB396" s="211"/>
      <c r="DC396" s="219"/>
      <c r="DD396" s="219"/>
      <c r="DE396" s="219"/>
      <c r="DF396" s="211"/>
      <c r="DG396" s="211"/>
      <c r="DH396" s="211"/>
      <c r="DI396" s="211"/>
      <c r="DJ396" s="211"/>
      <c r="DK396" s="220" t="s">
        <v>32</v>
      </c>
      <c r="DT396" s="222"/>
    </row>
    <row r="397" spans="1:124" s="176" customFormat="1" ht="42" x14ac:dyDescent="0.2">
      <c r="A397" s="225" t="s">
        <v>136</v>
      </c>
      <c r="B397" s="197" t="s">
        <v>1041</v>
      </c>
      <c r="C397" s="198">
        <v>1</v>
      </c>
      <c r="D397" s="199">
        <v>300000</v>
      </c>
      <c r="E397" s="198" t="s">
        <v>142</v>
      </c>
      <c r="F397" s="198" t="s">
        <v>143</v>
      </c>
      <c r="G397" s="198" t="s">
        <v>139</v>
      </c>
      <c r="H397" s="200">
        <v>1</v>
      </c>
      <c r="I397" s="199">
        <f t="shared" si="413"/>
        <v>0</v>
      </c>
      <c r="J397" s="199">
        <f t="shared" si="414"/>
        <v>300000</v>
      </c>
      <c r="K397" s="199">
        <f t="shared" si="415"/>
        <v>300000</v>
      </c>
      <c r="L397" s="199"/>
      <c r="M397" s="199">
        <v>300000</v>
      </c>
      <c r="N397" s="199">
        <f t="shared" si="416"/>
        <v>300000</v>
      </c>
      <c r="O397" s="199"/>
      <c r="P397" s="201">
        <v>0</v>
      </c>
      <c r="Q397" s="202">
        <v>15</v>
      </c>
      <c r="R397" s="203">
        <v>45566</v>
      </c>
      <c r="S397" s="199"/>
      <c r="T397" s="199">
        <v>300000</v>
      </c>
      <c r="U397" s="204">
        <f t="shared" si="417"/>
        <v>300000</v>
      </c>
      <c r="V397" s="205"/>
      <c r="W397" s="200"/>
      <c r="X397" s="201"/>
      <c r="Y397" s="201"/>
      <c r="Z397" s="201">
        <f t="shared" si="418"/>
        <v>0</v>
      </c>
      <c r="AA397" s="198"/>
      <c r="AB397" s="206"/>
      <c r="AC397" s="207"/>
      <c r="AD397" s="201"/>
      <c r="AE397" s="204">
        <f t="shared" si="419"/>
        <v>0</v>
      </c>
      <c r="AF397" s="203">
        <f t="shared" si="420"/>
        <v>45566</v>
      </c>
      <c r="AG397" s="201">
        <f t="shared" si="421"/>
        <v>0</v>
      </c>
      <c r="AH397" s="201">
        <f t="shared" si="422"/>
        <v>300000</v>
      </c>
      <c r="AI397" s="199">
        <f t="shared" si="423"/>
        <v>300000</v>
      </c>
      <c r="AJ397" s="201">
        <f t="shared" si="443"/>
        <v>0</v>
      </c>
      <c r="AK397" s="201">
        <f t="shared" si="443"/>
        <v>300000</v>
      </c>
      <c r="AL397" s="201">
        <f t="shared" si="424"/>
        <v>300000</v>
      </c>
      <c r="AM397" s="198"/>
      <c r="AN397" s="203"/>
      <c r="AO397" s="208"/>
      <c r="AP397" s="201">
        <f t="shared" si="425"/>
        <v>0</v>
      </c>
      <c r="AQ397" s="201">
        <f t="shared" si="426"/>
        <v>297064.18</v>
      </c>
      <c r="AR397" s="201">
        <f t="shared" si="427"/>
        <v>297064.18</v>
      </c>
      <c r="AS397" s="201">
        <f t="shared" si="428"/>
        <v>99.021393333333336</v>
      </c>
      <c r="AT397" s="201"/>
      <c r="AU397" s="209">
        <v>297064.18</v>
      </c>
      <c r="AV397" s="201">
        <f t="shared" si="429"/>
        <v>297064.18</v>
      </c>
      <c r="AW397" s="201">
        <f t="shared" si="438"/>
        <v>0</v>
      </c>
      <c r="AX397" s="201">
        <f t="shared" si="430"/>
        <v>99.021393333333336</v>
      </c>
      <c r="AY397" s="208"/>
      <c r="AZ397" s="201">
        <f t="shared" si="431"/>
        <v>0</v>
      </c>
      <c r="BA397" s="201">
        <f t="shared" si="432"/>
        <v>0</v>
      </c>
      <c r="BB397" s="201">
        <f t="shared" si="433"/>
        <v>0</v>
      </c>
      <c r="BC397" s="201"/>
      <c r="BD397" s="209">
        <v>0</v>
      </c>
      <c r="BE397" s="201">
        <f t="shared" si="406"/>
        <v>0</v>
      </c>
      <c r="BF397" s="208"/>
      <c r="BG397" s="201">
        <f t="shared" si="441"/>
        <v>0</v>
      </c>
      <c r="BH397" s="201">
        <f t="shared" si="441"/>
        <v>297064.18</v>
      </c>
      <c r="BI397" s="201">
        <f t="shared" si="434"/>
        <v>297064.18</v>
      </c>
      <c r="BJ397" s="201">
        <f t="shared" si="435"/>
        <v>99.021393333333336</v>
      </c>
      <c r="BK397" s="210">
        <v>40</v>
      </c>
      <c r="BL397" s="210">
        <v>100</v>
      </c>
      <c r="BM397" s="211"/>
      <c r="BN397" s="211"/>
      <c r="BO397" s="212">
        <f t="shared" si="436"/>
        <v>0</v>
      </c>
      <c r="BP397" s="201">
        <f t="shared" si="437"/>
        <v>2935.820000000007</v>
      </c>
      <c r="BQ397" s="201">
        <f t="shared" si="407"/>
        <v>2935.820000000007</v>
      </c>
      <c r="BR397" s="201">
        <f t="shared" si="442"/>
        <v>0</v>
      </c>
      <c r="BS397" s="201">
        <f t="shared" si="442"/>
        <v>2935.820000000007</v>
      </c>
      <c r="BT397" s="201">
        <f t="shared" si="408"/>
        <v>2935.820000000007</v>
      </c>
      <c r="BU397" s="213">
        <f t="shared" si="439"/>
        <v>0</v>
      </c>
      <c r="BV397" s="201"/>
      <c r="BW397" s="201"/>
      <c r="BX397" s="201">
        <f t="shared" si="409"/>
        <v>0</v>
      </c>
      <c r="BY397" s="199">
        <v>100000</v>
      </c>
      <c r="BZ397" s="199">
        <v>100000</v>
      </c>
      <c r="CA397" s="199">
        <v>100000</v>
      </c>
      <c r="CB397" s="199">
        <v>0</v>
      </c>
      <c r="CC397" s="199">
        <v>0</v>
      </c>
      <c r="CD397" s="199">
        <v>0</v>
      </c>
      <c r="CE397" s="199">
        <v>0</v>
      </c>
      <c r="CF397" s="199">
        <v>0</v>
      </c>
      <c r="CG397" s="199">
        <v>0</v>
      </c>
      <c r="CH397" s="199">
        <v>0</v>
      </c>
      <c r="CI397" s="199">
        <v>0</v>
      </c>
      <c r="CJ397" s="199">
        <v>0</v>
      </c>
      <c r="CK397" s="214" t="s">
        <v>1042</v>
      </c>
      <c r="CL397" s="214" t="s">
        <v>610</v>
      </c>
      <c r="CM397" s="211">
        <v>198</v>
      </c>
      <c r="CN397" s="215"/>
      <c r="CO397" s="215"/>
      <c r="CP397" s="216"/>
      <c r="CQ397" s="217"/>
      <c r="CR397" s="211"/>
      <c r="CS397" s="218"/>
      <c r="CT397" s="218"/>
      <c r="CU397" s="218"/>
      <c r="CV397" s="211"/>
      <c r="CW397" s="211"/>
      <c r="CX397" s="211"/>
      <c r="CY397" s="211"/>
      <c r="CZ397" s="211"/>
      <c r="DA397" s="211"/>
      <c r="DB397" s="211"/>
      <c r="DC397" s="219"/>
      <c r="DD397" s="219"/>
      <c r="DE397" s="219"/>
      <c r="DF397" s="211"/>
      <c r="DG397" s="211"/>
      <c r="DH397" s="211"/>
      <c r="DI397" s="211"/>
      <c r="DJ397" s="211"/>
      <c r="DK397" s="220" t="s">
        <v>32</v>
      </c>
      <c r="DT397" s="222"/>
    </row>
    <row r="398" spans="1:124" s="176" customFormat="1" ht="42" x14ac:dyDescent="0.2">
      <c r="A398" s="225" t="s">
        <v>136</v>
      </c>
      <c r="B398" s="197" t="s">
        <v>1043</v>
      </c>
      <c r="C398" s="198">
        <v>1</v>
      </c>
      <c r="D398" s="199">
        <v>995000</v>
      </c>
      <c r="E398" s="198" t="s">
        <v>476</v>
      </c>
      <c r="F398" s="198" t="s">
        <v>143</v>
      </c>
      <c r="G398" s="198" t="s">
        <v>139</v>
      </c>
      <c r="H398" s="200">
        <v>1</v>
      </c>
      <c r="I398" s="199">
        <f t="shared" si="413"/>
        <v>0</v>
      </c>
      <c r="J398" s="199">
        <f t="shared" si="414"/>
        <v>995000</v>
      </c>
      <c r="K398" s="199">
        <f t="shared" si="415"/>
        <v>995000</v>
      </c>
      <c r="L398" s="199"/>
      <c r="M398" s="199">
        <v>995000</v>
      </c>
      <c r="N398" s="199">
        <f t="shared" si="416"/>
        <v>995000</v>
      </c>
      <c r="O398" s="199"/>
      <c r="P398" s="201">
        <v>0</v>
      </c>
      <c r="Q398" s="202">
        <v>15</v>
      </c>
      <c r="R398" s="203">
        <v>45566</v>
      </c>
      <c r="S398" s="199"/>
      <c r="T398" s="199">
        <v>995000</v>
      </c>
      <c r="U398" s="204">
        <f t="shared" si="417"/>
        <v>995000</v>
      </c>
      <c r="V398" s="205">
        <v>1450</v>
      </c>
      <c r="W398" s="200">
        <v>45693</v>
      </c>
      <c r="X398" s="201"/>
      <c r="Y398" s="201">
        <v>-3664.13</v>
      </c>
      <c r="Z398" s="201">
        <f t="shared" si="418"/>
        <v>-3664.13</v>
      </c>
      <c r="AA398" s="198"/>
      <c r="AB398" s="206"/>
      <c r="AC398" s="207"/>
      <c r="AD398" s="201"/>
      <c r="AE398" s="204">
        <f t="shared" si="419"/>
        <v>0</v>
      </c>
      <c r="AF398" s="203">
        <f t="shared" si="420"/>
        <v>45566</v>
      </c>
      <c r="AG398" s="201">
        <f t="shared" si="421"/>
        <v>0</v>
      </c>
      <c r="AH398" s="201">
        <f t="shared" si="422"/>
        <v>991335.87</v>
      </c>
      <c r="AI398" s="199">
        <f t="shared" si="423"/>
        <v>991335.87</v>
      </c>
      <c r="AJ398" s="201">
        <f t="shared" si="443"/>
        <v>0</v>
      </c>
      <c r="AK398" s="201">
        <f t="shared" si="443"/>
        <v>991335.87</v>
      </c>
      <c r="AL398" s="201">
        <f t="shared" si="424"/>
        <v>991335.87</v>
      </c>
      <c r="AM398" s="198"/>
      <c r="AN398" s="203"/>
      <c r="AO398" s="208"/>
      <c r="AP398" s="201">
        <f t="shared" si="425"/>
        <v>0</v>
      </c>
      <c r="AQ398" s="201">
        <f t="shared" si="426"/>
        <v>593322.31999999995</v>
      </c>
      <c r="AR398" s="201">
        <f t="shared" si="427"/>
        <v>593322.31999999995</v>
      </c>
      <c r="AS398" s="201">
        <f t="shared" si="428"/>
        <v>59.850786999163049</v>
      </c>
      <c r="AT398" s="201"/>
      <c r="AU398" s="209">
        <v>593322.31999999995</v>
      </c>
      <c r="AV398" s="201">
        <f t="shared" si="429"/>
        <v>593322.31999999995</v>
      </c>
      <c r="AW398" s="201">
        <f t="shared" si="438"/>
        <v>0</v>
      </c>
      <c r="AX398" s="201">
        <f t="shared" si="430"/>
        <v>59.850786999163049</v>
      </c>
      <c r="AY398" s="208"/>
      <c r="AZ398" s="201">
        <f t="shared" si="431"/>
        <v>0</v>
      </c>
      <c r="BA398" s="201">
        <f t="shared" si="432"/>
        <v>0</v>
      </c>
      <c r="BB398" s="201">
        <f t="shared" si="433"/>
        <v>0</v>
      </c>
      <c r="BC398" s="201"/>
      <c r="BD398" s="209">
        <v>0</v>
      </c>
      <c r="BE398" s="201">
        <f t="shared" si="406"/>
        <v>0</v>
      </c>
      <c r="BF398" s="208"/>
      <c r="BG398" s="201">
        <f t="shared" si="441"/>
        <v>0</v>
      </c>
      <c r="BH398" s="201">
        <f t="shared" si="441"/>
        <v>593322.31999999995</v>
      </c>
      <c r="BI398" s="201">
        <f t="shared" si="434"/>
        <v>593322.31999999995</v>
      </c>
      <c r="BJ398" s="201">
        <f t="shared" si="435"/>
        <v>59.850786999163049</v>
      </c>
      <c r="BK398" s="210">
        <v>20</v>
      </c>
      <c r="BL398" s="210">
        <v>50</v>
      </c>
      <c r="BM398" s="211"/>
      <c r="BN398" s="211"/>
      <c r="BO398" s="212">
        <f t="shared" si="436"/>
        <v>0</v>
      </c>
      <c r="BP398" s="201">
        <f t="shared" si="437"/>
        <v>398013.55000000005</v>
      </c>
      <c r="BQ398" s="201">
        <f t="shared" si="407"/>
        <v>398013.55000000005</v>
      </c>
      <c r="BR398" s="201">
        <f t="shared" si="442"/>
        <v>0</v>
      </c>
      <c r="BS398" s="201">
        <f t="shared" si="442"/>
        <v>398013.55000000005</v>
      </c>
      <c r="BT398" s="201">
        <f t="shared" si="408"/>
        <v>398013.55000000005</v>
      </c>
      <c r="BU398" s="213">
        <f t="shared" si="439"/>
        <v>0</v>
      </c>
      <c r="BV398" s="201">
        <v>3664.13</v>
      </c>
      <c r="BW398" s="201"/>
      <c r="BX398" s="201">
        <f t="shared" si="409"/>
        <v>3664.13</v>
      </c>
      <c r="BY398" s="199">
        <v>331000</v>
      </c>
      <c r="BZ398" s="199">
        <v>331000</v>
      </c>
      <c r="CA398" s="199">
        <v>333000</v>
      </c>
      <c r="CB398" s="199"/>
      <c r="CC398" s="199"/>
      <c r="CD398" s="199"/>
      <c r="CE398" s="199">
        <v>0</v>
      </c>
      <c r="CF398" s="199">
        <v>0</v>
      </c>
      <c r="CG398" s="199">
        <v>0</v>
      </c>
      <c r="CH398" s="199">
        <v>0</v>
      </c>
      <c r="CI398" s="199">
        <v>0</v>
      </c>
      <c r="CJ398" s="199">
        <v>0</v>
      </c>
      <c r="CK398" s="214" t="s">
        <v>1044</v>
      </c>
      <c r="CL398" s="214" t="s">
        <v>610</v>
      </c>
      <c r="CM398" s="211">
        <v>198</v>
      </c>
      <c r="CN398" s="215"/>
      <c r="CO398" s="215"/>
      <c r="CP398" s="216"/>
      <c r="CQ398" s="217"/>
      <c r="CR398" s="211"/>
      <c r="CS398" s="218"/>
      <c r="CT398" s="218"/>
      <c r="CU398" s="218"/>
      <c r="CV398" s="211"/>
      <c r="CW398" s="211"/>
      <c r="CX398" s="211"/>
      <c r="CY398" s="211"/>
      <c r="CZ398" s="211"/>
      <c r="DA398" s="211"/>
      <c r="DB398" s="211"/>
      <c r="DC398" s="219"/>
      <c r="DD398" s="219"/>
      <c r="DE398" s="219"/>
      <c r="DF398" s="211"/>
      <c r="DG398" s="211"/>
      <c r="DH398" s="211"/>
      <c r="DI398" s="211"/>
      <c r="DJ398" s="211"/>
      <c r="DK398" s="220" t="s">
        <v>32</v>
      </c>
      <c r="DT398" s="222"/>
    </row>
    <row r="399" spans="1:124" s="176" customFormat="1" ht="42" x14ac:dyDescent="0.2">
      <c r="A399" s="195" t="s">
        <v>136</v>
      </c>
      <c r="B399" s="197" t="s">
        <v>1045</v>
      </c>
      <c r="C399" s="198">
        <v>1</v>
      </c>
      <c r="D399" s="199">
        <v>1000000</v>
      </c>
      <c r="E399" s="198" t="s">
        <v>138</v>
      </c>
      <c r="F399" s="198" t="s">
        <v>138</v>
      </c>
      <c r="G399" s="198" t="s">
        <v>139</v>
      </c>
      <c r="H399" s="200">
        <v>1</v>
      </c>
      <c r="I399" s="199">
        <f t="shared" si="413"/>
        <v>1000000</v>
      </c>
      <c r="J399" s="199">
        <f t="shared" si="414"/>
        <v>0</v>
      </c>
      <c r="K399" s="199">
        <f t="shared" si="415"/>
        <v>1000000</v>
      </c>
      <c r="L399" s="199">
        <v>1000000</v>
      </c>
      <c r="M399" s="199"/>
      <c r="N399" s="199">
        <f t="shared" si="416"/>
        <v>1000000</v>
      </c>
      <c r="O399" s="199"/>
      <c r="P399" s="201">
        <v>0</v>
      </c>
      <c r="Q399" s="202">
        <v>1926</v>
      </c>
      <c r="R399" s="203">
        <v>45743</v>
      </c>
      <c r="S399" s="199">
        <v>991823</v>
      </c>
      <c r="T399" s="199"/>
      <c r="U399" s="204">
        <f t="shared" si="417"/>
        <v>991823</v>
      </c>
      <c r="V399" s="205"/>
      <c r="W399" s="200"/>
      <c r="X399" s="201"/>
      <c r="Y399" s="201"/>
      <c r="Z399" s="201">
        <f t="shared" si="418"/>
        <v>0</v>
      </c>
      <c r="AA399" s="198"/>
      <c r="AB399" s="206"/>
      <c r="AC399" s="207"/>
      <c r="AD399" s="201"/>
      <c r="AE399" s="204">
        <f t="shared" si="419"/>
        <v>0</v>
      </c>
      <c r="AF399" s="203">
        <f t="shared" si="420"/>
        <v>45743</v>
      </c>
      <c r="AG399" s="201">
        <f t="shared" si="421"/>
        <v>991823</v>
      </c>
      <c r="AH399" s="201">
        <f t="shared" si="422"/>
        <v>0</v>
      </c>
      <c r="AI399" s="199">
        <f t="shared" si="423"/>
        <v>991823</v>
      </c>
      <c r="AJ399" s="201">
        <f t="shared" si="443"/>
        <v>991823</v>
      </c>
      <c r="AK399" s="201">
        <f t="shared" si="443"/>
        <v>0</v>
      </c>
      <c r="AL399" s="201">
        <f t="shared" si="424"/>
        <v>991823</v>
      </c>
      <c r="AM399" s="198"/>
      <c r="AN399" s="203"/>
      <c r="AO399" s="208"/>
      <c r="AP399" s="201">
        <f t="shared" si="425"/>
        <v>991822.5</v>
      </c>
      <c r="AQ399" s="201">
        <f t="shared" si="426"/>
        <v>0</v>
      </c>
      <c r="AR399" s="201">
        <f t="shared" si="427"/>
        <v>991822.5</v>
      </c>
      <c r="AS399" s="201">
        <f t="shared" si="428"/>
        <v>99.99994958777927</v>
      </c>
      <c r="AT399" s="201">
        <v>991822.5</v>
      </c>
      <c r="AU399" s="209"/>
      <c r="AV399" s="201">
        <f t="shared" si="429"/>
        <v>991822.5</v>
      </c>
      <c r="AW399" s="201">
        <f t="shared" si="438"/>
        <v>0</v>
      </c>
      <c r="AX399" s="201">
        <f t="shared" si="430"/>
        <v>99.99994958777927</v>
      </c>
      <c r="AY399" s="208"/>
      <c r="AZ399" s="201">
        <f t="shared" si="431"/>
        <v>0</v>
      </c>
      <c r="BA399" s="201">
        <f t="shared" si="432"/>
        <v>0</v>
      </c>
      <c r="BB399" s="201">
        <f t="shared" si="433"/>
        <v>0</v>
      </c>
      <c r="BC399" s="201"/>
      <c r="BD399" s="209">
        <v>0</v>
      </c>
      <c r="BE399" s="201">
        <f t="shared" si="406"/>
        <v>0</v>
      </c>
      <c r="BF399" s="208"/>
      <c r="BG399" s="201">
        <f t="shared" si="441"/>
        <v>991822.5</v>
      </c>
      <c r="BH399" s="201">
        <f t="shared" si="441"/>
        <v>0</v>
      </c>
      <c r="BI399" s="201">
        <f t="shared" si="434"/>
        <v>991822.5</v>
      </c>
      <c r="BJ399" s="201">
        <f t="shared" si="435"/>
        <v>99.99994958777927</v>
      </c>
      <c r="BK399" s="210">
        <v>10</v>
      </c>
      <c r="BL399" s="210">
        <v>20</v>
      </c>
      <c r="BM399" s="211"/>
      <c r="BN399" s="211"/>
      <c r="BO399" s="212">
        <f t="shared" si="436"/>
        <v>0.5</v>
      </c>
      <c r="BP399" s="201">
        <f t="shared" si="437"/>
        <v>0</v>
      </c>
      <c r="BQ399" s="201">
        <f t="shared" si="407"/>
        <v>0.5</v>
      </c>
      <c r="BR399" s="201">
        <f t="shared" si="442"/>
        <v>0.5</v>
      </c>
      <c r="BS399" s="201">
        <f t="shared" si="442"/>
        <v>0</v>
      </c>
      <c r="BT399" s="201">
        <f t="shared" si="408"/>
        <v>0.5</v>
      </c>
      <c r="BU399" s="213">
        <f t="shared" si="439"/>
        <v>0</v>
      </c>
      <c r="BV399" s="201"/>
      <c r="BW399" s="201"/>
      <c r="BX399" s="201">
        <f t="shared" si="409"/>
        <v>0</v>
      </c>
      <c r="BY399" s="199">
        <v>100000</v>
      </c>
      <c r="BZ399" s="199">
        <v>200000</v>
      </c>
      <c r="CA399" s="199">
        <v>200000</v>
      </c>
      <c r="CB399" s="199">
        <v>250000</v>
      </c>
      <c r="CC399" s="199">
        <v>250000</v>
      </c>
      <c r="CD399" s="199"/>
      <c r="CE399" s="199"/>
      <c r="CF399" s="199">
        <v>0</v>
      </c>
      <c r="CG399" s="199">
        <v>0</v>
      </c>
      <c r="CH399" s="199">
        <v>0</v>
      </c>
      <c r="CI399" s="199">
        <v>0</v>
      </c>
      <c r="CJ399" s="199">
        <v>0</v>
      </c>
      <c r="CK399" s="214"/>
      <c r="CL399" s="214"/>
      <c r="CM399" s="211">
        <v>191</v>
      </c>
      <c r="CN399" s="215"/>
      <c r="CO399" s="215"/>
      <c r="CP399" s="216"/>
      <c r="CQ399" s="217"/>
      <c r="CR399" s="211"/>
      <c r="CS399" s="218"/>
      <c r="CT399" s="218"/>
      <c r="CU399" s="218"/>
      <c r="CV399" s="211"/>
      <c r="CW399" s="211"/>
      <c r="CX399" s="211"/>
      <c r="CY399" s="211"/>
      <c r="CZ399" s="211"/>
      <c r="DA399" s="211"/>
      <c r="DB399" s="211"/>
      <c r="DC399" s="219"/>
      <c r="DD399" s="219"/>
      <c r="DE399" s="219"/>
      <c r="DF399" s="211"/>
      <c r="DG399" s="211"/>
      <c r="DH399" s="211"/>
      <c r="DI399" s="211"/>
      <c r="DJ399" s="211"/>
      <c r="DK399" s="220" t="s">
        <v>70</v>
      </c>
      <c r="DT399" s="222"/>
    </row>
    <row r="400" spans="1:124" s="176" customFormat="1" ht="42" x14ac:dyDescent="0.2">
      <c r="A400" s="195" t="s">
        <v>136</v>
      </c>
      <c r="B400" s="197" t="s">
        <v>1046</v>
      </c>
      <c r="C400" s="198">
        <v>1</v>
      </c>
      <c r="D400" s="199">
        <v>1000000</v>
      </c>
      <c r="E400" s="198" t="s">
        <v>138</v>
      </c>
      <c r="F400" s="198" t="s">
        <v>138</v>
      </c>
      <c r="G400" s="198" t="s">
        <v>139</v>
      </c>
      <c r="H400" s="200">
        <v>1</v>
      </c>
      <c r="I400" s="199">
        <f t="shared" si="413"/>
        <v>1000000</v>
      </c>
      <c r="J400" s="199">
        <f t="shared" si="414"/>
        <v>0</v>
      </c>
      <c r="K400" s="199">
        <f t="shared" si="415"/>
        <v>1000000</v>
      </c>
      <c r="L400" s="199">
        <v>1000000</v>
      </c>
      <c r="M400" s="199"/>
      <c r="N400" s="199">
        <f t="shared" si="416"/>
        <v>1000000</v>
      </c>
      <c r="O400" s="199"/>
      <c r="P400" s="201">
        <v>0</v>
      </c>
      <c r="Q400" s="202">
        <v>1926</v>
      </c>
      <c r="R400" s="203">
        <v>45743</v>
      </c>
      <c r="S400" s="199">
        <v>997120</v>
      </c>
      <c r="T400" s="199"/>
      <c r="U400" s="204">
        <f t="shared" si="417"/>
        <v>997120</v>
      </c>
      <c r="V400" s="205"/>
      <c r="W400" s="200"/>
      <c r="X400" s="201"/>
      <c r="Y400" s="201"/>
      <c r="Z400" s="201">
        <f t="shared" si="418"/>
        <v>0</v>
      </c>
      <c r="AA400" s="198"/>
      <c r="AB400" s="206"/>
      <c r="AC400" s="207"/>
      <c r="AD400" s="201"/>
      <c r="AE400" s="204">
        <f t="shared" si="419"/>
        <v>0</v>
      </c>
      <c r="AF400" s="203">
        <f t="shared" si="420"/>
        <v>45743</v>
      </c>
      <c r="AG400" s="201">
        <f t="shared" si="421"/>
        <v>997120</v>
      </c>
      <c r="AH400" s="201">
        <f t="shared" si="422"/>
        <v>0</v>
      </c>
      <c r="AI400" s="199">
        <f t="shared" si="423"/>
        <v>997120</v>
      </c>
      <c r="AJ400" s="201">
        <f t="shared" si="443"/>
        <v>997120</v>
      </c>
      <c r="AK400" s="201">
        <f t="shared" si="443"/>
        <v>0</v>
      </c>
      <c r="AL400" s="201">
        <f t="shared" si="424"/>
        <v>997120</v>
      </c>
      <c r="AM400" s="198"/>
      <c r="AN400" s="203"/>
      <c r="AO400" s="208"/>
      <c r="AP400" s="201">
        <f t="shared" si="425"/>
        <v>997119.5</v>
      </c>
      <c r="AQ400" s="201">
        <f t="shared" si="426"/>
        <v>0</v>
      </c>
      <c r="AR400" s="201">
        <f t="shared" si="427"/>
        <v>997119.5</v>
      </c>
      <c r="AS400" s="201">
        <f t="shared" si="428"/>
        <v>99.999949855584077</v>
      </c>
      <c r="AT400" s="201">
        <v>997119.5</v>
      </c>
      <c r="AU400" s="209"/>
      <c r="AV400" s="201">
        <f t="shared" si="429"/>
        <v>997119.5</v>
      </c>
      <c r="AW400" s="201">
        <f t="shared" si="438"/>
        <v>0</v>
      </c>
      <c r="AX400" s="201">
        <f t="shared" si="430"/>
        <v>99.999949855584077</v>
      </c>
      <c r="AY400" s="208"/>
      <c r="AZ400" s="201">
        <f t="shared" si="431"/>
        <v>0</v>
      </c>
      <c r="BA400" s="201">
        <f t="shared" si="432"/>
        <v>0</v>
      </c>
      <c r="BB400" s="201">
        <f t="shared" si="433"/>
        <v>0</v>
      </c>
      <c r="BC400" s="201"/>
      <c r="BD400" s="209">
        <v>0</v>
      </c>
      <c r="BE400" s="201">
        <f t="shared" si="406"/>
        <v>0</v>
      </c>
      <c r="BF400" s="208"/>
      <c r="BG400" s="201">
        <f t="shared" si="441"/>
        <v>997119.5</v>
      </c>
      <c r="BH400" s="201">
        <f t="shared" si="441"/>
        <v>0</v>
      </c>
      <c r="BI400" s="201">
        <f t="shared" si="434"/>
        <v>997119.5</v>
      </c>
      <c r="BJ400" s="201">
        <f t="shared" si="435"/>
        <v>99.999949855584077</v>
      </c>
      <c r="BK400" s="210">
        <v>10</v>
      </c>
      <c r="BL400" s="210">
        <v>5</v>
      </c>
      <c r="BM400" s="211"/>
      <c r="BN400" s="211"/>
      <c r="BO400" s="212">
        <f t="shared" si="436"/>
        <v>0.5</v>
      </c>
      <c r="BP400" s="201">
        <f t="shared" si="437"/>
        <v>0</v>
      </c>
      <c r="BQ400" s="201">
        <f t="shared" si="407"/>
        <v>0.5</v>
      </c>
      <c r="BR400" s="201">
        <f t="shared" si="442"/>
        <v>0.5</v>
      </c>
      <c r="BS400" s="201">
        <f t="shared" si="442"/>
        <v>0</v>
      </c>
      <c r="BT400" s="201">
        <f t="shared" si="408"/>
        <v>0.5</v>
      </c>
      <c r="BU400" s="213">
        <f t="shared" si="439"/>
        <v>0</v>
      </c>
      <c r="BV400" s="201"/>
      <c r="BW400" s="201"/>
      <c r="BX400" s="201">
        <f t="shared" si="409"/>
        <v>0</v>
      </c>
      <c r="BY400" s="199">
        <v>100000</v>
      </c>
      <c r="BZ400" s="199">
        <v>200000</v>
      </c>
      <c r="CA400" s="199">
        <v>200000</v>
      </c>
      <c r="CB400" s="199">
        <v>250000</v>
      </c>
      <c r="CC400" s="199">
        <v>250000</v>
      </c>
      <c r="CD400" s="199"/>
      <c r="CE400" s="199"/>
      <c r="CF400" s="199">
        <v>0</v>
      </c>
      <c r="CG400" s="199">
        <v>0</v>
      </c>
      <c r="CH400" s="199">
        <v>0</v>
      </c>
      <c r="CI400" s="199">
        <v>0</v>
      </c>
      <c r="CJ400" s="199">
        <v>0</v>
      </c>
      <c r="CK400" s="214"/>
      <c r="CL400" s="214"/>
      <c r="CM400" s="211">
        <v>191</v>
      </c>
      <c r="CN400" s="215"/>
      <c r="CO400" s="215"/>
      <c r="CP400" s="216"/>
      <c r="CQ400" s="217"/>
      <c r="CR400" s="211"/>
      <c r="CS400" s="218"/>
      <c r="CT400" s="218"/>
      <c r="CU400" s="218"/>
      <c r="CV400" s="211"/>
      <c r="CW400" s="211"/>
      <c r="CX400" s="211"/>
      <c r="CY400" s="211"/>
      <c r="CZ400" s="211"/>
      <c r="DA400" s="211"/>
      <c r="DB400" s="211"/>
      <c r="DC400" s="219"/>
      <c r="DD400" s="219"/>
      <c r="DE400" s="219"/>
      <c r="DF400" s="211"/>
      <c r="DG400" s="211"/>
      <c r="DH400" s="211"/>
      <c r="DI400" s="211"/>
      <c r="DJ400" s="211"/>
      <c r="DK400" s="220" t="s">
        <v>70</v>
      </c>
      <c r="DT400" s="222"/>
    </row>
    <row r="401" spans="1:124" s="176" customFormat="1" x14ac:dyDescent="0.2">
      <c r="A401" s="225" t="s">
        <v>136</v>
      </c>
      <c r="B401" s="197" t="s">
        <v>1047</v>
      </c>
      <c r="C401" s="198">
        <v>1</v>
      </c>
      <c r="D401" s="199">
        <v>600000</v>
      </c>
      <c r="E401" s="198" t="s">
        <v>250</v>
      </c>
      <c r="F401" s="198" t="s">
        <v>250</v>
      </c>
      <c r="G401" s="198" t="s">
        <v>139</v>
      </c>
      <c r="H401" s="200">
        <v>1</v>
      </c>
      <c r="I401" s="199">
        <f t="shared" si="413"/>
        <v>0</v>
      </c>
      <c r="J401" s="199">
        <f t="shared" si="414"/>
        <v>600000</v>
      </c>
      <c r="K401" s="199">
        <f t="shared" si="415"/>
        <v>600000</v>
      </c>
      <c r="L401" s="199"/>
      <c r="M401" s="199">
        <v>600000</v>
      </c>
      <c r="N401" s="199">
        <f t="shared" si="416"/>
        <v>600000</v>
      </c>
      <c r="O401" s="199"/>
      <c r="P401" s="201">
        <v>0</v>
      </c>
      <c r="Q401" s="202">
        <v>15</v>
      </c>
      <c r="R401" s="203">
        <v>45566</v>
      </c>
      <c r="S401" s="199"/>
      <c r="T401" s="199">
        <v>600000</v>
      </c>
      <c r="U401" s="204">
        <f t="shared" si="417"/>
        <v>600000</v>
      </c>
      <c r="V401" s="205">
        <v>1450</v>
      </c>
      <c r="W401" s="200">
        <v>45693</v>
      </c>
      <c r="X401" s="201"/>
      <c r="Y401" s="201">
        <v>-1852</v>
      </c>
      <c r="Z401" s="201">
        <f t="shared" si="418"/>
        <v>-1852</v>
      </c>
      <c r="AA401" s="198"/>
      <c r="AB401" s="206"/>
      <c r="AC401" s="207"/>
      <c r="AD401" s="201"/>
      <c r="AE401" s="204">
        <f t="shared" si="419"/>
        <v>0</v>
      </c>
      <c r="AF401" s="203">
        <f t="shared" si="420"/>
        <v>45566</v>
      </c>
      <c r="AG401" s="201">
        <f t="shared" si="421"/>
        <v>0</v>
      </c>
      <c r="AH401" s="201">
        <f t="shared" si="422"/>
        <v>598148</v>
      </c>
      <c r="AI401" s="199">
        <f t="shared" si="423"/>
        <v>598148</v>
      </c>
      <c r="AJ401" s="201">
        <f t="shared" si="443"/>
        <v>0</v>
      </c>
      <c r="AK401" s="201">
        <f t="shared" si="443"/>
        <v>598148</v>
      </c>
      <c r="AL401" s="201">
        <f t="shared" si="424"/>
        <v>598148</v>
      </c>
      <c r="AM401" s="198"/>
      <c r="AN401" s="203"/>
      <c r="AO401" s="208"/>
      <c r="AP401" s="201">
        <f t="shared" si="425"/>
        <v>0</v>
      </c>
      <c r="AQ401" s="201">
        <f t="shared" si="426"/>
        <v>583115.69999999995</v>
      </c>
      <c r="AR401" s="201">
        <f t="shared" si="427"/>
        <v>583115.69999999995</v>
      </c>
      <c r="AS401" s="201">
        <f t="shared" si="428"/>
        <v>97.486859439469811</v>
      </c>
      <c r="AT401" s="201"/>
      <c r="AU401" s="209">
        <v>583115.69999999995</v>
      </c>
      <c r="AV401" s="201">
        <f t="shared" si="429"/>
        <v>583115.69999999995</v>
      </c>
      <c r="AW401" s="201">
        <f t="shared" si="438"/>
        <v>0</v>
      </c>
      <c r="AX401" s="201">
        <f t="shared" si="430"/>
        <v>97.486859439469811</v>
      </c>
      <c r="AY401" s="208"/>
      <c r="AZ401" s="201">
        <f t="shared" si="431"/>
        <v>0</v>
      </c>
      <c r="BA401" s="201">
        <f t="shared" si="432"/>
        <v>14724</v>
      </c>
      <c r="BB401" s="201">
        <f t="shared" si="433"/>
        <v>14724</v>
      </c>
      <c r="BC401" s="201"/>
      <c r="BD401" s="209">
        <v>14724</v>
      </c>
      <c r="BE401" s="201">
        <f t="shared" si="406"/>
        <v>14724</v>
      </c>
      <c r="BF401" s="208"/>
      <c r="BG401" s="201">
        <f t="shared" si="441"/>
        <v>0</v>
      </c>
      <c r="BH401" s="201">
        <f t="shared" si="441"/>
        <v>597839.69999999995</v>
      </c>
      <c r="BI401" s="201">
        <f t="shared" si="434"/>
        <v>597839.69999999995</v>
      </c>
      <c r="BJ401" s="201">
        <f t="shared" si="435"/>
        <v>99.948457572373385</v>
      </c>
      <c r="BK401" s="210">
        <v>40</v>
      </c>
      <c r="BL401" s="210">
        <v>80</v>
      </c>
      <c r="BM401" s="211"/>
      <c r="BN401" s="211"/>
      <c r="BO401" s="212">
        <f t="shared" si="436"/>
        <v>0</v>
      </c>
      <c r="BP401" s="201">
        <f t="shared" si="437"/>
        <v>15032.300000000047</v>
      </c>
      <c r="BQ401" s="201">
        <f t="shared" si="407"/>
        <v>15032.300000000047</v>
      </c>
      <c r="BR401" s="201">
        <f t="shared" si="442"/>
        <v>0</v>
      </c>
      <c r="BS401" s="201">
        <f t="shared" si="442"/>
        <v>15032.300000000047</v>
      </c>
      <c r="BT401" s="201">
        <f t="shared" si="408"/>
        <v>15032.300000000047</v>
      </c>
      <c r="BU401" s="213">
        <f t="shared" si="439"/>
        <v>0</v>
      </c>
      <c r="BV401" s="201">
        <v>1852</v>
      </c>
      <c r="BW401" s="201"/>
      <c r="BX401" s="201">
        <f t="shared" si="409"/>
        <v>1852</v>
      </c>
      <c r="BY401" s="199">
        <v>0</v>
      </c>
      <c r="BZ401" s="199">
        <v>200000</v>
      </c>
      <c r="CA401" s="199">
        <v>200000</v>
      </c>
      <c r="CB401" s="199">
        <v>200000</v>
      </c>
      <c r="CC401" s="199">
        <v>0</v>
      </c>
      <c r="CD401" s="199">
        <v>0</v>
      </c>
      <c r="CE401" s="199">
        <v>0</v>
      </c>
      <c r="CF401" s="199">
        <v>0</v>
      </c>
      <c r="CG401" s="199">
        <v>0</v>
      </c>
      <c r="CH401" s="199">
        <v>0</v>
      </c>
      <c r="CI401" s="199">
        <v>0</v>
      </c>
      <c r="CJ401" s="199">
        <v>0</v>
      </c>
      <c r="CK401" s="214" t="s">
        <v>1048</v>
      </c>
      <c r="CL401" s="214" t="s">
        <v>610</v>
      </c>
      <c r="CM401" s="211">
        <v>198</v>
      </c>
      <c r="CN401" s="215"/>
      <c r="CO401" s="215"/>
      <c r="CP401" s="216"/>
      <c r="CQ401" s="217"/>
      <c r="CR401" s="211"/>
      <c r="CS401" s="218"/>
      <c r="CT401" s="218"/>
      <c r="CU401" s="218"/>
      <c r="CV401" s="211"/>
      <c r="CW401" s="211"/>
      <c r="CX401" s="211"/>
      <c r="CY401" s="211"/>
      <c r="CZ401" s="211"/>
      <c r="DA401" s="211"/>
      <c r="DB401" s="211"/>
      <c r="DC401" s="219"/>
      <c r="DD401" s="219"/>
      <c r="DE401" s="219"/>
      <c r="DF401" s="211"/>
      <c r="DG401" s="211"/>
      <c r="DH401" s="211"/>
      <c r="DI401" s="211"/>
      <c r="DJ401" s="211"/>
      <c r="DK401" s="220" t="s">
        <v>32</v>
      </c>
      <c r="DT401" s="222"/>
    </row>
    <row r="402" spans="1:124" s="176" customFormat="1" ht="42" x14ac:dyDescent="0.2">
      <c r="A402" s="225" t="s">
        <v>136</v>
      </c>
      <c r="B402" s="197" t="s">
        <v>1049</v>
      </c>
      <c r="C402" s="198">
        <v>1</v>
      </c>
      <c r="D402" s="199">
        <v>970000</v>
      </c>
      <c r="E402" s="198" t="s">
        <v>467</v>
      </c>
      <c r="F402" s="198" t="s">
        <v>143</v>
      </c>
      <c r="G402" s="198" t="s">
        <v>139</v>
      </c>
      <c r="H402" s="200">
        <v>1</v>
      </c>
      <c r="I402" s="199">
        <f t="shared" si="413"/>
        <v>0</v>
      </c>
      <c r="J402" s="199">
        <f t="shared" si="414"/>
        <v>970000</v>
      </c>
      <c r="K402" s="199">
        <f t="shared" si="415"/>
        <v>970000</v>
      </c>
      <c r="L402" s="199"/>
      <c r="M402" s="199">
        <v>970000</v>
      </c>
      <c r="N402" s="199">
        <f t="shared" si="416"/>
        <v>970000</v>
      </c>
      <c r="O402" s="199"/>
      <c r="P402" s="201">
        <v>0</v>
      </c>
      <c r="Q402" s="202">
        <v>15</v>
      </c>
      <c r="R402" s="203">
        <v>45566</v>
      </c>
      <c r="S402" s="199"/>
      <c r="T402" s="199">
        <v>970000</v>
      </c>
      <c r="U402" s="204">
        <f t="shared" si="417"/>
        <v>970000</v>
      </c>
      <c r="V402" s="205"/>
      <c r="W402" s="200"/>
      <c r="X402" s="201"/>
      <c r="Y402" s="201"/>
      <c r="Z402" s="201">
        <f t="shared" si="418"/>
        <v>0</v>
      </c>
      <c r="AA402" s="198"/>
      <c r="AB402" s="206"/>
      <c r="AC402" s="207"/>
      <c r="AD402" s="201"/>
      <c r="AE402" s="204">
        <f t="shared" si="419"/>
        <v>0</v>
      </c>
      <c r="AF402" s="203">
        <f t="shared" si="420"/>
        <v>45566</v>
      </c>
      <c r="AG402" s="201">
        <f t="shared" si="421"/>
        <v>0</v>
      </c>
      <c r="AH402" s="201">
        <f t="shared" si="422"/>
        <v>970000</v>
      </c>
      <c r="AI402" s="199">
        <f t="shared" si="423"/>
        <v>970000</v>
      </c>
      <c r="AJ402" s="201">
        <f t="shared" si="443"/>
        <v>0</v>
      </c>
      <c r="AK402" s="201">
        <f t="shared" si="443"/>
        <v>970000</v>
      </c>
      <c r="AL402" s="201">
        <f t="shared" si="424"/>
        <v>970000</v>
      </c>
      <c r="AM402" s="198"/>
      <c r="AN402" s="203"/>
      <c r="AO402" s="208"/>
      <c r="AP402" s="201">
        <f t="shared" si="425"/>
        <v>0</v>
      </c>
      <c r="AQ402" s="201">
        <f t="shared" si="426"/>
        <v>964636.76</v>
      </c>
      <c r="AR402" s="201">
        <f t="shared" si="427"/>
        <v>964636.76</v>
      </c>
      <c r="AS402" s="201">
        <f t="shared" si="428"/>
        <v>99.44708865979382</v>
      </c>
      <c r="AT402" s="201"/>
      <c r="AU402" s="209">
        <v>964636.76</v>
      </c>
      <c r="AV402" s="201">
        <f t="shared" si="429"/>
        <v>964636.76</v>
      </c>
      <c r="AW402" s="201">
        <f t="shared" si="438"/>
        <v>0</v>
      </c>
      <c r="AX402" s="201">
        <f t="shared" si="430"/>
        <v>99.44708865979382</v>
      </c>
      <c r="AY402" s="208"/>
      <c r="AZ402" s="201">
        <f t="shared" si="431"/>
        <v>0</v>
      </c>
      <c r="BA402" s="201">
        <f t="shared" si="432"/>
        <v>0</v>
      </c>
      <c r="BB402" s="201">
        <f t="shared" si="433"/>
        <v>0</v>
      </c>
      <c r="BC402" s="201"/>
      <c r="BD402" s="209">
        <v>0</v>
      </c>
      <c r="BE402" s="201">
        <f t="shared" si="406"/>
        <v>0</v>
      </c>
      <c r="BF402" s="208"/>
      <c r="BG402" s="201">
        <f t="shared" si="441"/>
        <v>0</v>
      </c>
      <c r="BH402" s="201">
        <f t="shared" si="441"/>
        <v>964636.76</v>
      </c>
      <c r="BI402" s="201">
        <f t="shared" si="434"/>
        <v>964636.76</v>
      </c>
      <c r="BJ402" s="201">
        <f t="shared" si="435"/>
        <v>99.44708865979382</v>
      </c>
      <c r="BK402" s="210">
        <v>20</v>
      </c>
      <c r="BL402" s="210">
        <v>100</v>
      </c>
      <c r="BM402" s="211"/>
      <c r="BN402" s="211"/>
      <c r="BO402" s="212">
        <f t="shared" si="436"/>
        <v>0</v>
      </c>
      <c r="BP402" s="201">
        <f t="shared" si="437"/>
        <v>5363.2399999999907</v>
      </c>
      <c r="BQ402" s="201">
        <f t="shared" si="407"/>
        <v>5363.2399999999907</v>
      </c>
      <c r="BR402" s="201">
        <f t="shared" si="442"/>
        <v>0</v>
      </c>
      <c r="BS402" s="201">
        <f t="shared" si="442"/>
        <v>5363.2399999999907</v>
      </c>
      <c r="BT402" s="201">
        <f t="shared" si="408"/>
        <v>5363.2399999999907</v>
      </c>
      <c r="BU402" s="213">
        <f t="shared" si="439"/>
        <v>0</v>
      </c>
      <c r="BV402" s="201"/>
      <c r="BW402" s="201"/>
      <c r="BX402" s="201">
        <f t="shared" si="409"/>
        <v>0</v>
      </c>
      <c r="BY402" s="199">
        <v>100000</v>
      </c>
      <c r="BZ402" s="199">
        <v>350000</v>
      </c>
      <c r="CA402" s="199">
        <v>205000</v>
      </c>
      <c r="CB402" s="199">
        <v>105000</v>
      </c>
      <c r="CC402" s="199">
        <v>105000</v>
      </c>
      <c r="CD402" s="199">
        <v>105000</v>
      </c>
      <c r="CE402" s="199">
        <v>0</v>
      </c>
      <c r="CF402" s="199">
        <v>0</v>
      </c>
      <c r="CG402" s="199">
        <v>0</v>
      </c>
      <c r="CH402" s="199">
        <v>0</v>
      </c>
      <c r="CI402" s="199">
        <v>0</v>
      </c>
      <c r="CJ402" s="199">
        <v>0</v>
      </c>
      <c r="CK402" s="214" t="s">
        <v>1050</v>
      </c>
      <c r="CL402" s="214" t="s">
        <v>610</v>
      </c>
      <c r="CM402" s="211">
        <v>198</v>
      </c>
      <c r="CN402" s="215"/>
      <c r="CO402" s="215"/>
      <c r="CP402" s="216"/>
      <c r="CQ402" s="217"/>
      <c r="CR402" s="211"/>
      <c r="CS402" s="218"/>
      <c r="CT402" s="218"/>
      <c r="CU402" s="218"/>
      <c r="CV402" s="211"/>
      <c r="CW402" s="211"/>
      <c r="CX402" s="211"/>
      <c r="CY402" s="211"/>
      <c r="CZ402" s="211"/>
      <c r="DA402" s="211"/>
      <c r="DB402" s="211"/>
      <c r="DC402" s="219"/>
      <c r="DD402" s="219"/>
      <c r="DE402" s="219"/>
      <c r="DF402" s="211"/>
      <c r="DG402" s="211"/>
      <c r="DH402" s="211"/>
      <c r="DI402" s="211"/>
      <c r="DJ402" s="211"/>
      <c r="DK402" s="220" t="s">
        <v>32</v>
      </c>
      <c r="DT402" s="222"/>
    </row>
    <row r="403" spans="1:124" s="176" customFormat="1" ht="42" x14ac:dyDescent="0.2">
      <c r="A403" s="225" t="s">
        <v>136</v>
      </c>
      <c r="B403" s="197" t="s">
        <v>1051</v>
      </c>
      <c r="C403" s="198">
        <v>1</v>
      </c>
      <c r="D403" s="199">
        <v>890000</v>
      </c>
      <c r="E403" s="198" t="s">
        <v>467</v>
      </c>
      <c r="F403" s="198" t="s">
        <v>143</v>
      </c>
      <c r="G403" s="198" t="s">
        <v>139</v>
      </c>
      <c r="H403" s="200">
        <v>1</v>
      </c>
      <c r="I403" s="199">
        <f t="shared" si="413"/>
        <v>0</v>
      </c>
      <c r="J403" s="199">
        <f t="shared" si="414"/>
        <v>890000</v>
      </c>
      <c r="K403" s="199">
        <f t="shared" si="415"/>
        <v>890000</v>
      </c>
      <c r="L403" s="199"/>
      <c r="M403" s="199">
        <v>890000</v>
      </c>
      <c r="N403" s="199">
        <f t="shared" si="416"/>
        <v>890000</v>
      </c>
      <c r="O403" s="199"/>
      <c r="P403" s="201">
        <v>0</v>
      </c>
      <c r="Q403" s="202">
        <v>15</v>
      </c>
      <c r="R403" s="203">
        <v>45566</v>
      </c>
      <c r="S403" s="199"/>
      <c r="T403" s="199">
        <v>890000</v>
      </c>
      <c r="U403" s="204">
        <f t="shared" si="417"/>
        <v>890000</v>
      </c>
      <c r="V403" s="205"/>
      <c r="W403" s="200"/>
      <c r="X403" s="201"/>
      <c r="Y403" s="201"/>
      <c r="Z403" s="201">
        <f t="shared" si="418"/>
        <v>0</v>
      </c>
      <c r="AA403" s="198"/>
      <c r="AB403" s="206"/>
      <c r="AC403" s="207"/>
      <c r="AD403" s="201"/>
      <c r="AE403" s="204">
        <f t="shared" si="419"/>
        <v>0</v>
      </c>
      <c r="AF403" s="203">
        <f t="shared" si="420"/>
        <v>45566</v>
      </c>
      <c r="AG403" s="201">
        <f t="shared" si="421"/>
        <v>0</v>
      </c>
      <c r="AH403" s="201">
        <f t="shared" si="422"/>
        <v>890000</v>
      </c>
      <c r="AI403" s="199">
        <f t="shared" si="423"/>
        <v>890000</v>
      </c>
      <c r="AJ403" s="201">
        <f t="shared" si="443"/>
        <v>0</v>
      </c>
      <c r="AK403" s="201">
        <f t="shared" si="443"/>
        <v>890000</v>
      </c>
      <c r="AL403" s="201">
        <f t="shared" si="424"/>
        <v>890000</v>
      </c>
      <c r="AM403" s="198"/>
      <c r="AN403" s="203"/>
      <c r="AO403" s="208"/>
      <c r="AP403" s="201">
        <f t="shared" si="425"/>
        <v>0</v>
      </c>
      <c r="AQ403" s="201">
        <f t="shared" si="426"/>
        <v>867063.87</v>
      </c>
      <c r="AR403" s="201">
        <f t="shared" si="427"/>
        <v>867063.87</v>
      </c>
      <c r="AS403" s="201">
        <f t="shared" si="428"/>
        <v>97.42290674157303</v>
      </c>
      <c r="AT403" s="201"/>
      <c r="AU403" s="209">
        <v>867063.87</v>
      </c>
      <c r="AV403" s="201">
        <f t="shared" si="429"/>
        <v>867063.87</v>
      </c>
      <c r="AW403" s="201">
        <f t="shared" si="438"/>
        <v>0</v>
      </c>
      <c r="AX403" s="201">
        <f t="shared" si="430"/>
        <v>97.42290674157303</v>
      </c>
      <c r="AY403" s="208"/>
      <c r="AZ403" s="201">
        <f t="shared" si="431"/>
        <v>0</v>
      </c>
      <c r="BA403" s="201">
        <f t="shared" si="432"/>
        <v>19931</v>
      </c>
      <c r="BB403" s="201">
        <f t="shared" si="433"/>
        <v>19931</v>
      </c>
      <c r="BC403" s="201"/>
      <c r="BD403" s="209">
        <v>19931</v>
      </c>
      <c r="BE403" s="201">
        <f t="shared" si="406"/>
        <v>19931</v>
      </c>
      <c r="BF403" s="208"/>
      <c r="BG403" s="201">
        <f t="shared" si="441"/>
        <v>0</v>
      </c>
      <c r="BH403" s="201">
        <f t="shared" si="441"/>
        <v>886994.87</v>
      </c>
      <c r="BI403" s="201">
        <f t="shared" si="434"/>
        <v>886994.87</v>
      </c>
      <c r="BJ403" s="201">
        <f t="shared" si="435"/>
        <v>99.66234494382023</v>
      </c>
      <c r="BK403" s="210">
        <v>20</v>
      </c>
      <c r="BL403" s="210">
        <v>90</v>
      </c>
      <c r="BM403" s="211"/>
      <c r="BN403" s="211"/>
      <c r="BO403" s="212">
        <f t="shared" si="436"/>
        <v>0</v>
      </c>
      <c r="BP403" s="201">
        <f t="shared" si="437"/>
        <v>22936.130000000005</v>
      </c>
      <c r="BQ403" s="201">
        <f t="shared" si="407"/>
        <v>22936.130000000005</v>
      </c>
      <c r="BR403" s="201">
        <f t="shared" si="442"/>
        <v>0</v>
      </c>
      <c r="BS403" s="201">
        <f t="shared" si="442"/>
        <v>22936.130000000005</v>
      </c>
      <c r="BT403" s="201">
        <f t="shared" si="408"/>
        <v>22936.130000000005</v>
      </c>
      <c r="BU403" s="213">
        <f t="shared" si="439"/>
        <v>0</v>
      </c>
      <c r="BV403" s="201"/>
      <c r="BW403" s="201"/>
      <c r="BX403" s="201">
        <f t="shared" si="409"/>
        <v>0</v>
      </c>
      <c r="BY403" s="199">
        <v>100000</v>
      </c>
      <c r="BZ403" s="199">
        <v>270000</v>
      </c>
      <c r="CA403" s="199">
        <v>205000</v>
      </c>
      <c r="CB403" s="199">
        <v>105000</v>
      </c>
      <c r="CC403" s="199">
        <v>105000</v>
      </c>
      <c r="CD403" s="199">
        <v>105000</v>
      </c>
      <c r="CE403" s="199">
        <v>0</v>
      </c>
      <c r="CF403" s="199">
        <v>0</v>
      </c>
      <c r="CG403" s="199">
        <v>0</v>
      </c>
      <c r="CH403" s="199">
        <v>0</v>
      </c>
      <c r="CI403" s="199">
        <v>0</v>
      </c>
      <c r="CJ403" s="199">
        <v>0</v>
      </c>
      <c r="CK403" s="214" t="s">
        <v>1052</v>
      </c>
      <c r="CL403" s="214" t="s">
        <v>610</v>
      </c>
      <c r="CM403" s="211">
        <v>198</v>
      </c>
      <c r="CN403" s="215"/>
      <c r="CO403" s="215"/>
      <c r="CP403" s="216"/>
      <c r="CQ403" s="217"/>
      <c r="CR403" s="211"/>
      <c r="CS403" s="218"/>
      <c r="CT403" s="218"/>
      <c r="CU403" s="218"/>
      <c r="CV403" s="211"/>
      <c r="CW403" s="211"/>
      <c r="CX403" s="211"/>
      <c r="CY403" s="211"/>
      <c r="CZ403" s="211"/>
      <c r="DA403" s="211"/>
      <c r="DB403" s="211"/>
      <c r="DC403" s="219"/>
      <c r="DD403" s="219"/>
      <c r="DE403" s="219"/>
      <c r="DF403" s="211"/>
      <c r="DG403" s="211"/>
      <c r="DH403" s="211"/>
      <c r="DI403" s="211"/>
      <c r="DJ403" s="211"/>
      <c r="DK403" s="220" t="s">
        <v>32</v>
      </c>
      <c r="DT403" s="222"/>
    </row>
    <row r="404" spans="1:124" s="176" customFormat="1" ht="42" x14ac:dyDescent="0.2">
      <c r="A404" s="225" t="s">
        <v>136</v>
      </c>
      <c r="B404" s="197" t="s">
        <v>1053</v>
      </c>
      <c r="C404" s="198">
        <v>1</v>
      </c>
      <c r="D404" s="199">
        <v>988000</v>
      </c>
      <c r="E404" s="198" t="s">
        <v>458</v>
      </c>
      <c r="F404" s="198" t="s">
        <v>195</v>
      </c>
      <c r="G404" s="198" t="s">
        <v>139</v>
      </c>
      <c r="H404" s="200">
        <v>1</v>
      </c>
      <c r="I404" s="199">
        <f t="shared" si="413"/>
        <v>0</v>
      </c>
      <c r="J404" s="199">
        <f t="shared" si="414"/>
        <v>988000</v>
      </c>
      <c r="K404" s="199">
        <f t="shared" si="415"/>
        <v>988000</v>
      </c>
      <c r="L404" s="199"/>
      <c r="M404" s="199">
        <v>988000</v>
      </c>
      <c r="N404" s="199">
        <f t="shared" si="416"/>
        <v>988000</v>
      </c>
      <c r="O404" s="199"/>
      <c r="P404" s="201">
        <v>0</v>
      </c>
      <c r="Q404" s="202">
        <v>15</v>
      </c>
      <c r="R404" s="203">
        <v>45566</v>
      </c>
      <c r="S404" s="199"/>
      <c r="T404" s="199">
        <v>988000</v>
      </c>
      <c r="U404" s="204">
        <f t="shared" si="417"/>
        <v>988000</v>
      </c>
      <c r="V404" s="205">
        <v>1450</v>
      </c>
      <c r="W404" s="200">
        <v>45693</v>
      </c>
      <c r="X404" s="201"/>
      <c r="Y404" s="201">
        <v>-3682</v>
      </c>
      <c r="Z404" s="201">
        <f t="shared" si="418"/>
        <v>-3682</v>
      </c>
      <c r="AA404" s="198"/>
      <c r="AB404" s="206"/>
      <c r="AC404" s="207"/>
      <c r="AD404" s="201"/>
      <c r="AE404" s="204">
        <f t="shared" si="419"/>
        <v>0</v>
      </c>
      <c r="AF404" s="203">
        <f t="shared" si="420"/>
        <v>45566</v>
      </c>
      <c r="AG404" s="201">
        <f t="shared" si="421"/>
        <v>0</v>
      </c>
      <c r="AH404" s="201">
        <f t="shared" si="422"/>
        <v>984318</v>
      </c>
      <c r="AI404" s="199">
        <f t="shared" si="423"/>
        <v>984318</v>
      </c>
      <c r="AJ404" s="201">
        <f t="shared" si="443"/>
        <v>0</v>
      </c>
      <c r="AK404" s="201">
        <f t="shared" si="443"/>
        <v>984318</v>
      </c>
      <c r="AL404" s="201">
        <f t="shared" si="424"/>
        <v>984318</v>
      </c>
      <c r="AM404" s="198"/>
      <c r="AN404" s="203"/>
      <c r="AO404" s="208"/>
      <c r="AP404" s="201">
        <f t="shared" si="425"/>
        <v>0</v>
      </c>
      <c r="AQ404" s="201">
        <f t="shared" si="426"/>
        <v>499203</v>
      </c>
      <c r="AR404" s="201">
        <f t="shared" si="427"/>
        <v>499203</v>
      </c>
      <c r="AS404" s="201">
        <f t="shared" si="428"/>
        <v>50.71562239032508</v>
      </c>
      <c r="AT404" s="201"/>
      <c r="AU404" s="209">
        <v>499203</v>
      </c>
      <c r="AV404" s="201">
        <f t="shared" si="429"/>
        <v>499203</v>
      </c>
      <c r="AW404" s="201">
        <f t="shared" si="438"/>
        <v>0</v>
      </c>
      <c r="AX404" s="201">
        <f t="shared" si="430"/>
        <v>50.71562239032508</v>
      </c>
      <c r="AY404" s="208"/>
      <c r="AZ404" s="201">
        <f t="shared" si="431"/>
        <v>0</v>
      </c>
      <c r="BA404" s="201">
        <f t="shared" si="432"/>
        <v>274697.2</v>
      </c>
      <c r="BB404" s="201">
        <f t="shared" si="433"/>
        <v>274697.2</v>
      </c>
      <c r="BC404" s="201"/>
      <c r="BD404" s="209">
        <v>274697.2</v>
      </c>
      <c r="BE404" s="201">
        <f t="shared" si="406"/>
        <v>274697.2</v>
      </c>
      <c r="BF404" s="208"/>
      <c r="BG404" s="201">
        <f t="shared" si="441"/>
        <v>0</v>
      </c>
      <c r="BH404" s="201">
        <f t="shared" si="441"/>
        <v>773900.2</v>
      </c>
      <c r="BI404" s="201">
        <f t="shared" si="434"/>
        <v>773900.2</v>
      </c>
      <c r="BJ404" s="201">
        <f t="shared" si="435"/>
        <v>78.62298566113796</v>
      </c>
      <c r="BK404" s="210">
        <v>20</v>
      </c>
      <c r="BL404" s="210">
        <v>50</v>
      </c>
      <c r="BM404" s="211"/>
      <c r="BN404" s="211"/>
      <c r="BO404" s="212">
        <f t="shared" si="436"/>
        <v>0</v>
      </c>
      <c r="BP404" s="201">
        <f t="shared" si="437"/>
        <v>485115</v>
      </c>
      <c r="BQ404" s="201">
        <f t="shared" si="407"/>
        <v>485115</v>
      </c>
      <c r="BR404" s="201">
        <f t="shared" si="442"/>
        <v>0</v>
      </c>
      <c r="BS404" s="201">
        <f t="shared" si="442"/>
        <v>485115</v>
      </c>
      <c r="BT404" s="201">
        <f t="shared" si="408"/>
        <v>485115</v>
      </c>
      <c r="BU404" s="213">
        <f t="shared" si="439"/>
        <v>0</v>
      </c>
      <c r="BV404" s="201">
        <v>3682</v>
      </c>
      <c r="BW404" s="201"/>
      <c r="BX404" s="201">
        <f t="shared" si="409"/>
        <v>3682</v>
      </c>
      <c r="BY404" s="199">
        <v>329000</v>
      </c>
      <c r="BZ404" s="199">
        <v>329000</v>
      </c>
      <c r="CA404" s="199">
        <v>330000</v>
      </c>
      <c r="CB404" s="199"/>
      <c r="CC404" s="199"/>
      <c r="CD404" s="199"/>
      <c r="CE404" s="199">
        <v>0</v>
      </c>
      <c r="CF404" s="199">
        <v>0</v>
      </c>
      <c r="CG404" s="199">
        <v>0</v>
      </c>
      <c r="CH404" s="199">
        <v>0</v>
      </c>
      <c r="CI404" s="199">
        <v>0</v>
      </c>
      <c r="CJ404" s="199">
        <v>0</v>
      </c>
      <c r="CK404" s="214" t="s">
        <v>1054</v>
      </c>
      <c r="CL404" s="214" t="s">
        <v>610</v>
      </c>
      <c r="CM404" s="211">
        <v>198</v>
      </c>
      <c r="CN404" s="215"/>
      <c r="CO404" s="215"/>
      <c r="CP404" s="216"/>
      <c r="CQ404" s="217"/>
      <c r="CR404" s="211"/>
      <c r="CS404" s="218"/>
      <c r="CT404" s="218"/>
      <c r="CU404" s="218"/>
      <c r="CV404" s="211"/>
      <c r="CW404" s="211"/>
      <c r="CX404" s="211"/>
      <c r="CY404" s="211"/>
      <c r="CZ404" s="211"/>
      <c r="DA404" s="211"/>
      <c r="DB404" s="211"/>
      <c r="DC404" s="219"/>
      <c r="DD404" s="219"/>
      <c r="DE404" s="219"/>
      <c r="DF404" s="211"/>
      <c r="DG404" s="211"/>
      <c r="DH404" s="211"/>
      <c r="DI404" s="211"/>
      <c r="DJ404" s="211"/>
      <c r="DK404" s="220" t="s">
        <v>32</v>
      </c>
      <c r="DT404" s="222"/>
    </row>
    <row r="405" spans="1:124" s="176" customFormat="1" ht="42" x14ac:dyDescent="0.2">
      <c r="A405" s="225" t="s">
        <v>136</v>
      </c>
      <c r="B405" s="197" t="s">
        <v>1055</v>
      </c>
      <c r="C405" s="198">
        <v>1</v>
      </c>
      <c r="D405" s="199">
        <v>975800</v>
      </c>
      <c r="E405" s="198" t="s">
        <v>458</v>
      </c>
      <c r="F405" s="198" t="s">
        <v>195</v>
      </c>
      <c r="G405" s="198" t="s">
        <v>139</v>
      </c>
      <c r="H405" s="200">
        <v>1</v>
      </c>
      <c r="I405" s="199">
        <f t="shared" si="413"/>
        <v>0</v>
      </c>
      <c r="J405" s="199">
        <f t="shared" si="414"/>
        <v>975800</v>
      </c>
      <c r="K405" s="199">
        <f t="shared" si="415"/>
        <v>975800</v>
      </c>
      <c r="L405" s="199"/>
      <c r="M405" s="199">
        <v>975800</v>
      </c>
      <c r="N405" s="199">
        <f t="shared" si="416"/>
        <v>975800</v>
      </c>
      <c r="O405" s="199"/>
      <c r="P405" s="201">
        <v>0</v>
      </c>
      <c r="Q405" s="202">
        <v>15</v>
      </c>
      <c r="R405" s="203">
        <v>45566</v>
      </c>
      <c r="S405" s="199"/>
      <c r="T405" s="199">
        <v>975800</v>
      </c>
      <c r="U405" s="204">
        <f t="shared" si="417"/>
        <v>975800</v>
      </c>
      <c r="V405" s="205"/>
      <c r="W405" s="200"/>
      <c r="X405" s="201"/>
      <c r="Y405" s="201"/>
      <c r="Z405" s="201">
        <f t="shared" si="418"/>
        <v>0</v>
      </c>
      <c r="AA405" s="198"/>
      <c r="AB405" s="206"/>
      <c r="AC405" s="207"/>
      <c r="AD405" s="201"/>
      <c r="AE405" s="204">
        <f t="shared" si="419"/>
        <v>0</v>
      </c>
      <c r="AF405" s="203">
        <f t="shared" si="420"/>
        <v>45566</v>
      </c>
      <c r="AG405" s="201">
        <f t="shared" si="421"/>
        <v>0</v>
      </c>
      <c r="AH405" s="201">
        <f t="shared" si="422"/>
        <v>975800</v>
      </c>
      <c r="AI405" s="199">
        <f t="shared" si="423"/>
        <v>975800</v>
      </c>
      <c r="AJ405" s="201">
        <f t="shared" si="443"/>
        <v>0</v>
      </c>
      <c r="AK405" s="201">
        <f t="shared" si="443"/>
        <v>975800</v>
      </c>
      <c r="AL405" s="201">
        <f t="shared" si="424"/>
        <v>975800</v>
      </c>
      <c r="AM405" s="198"/>
      <c r="AN405" s="203"/>
      <c r="AO405" s="208"/>
      <c r="AP405" s="201">
        <f t="shared" si="425"/>
        <v>0</v>
      </c>
      <c r="AQ405" s="201">
        <f t="shared" si="426"/>
        <v>421717</v>
      </c>
      <c r="AR405" s="201">
        <f t="shared" si="427"/>
        <v>421717</v>
      </c>
      <c r="AS405" s="201">
        <f t="shared" si="428"/>
        <v>43.217565074810409</v>
      </c>
      <c r="AT405" s="201"/>
      <c r="AU405" s="209">
        <v>421717</v>
      </c>
      <c r="AV405" s="201">
        <f t="shared" si="429"/>
        <v>421717</v>
      </c>
      <c r="AW405" s="201">
        <f t="shared" si="438"/>
        <v>0</v>
      </c>
      <c r="AX405" s="201">
        <f t="shared" si="430"/>
        <v>43.217565074810409</v>
      </c>
      <c r="AY405" s="208"/>
      <c r="AZ405" s="201">
        <f t="shared" si="431"/>
        <v>0</v>
      </c>
      <c r="BA405" s="201">
        <f t="shared" si="432"/>
        <v>323978.88</v>
      </c>
      <c r="BB405" s="201">
        <f t="shared" si="433"/>
        <v>323978.88</v>
      </c>
      <c r="BC405" s="201"/>
      <c r="BD405" s="209">
        <v>323978.88</v>
      </c>
      <c r="BE405" s="201">
        <f t="shared" si="406"/>
        <v>323978.88</v>
      </c>
      <c r="BF405" s="208"/>
      <c r="BG405" s="201">
        <f t="shared" si="441"/>
        <v>0</v>
      </c>
      <c r="BH405" s="201">
        <f t="shared" si="441"/>
        <v>745695.88</v>
      </c>
      <c r="BI405" s="201">
        <f t="shared" si="434"/>
        <v>745695.88</v>
      </c>
      <c r="BJ405" s="201">
        <f t="shared" si="435"/>
        <v>76.418926009428162</v>
      </c>
      <c r="BK405" s="210">
        <v>20</v>
      </c>
      <c r="BL405" s="210">
        <v>40</v>
      </c>
      <c r="BM405" s="211"/>
      <c r="BN405" s="211"/>
      <c r="BO405" s="212">
        <f t="shared" si="436"/>
        <v>0</v>
      </c>
      <c r="BP405" s="201">
        <f t="shared" si="437"/>
        <v>554083</v>
      </c>
      <c r="BQ405" s="201">
        <f t="shared" si="407"/>
        <v>554083</v>
      </c>
      <c r="BR405" s="201">
        <f t="shared" si="442"/>
        <v>0</v>
      </c>
      <c r="BS405" s="201">
        <f t="shared" si="442"/>
        <v>554083</v>
      </c>
      <c r="BT405" s="201">
        <f t="shared" si="408"/>
        <v>554083</v>
      </c>
      <c r="BU405" s="213">
        <f t="shared" si="439"/>
        <v>0</v>
      </c>
      <c r="BV405" s="201"/>
      <c r="BW405" s="201"/>
      <c r="BX405" s="201">
        <f t="shared" si="409"/>
        <v>0</v>
      </c>
      <c r="BY405" s="199">
        <v>325000</v>
      </c>
      <c r="BZ405" s="199">
        <v>325000</v>
      </c>
      <c r="CA405" s="199">
        <v>325800</v>
      </c>
      <c r="CB405" s="199"/>
      <c r="CC405" s="199"/>
      <c r="CD405" s="199"/>
      <c r="CE405" s="199">
        <v>0</v>
      </c>
      <c r="CF405" s="199">
        <v>0</v>
      </c>
      <c r="CG405" s="199">
        <v>0</v>
      </c>
      <c r="CH405" s="199">
        <v>0</v>
      </c>
      <c r="CI405" s="199">
        <v>0</v>
      </c>
      <c r="CJ405" s="199">
        <v>0</v>
      </c>
      <c r="CK405" s="214" t="s">
        <v>1056</v>
      </c>
      <c r="CL405" s="214" t="s">
        <v>610</v>
      </c>
      <c r="CM405" s="211">
        <v>198</v>
      </c>
      <c r="CN405" s="215"/>
      <c r="CO405" s="215"/>
      <c r="CP405" s="216"/>
      <c r="CQ405" s="217"/>
      <c r="CR405" s="211"/>
      <c r="CS405" s="218"/>
      <c r="CT405" s="218"/>
      <c r="CU405" s="218"/>
      <c r="CV405" s="211"/>
      <c r="CW405" s="211"/>
      <c r="CX405" s="211"/>
      <c r="CY405" s="211"/>
      <c r="CZ405" s="211"/>
      <c r="DA405" s="211"/>
      <c r="DB405" s="211"/>
      <c r="DC405" s="219"/>
      <c r="DD405" s="219"/>
      <c r="DE405" s="219"/>
      <c r="DF405" s="211"/>
      <c r="DG405" s="211"/>
      <c r="DH405" s="211"/>
      <c r="DI405" s="211"/>
      <c r="DJ405" s="211"/>
      <c r="DK405" s="220" t="s">
        <v>32</v>
      </c>
      <c r="DT405" s="222"/>
    </row>
    <row r="406" spans="1:124" s="176" customFormat="1" ht="42" x14ac:dyDescent="0.2">
      <c r="A406" s="225" t="s">
        <v>136</v>
      </c>
      <c r="B406" s="197" t="s">
        <v>1057</v>
      </c>
      <c r="C406" s="198">
        <v>1</v>
      </c>
      <c r="D406" s="199">
        <v>500000</v>
      </c>
      <c r="E406" s="198" t="s">
        <v>142</v>
      </c>
      <c r="F406" s="198" t="s">
        <v>143</v>
      </c>
      <c r="G406" s="198" t="s">
        <v>139</v>
      </c>
      <c r="H406" s="200">
        <v>1</v>
      </c>
      <c r="I406" s="199">
        <f t="shared" si="413"/>
        <v>0</v>
      </c>
      <c r="J406" s="199">
        <f t="shared" si="414"/>
        <v>500000</v>
      </c>
      <c r="K406" s="199">
        <f t="shared" si="415"/>
        <v>500000</v>
      </c>
      <c r="L406" s="199"/>
      <c r="M406" s="199">
        <v>500000</v>
      </c>
      <c r="N406" s="199">
        <f t="shared" si="416"/>
        <v>500000</v>
      </c>
      <c r="O406" s="199"/>
      <c r="P406" s="201">
        <v>0</v>
      </c>
      <c r="Q406" s="202">
        <v>15</v>
      </c>
      <c r="R406" s="203">
        <v>45566</v>
      </c>
      <c r="S406" s="199"/>
      <c r="T406" s="199">
        <v>500000</v>
      </c>
      <c r="U406" s="204">
        <f t="shared" si="417"/>
        <v>500000</v>
      </c>
      <c r="V406" s="205"/>
      <c r="W406" s="200"/>
      <c r="X406" s="201"/>
      <c r="Y406" s="201"/>
      <c r="Z406" s="201">
        <f t="shared" si="418"/>
        <v>0</v>
      </c>
      <c r="AA406" s="198"/>
      <c r="AB406" s="206"/>
      <c r="AC406" s="207"/>
      <c r="AD406" s="201"/>
      <c r="AE406" s="204">
        <f t="shared" si="419"/>
        <v>0</v>
      </c>
      <c r="AF406" s="203">
        <f t="shared" si="420"/>
        <v>45566</v>
      </c>
      <c r="AG406" s="201">
        <f t="shared" si="421"/>
        <v>0</v>
      </c>
      <c r="AH406" s="201">
        <f t="shared" si="422"/>
        <v>500000</v>
      </c>
      <c r="AI406" s="199">
        <f t="shared" si="423"/>
        <v>500000</v>
      </c>
      <c r="AJ406" s="201">
        <f t="shared" si="443"/>
        <v>0</v>
      </c>
      <c r="AK406" s="201">
        <f t="shared" si="443"/>
        <v>500000</v>
      </c>
      <c r="AL406" s="201">
        <f t="shared" si="424"/>
        <v>500000</v>
      </c>
      <c r="AM406" s="198"/>
      <c r="AN406" s="203"/>
      <c r="AO406" s="208"/>
      <c r="AP406" s="201">
        <f t="shared" si="425"/>
        <v>0</v>
      </c>
      <c r="AQ406" s="201">
        <f t="shared" si="426"/>
        <v>494719.85</v>
      </c>
      <c r="AR406" s="201">
        <f t="shared" si="427"/>
        <v>494719.85</v>
      </c>
      <c r="AS406" s="201">
        <f t="shared" si="428"/>
        <v>98.943969999999993</v>
      </c>
      <c r="AT406" s="201"/>
      <c r="AU406" s="209">
        <v>494719.85</v>
      </c>
      <c r="AV406" s="201">
        <f t="shared" si="429"/>
        <v>494719.85</v>
      </c>
      <c r="AW406" s="201">
        <f t="shared" si="438"/>
        <v>0</v>
      </c>
      <c r="AX406" s="201">
        <f t="shared" si="430"/>
        <v>98.943969999999993</v>
      </c>
      <c r="AY406" s="208"/>
      <c r="AZ406" s="201">
        <f t="shared" si="431"/>
        <v>0</v>
      </c>
      <c r="BA406" s="201">
        <f t="shared" si="432"/>
        <v>0</v>
      </c>
      <c r="BB406" s="201">
        <f t="shared" si="433"/>
        <v>0</v>
      </c>
      <c r="BC406" s="201"/>
      <c r="BD406" s="209">
        <v>0</v>
      </c>
      <c r="BE406" s="201">
        <f t="shared" si="406"/>
        <v>0</v>
      </c>
      <c r="BF406" s="208"/>
      <c r="BG406" s="201">
        <f t="shared" si="441"/>
        <v>0</v>
      </c>
      <c r="BH406" s="201">
        <f t="shared" si="441"/>
        <v>494719.85</v>
      </c>
      <c r="BI406" s="201">
        <f t="shared" si="434"/>
        <v>494719.85</v>
      </c>
      <c r="BJ406" s="201">
        <f t="shared" si="435"/>
        <v>98.943969999999993</v>
      </c>
      <c r="BK406" s="210">
        <v>40</v>
      </c>
      <c r="BL406" s="210">
        <v>100</v>
      </c>
      <c r="BM406" s="211"/>
      <c r="BN406" s="211"/>
      <c r="BO406" s="212">
        <f t="shared" si="436"/>
        <v>0</v>
      </c>
      <c r="BP406" s="201">
        <f t="shared" si="437"/>
        <v>5280.1500000000233</v>
      </c>
      <c r="BQ406" s="201">
        <f t="shared" si="407"/>
        <v>5280.1500000000233</v>
      </c>
      <c r="BR406" s="201">
        <f t="shared" si="442"/>
        <v>0</v>
      </c>
      <c r="BS406" s="201">
        <f t="shared" si="442"/>
        <v>5280.1500000000233</v>
      </c>
      <c r="BT406" s="201">
        <f t="shared" si="408"/>
        <v>5280.1500000000233</v>
      </c>
      <c r="BU406" s="213">
        <f t="shared" si="439"/>
        <v>0</v>
      </c>
      <c r="BV406" s="201"/>
      <c r="BW406" s="201"/>
      <c r="BX406" s="201">
        <f t="shared" si="409"/>
        <v>0</v>
      </c>
      <c r="BY406" s="199">
        <v>100000</v>
      </c>
      <c r="BZ406" s="199">
        <v>250000</v>
      </c>
      <c r="CA406" s="199">
        <v>150000</v>
      </c>
      <c r="CB406" s="199">
        <v>0</v>
      </c>
      <c r="CC406" s="199">
        <v>0</v>
      </c>
      <c r="CD406" s="199">
        <v>0</v>
      </c>
      <c r="CE406" s="199">
        <v>0</v>
      </c>
      <c r="CF406" s="199">
        <v>0</v>
      </c>
      <c r="CG406" s="199">
        <v>0</v>
      </c>
      <c r="CH406" s="199">
        <v>0</v>
      </c>
      <c r="CI406" s="199">
        <v>0</v>
      </c>
      <c r="CJ406" s="199">
        <v>0</v>
      </c>
      <c r="CK406" s="214" t="s">
        <v>1058</v>
      </c>
      <c r="CL406" s="214" t="s">
        <v>610</v>
      </c>
      <c r="CM406" s="211">
        <v>198</v>
      </c>
      <c r="CN406" s="215"/>
      <c r="CO406" s="215"/>
      <c r="CP406" s="216"/>
      <c r="CQ406" s="217"/>
      <c r="CR406" s="211"/>
      <c r="CS406" s="218"/>
      <c r="CT406" s="218"/>
      <c r="CU406" s="218"/>
      <c r="CV406" s="211"/>
      <c r="CW406" s="211"/>
      <c r="CX406" s="211"/>
      <c r="CY406" s="211"/>
      <c r="CZ406" s="211"/>
      <c r="DA406" s="211"/>
      <c r="DB406" s="211"/>
      <c r="DC406" s="219"/>
      <c r="DD406" s="219"/>
      <c r="DE406" s="219"/>
      <c r="DF406" s="211"/>
      <c r="DG406" s="211"/>
      <c r="DH406" s="211"/>
      <c r="DI406" s="211"/>
      <c r="DJ406" s="211"/>
      <c r="DK406" s="220" t="s">
        <v>32</v>
      </c>
      <c r="DT406" s="222"/>
    </row>
    <row r="407" spans="1:124" s="176" customFormat="1" ht="42" x14ac:dyDescent="0.2">
      <c r="A407" s="225" t="s">
        <v>136</v>
      </c>
      <c r="B407" s="197" t="s">
        <v>1059</v>
      </c>
      <c r="C407" s="198">
        <v>1</v>
      </c>
      <c r="D407" s="199">
        <v>450000</v>
      </c>
      <c r="E407" s="198" t="s">
        <v>467</v>
      </c>
      <c r="F407" s="198" t="s">
        <v>143</v>
      </c>
      <c r="G407" s="198" t="s">
        <v>139</v>
      </c>
      <c r="H407" s="200">
        <v>1</v>
      </c>
      <c r="I407" s="199">
        <f t="shared" si="413"/>
        <v>0</v>
      </c>
      <c r="J407" s="199">
        <f t="shared" si="414"/>
        <v>450000</v>
      </c>
      <c r="K407" s="199">
        <f t="shared" si="415"/>
        <v>450000</v>
      </c>
      <c r="L407" s="199"/>
      <c r="M407" s="199">
        <v>450000</v>
      </c>
      <c r="N407" s="199">
        <f t="shared" si="416"/>
        <v>450000</v>
      </c>
      <c r="O407" s="199"/>
      <c r="P407" s="201">
        <v>0</v>
      </c>
      <c r="Q407" s="202">
        <v>15</v>
      </c>
      <c r="R407" s="203">
        <v>45566</v>
      </c>
      <c r="S407" s="199"/>
      <c r="T407" s="199">
        <v>450000</v>
      </c>
      <c r="U407" s="204">
        <f t="shared" si="417"/>
        <v>450000</v>
      </c>
      <c r="V407" s="205">
        <v>1450</v>
      </c>
      <c r="W407" s="200">
        <v>45693</v>
      </c>
      <c r="X407" s="201"/>
      <c r="Y407" s="201">
        <v>-2195.27</v>
      </c>
      <c r="Z407" s="201">
        <f t="shared" si="418"/>
        <v>-2195.27</v>
      </c>
      <c r="AA407" s="198"/>
      <c r="AB407" s="206"/>
      <c r="AC407" s="207"/>
      <c r="AD407" s="201"/>
      <c r="AE407" s="204">
        <f t="shared" si="419"/>
        <v>0</v>
      </c>
      <c r="AF407" s="203">
        <f t="shared" si="420"/>
        <v>45566</v>
      </c>
      <c r="AG407" s="201">
        <f t="shared" si="421"/>
        <v>0</v>
      </c>
      <c r="AH407" s="201">
        <f t="shared" si="422"/>
        <v>447804.73</v>
      </c>
      <c r="AI407" s="199">
        <f t="shared" si="423"/>
        <v>447804.73</v>
      </c>
      <c r="AJ407" s="201">
        <f t="shared" si="443"/>
        <v>0</v>
      </c>
      <c r="AK407" s="201">
        <f t="shared" si="443"/>
        <v>447804.73</v>
      </c>
      <c r="AL407" s="201">
        <f t="shared" si="424"/>
        <v>447804.73</v>
      </c>
      <c r="AM407" s="198"/>
      <c r="AN407" s="203"/>
      <c r="AO407" s="208"/>
      <c r="AP407" s="201">
        <f t="shared" si="425"/>
        <v>0</v>
      </c>
      <c r="AQ407" s="201">
        <f t="shared" si="426"/>
        <v>444796.67</v>
      </c>
      <c r="AR407" s="201">
        <f t="shared" si="427"/>
        <v>444796.67</v>
      </c>
      <c r="AS407" s="201">
        <f t="shared" si="428"/>
        <v>99.328265246327348</v>
      </c>
      <c r="AT407" s="201"/>
      <c r="AU407" s="209">
        <v>444796.67</v>
      </c>
      <c r="AV407" s="201">
        <f t="shared" si="429"/>
        <v>444796.67</v>
      </c>
      <c r="AW407" s="201">
        <f t="shared" si="438"/>
        <v>0</v>
      </c>
      <c r="AX407" s="201">
        <f t="shared" si="430"/>
        <v>99.328265246327348</v>
      </c>
      <c r="AY407" s="208"/>
      <c r="AZ407" s="201">
        <f t="shared" si="431"/>
        <v>0</v>
      </c>
      <c r="BA407" s="201">
        <f t="shared" si="432"/>
        <v>0</v>
      </c>
      <c r="BB407" s="201">
        <f t="shared" si="433"/>
        <v>0</v>
      </c>
      <c r="BC407" s="201"/>
      <c r="BD407" s="209">
        <v>0</v>
      </c>
      <c r="BE407" s="201">
        <f t="shared" ref="BE407:BE470" si="444">SUM(BC407:BD407)</f>
        <v>0</v>
      </c>
      <c r="BF407" s="208"/>
      <c r="BG407" s="201">
        <f t="shared" si="441"/>
        <v>0</v>
      </c>
      <c r="BH407" s="201">
        <f t="shared" si="441"/>
        <v>444796.67</v>
      </c>
      <c r="BI407" s="201">
        <f t="shared" si="434"/>
        <v>444796.67</v>
      </c>
      <c r="BJ407" s="201">
        <f t="shared" si="435"/>
        <v>99.328265246327348</v>
      </c>
      <c r="BK407" s="210">
        <v>40</v>
      </c>
      <c r="BL407" s="210">
        <v>100</v>
      </c>
      <c r="BM407" s="211"/>
      <c r="BN407" s="211"/>
      <c r="BO407" s="212">
        <f t="shared" si="436"/>
        <v>0</v>
      </c>
      <c r="BP407" s="201">
        <f t="shared" si="437"/>
        <v>3008.0599999999977</v>
      </c>
      <c r="BQ407" s="201">
        <f t="shared" ref="BQ407:BQ470" si="445">SUM(BO407:BP407)</f>
        <v>3008.0599999999977</v>
      </c>
      <c r="BR407" s="201">
        <f t="shared" si="442"/>
        <v>0</v>
      </c>
      <c r="BS407" s="201">
        <f t="shared" si="442"/>
        <v>3008.0599999999977</v>
      </c>
      <c r="BT407" s="201">
        <f t="shared" ref="BT407:BT470" si="446">SUM(BR407:BS407)</f>
        <v>3008.0599999999977</v>
      </c>
      <c r="BU407" s="213">
        <f t="shared" si="439"/>
        <v>0</v>
      </c>
      <c r="BV407" s="201">
        <v>2195.27</v>
      </c>
      <c r="BW407" s="201"/>
      <c r="BX407" s="201">
        <f t="shared" ref="BX407:BX470" si="447">SUM(BV407:BW407)</f>
        <v>2195.27</v>
      </c>
      <c r="BY407" s="199">
        <v>100000</v>
      </c>
      <c r="BZ407" s="199">
        <v>250000</v>
      </c>
      <c r="CA407" s="199">
        <v>100000</v>
      </c>
      <c r="CB407" s="199">
        <v>0</v>
      </c>
      <c r="CC407" s="199">
        <v>0</v>
      </c>
      <c r="CD407" s="199">
        <v>0</v>
      </c>
      <c r="CE407" s="199">
        <v>0</v>
      </c>
      <c r="CF407" s="199">
        <v>0</v>
      </c>
      <c r="CG407" s="199">
        <v>0</v>
      </c>
      <c r="CH407" s="199">
        <v>0</v>
      </c>
      <c r="CI407" s="199">
        <v>0</v>
      </c>
      <c r="CJ407" s="199">
        <v>0</v>
      </c>
      <c r="CK407" s="214" t="s">
        <v>1060</v>
      </c>
      <c r="CL407" s="214" t="s">
        <v>610</v>
      </c>
      <c r="CM407" s="211">
        <v>198</v>
      </c>
      <c r="CN407" s="215"/>
      <c r="CO407" s="215"/>
      <c r="CP407" s="216"/>
      <c r="CQ407" s="217"/>
      <c r="CR407" s="211"/>
      <c r="CS407" s="218"/>
      <c r="CT407" s="218"/>
      <c r="CU407" s="218"/>
      <c r="CV407" s="211"/>
      <c r="CW407" s="211"/>
      <c r="CX407" s="211"/>
      <c r="CY407" s="211"/>
      <c r="CZ407" s="211"/>
      <c r="DA407" s="211"/>
      <c r="DB407" s="211"/>
      <c r="DC407" s="219"/>
      <c r="DD407" s="219"/>
      <c r="DE407" s="219"/>
      <c r="DF407" s="211"/>
      <c r="DG407" s="211"/>
      <c r="DH407" s="211"/>
      <c r="DI407" s="211"/>
      <c r="DJ407" s="211"/>
      <c r="DK407" s="220" t="s">
        <v>32</v>
      </c>
      <c r="DT407" s="222"/>
    </row>
    <row r="408" spans="1:124" s="176" customFormat="1" ht="42" x14ac:dyDescent="0.2">
      <c r="A408" s="225" t="s">
        <v>136</v>
      </c>
      <c r="B408" s="197" t="s">
        <v>1061</v>
      </c>
      <c r="C408" s="198">
        <v>1</v>
      </c>
      <c r="D408" s="199">
        <v>930000</v>
      </c>
      <c r="E408" s="198" t="s">
        <v>278</v>
      </c>
      <c r="F408" s="198" t="s">
        <v>138</v>
      </c>
      <c r="G408" s="198" t="s">
        <v>139</v>
      </c>
      <c r="H408" s="200">
        <v>1</v>
      </c>
      <c r="I408" s="199">
        <f t="shared" si="413"/>
        <v>0</v>
      </c>
      <c r="J408" s="199">
        <f t="shared" si="414"/>
        <v>930000</v>
      </c>
      <c r="K408" s="199">
        <f t="shared" si="415"/>
        <v>930000</v>
      </c>
      <c r="L408" s="199"/>
      <c r="M408" s="199">
        <v>930000</v>
      </c>
      <c r="N408" s="199">
        <f t="shared" si="416"/>
        <v>930000</v>
      </c>
      <c r="O408" s="199"/>
      <c r="P408" s="201">
        <v>0</v>
      </c>
      <c r="Q408" s="202">
        <v>15</v>
      </c>
      <c r="R408" s="203">
        <v>45566</v>
      </c>
      <c r="S408" s="199"/>
      <c r="T408" s="199">
        <v>930000</v>
      </c>
      <c r="U408" s="204">
        <f t="shared" si="417"/>
        <v>930000</v>
      </c>
      <c r="V408" s="205"/>
      <c r="W408" s="200"/>
      <c r="X408" s="201"/>
      <c r="Y408" s="201"/>
      <c r="Z408" s="201">
        <f t="shared" si="418"/>
        <v>0</v>
      </c>
      <c r="AA408" s="198"/>
      <c r="AB408" s="206"/>
      <c r="AC408" s="207"/>
      <c r="AD408" s="201"/>
      <c r="AE408" s="204">
        <f t="shared" si="419"/>
        <v>0</v>
      </c>
      <c r="AF408" s="203">
        <f t="shared" si="420"/>
        <v>45566</v>
      </c>
      <c r="AG408" s="201">
        <f t="shared" si="421"/>
        <v>0</v>
      </c>
      <c r="AH408" s="201">
        <f t="shared" si="422"/>
        <v>930000</v>
      </c>
      <c r="AI408" s="199">
        <f t="shared" si="423"/>
        <v>930000</v>
      </c>
      <c r="AJ408" s="201">
        <f t="shared" si="443"/>
        <v>0</v>
      </c>
      <c r="AK408" s="201">
        <f t="shared" si="443"/>
        <v>930000</v>
      </c>
      <c r="AL408" s="201">
        <f t="shared" si="424"/>
        <v>930000</v>
      </c>
      <c r="AM408" s="198"/>
      <c r="AN408" s="203"/>
      <c r="AO408" s="208"/>
      <c r="AP408" s="201">
        <f t="shared" si="425"/>
        <v>0</v>
      </c>
      <c r="AQ408" s="201">
        <f t="shared" si="426"/>
        <v>928183.45</v>
      </c>
      <c r="AR408" s="201">
        <f t="shared" si="427"/>
        <v>928183.45</v>
      </c>
      <c r="AS408" s="201">
        <f t="shared" si="428"/>
        <v>99.804672043010754</v>
      </c>
      <c r="AT408" s="201"/>
      <c r="AU408" s="209">
        <v>928183.45</v>
      </c>
      <c r="AV408" s="201">
        <f t="shared" si="429"/>
        <v>928183.45</v>
      </c>
      <c r="AW408" s="201">
        <f t="shared" si="438"/>
        <v>0</v>
      </c>
      <c r="AX408" s="201">
        <f t="shared" si="430"/>
        <v>99.804672043010754</v>
      </c>
      <c r="AY408" s="208"/>
      <c r="AZ408" s="201">
        <f t="shared" si="431"/>
        <v>0</v>
      </c>
      <c r="BA408" s="201">
        <f t="shared" si="432"/>
        <v>0</v>
      </c>
      <c r="BB408" s="201">
        <f t="shared" si="433"/>
        <v>0</v>
      </c>
      <c r="BC408" s="201"/>
      <c r="BD408" s="209">
        <v>0</v>
      </c>
      <c r="BE408" s="201">
        <f t="shared" si="444"/>
        <v>0</v>
      </c>
      <c r="BF408" s="208"/>
      <c r="BG408" s="201">
        <f t="shared" si="441"/>
        <v>0</v>
      </c>
      <c r="BH408" s="201">
        <f t="shared" si="441"/>
        <v>928183.45</v>
      </c>
      <c r="BI408" s="201">
        <f t="shared" si="434"/>
        <v>928183.45</v>
      </c>
      <c r="BJ408" s="201">
        <f t="shared" si="435"/>
        <v>99.804672043010754</v>
      </c>
      <c r="BK408" s="210">
        <v>30</v>
      </c>
      <c r="BL408" s="210">
        <v>90</v>
      </c>
      <c r="BM408" s="211"/>
      <c r="BN408" s="211"/>
      <c r="BO408" s="212">
        <f t="shared" si="436"/>
        <v>0</v>
      </c>
      <c r="BP408" s="201">
        <f t="shared" si="437"/>
        <v>1816.5500000000466</v>
      </c>
      <c r="BQ408" s="201">
        <f t="shared" si="445"/>
        <v>1816.5500000000466</v>
      </c>
      <c r="BR408" s="201">
        <f t="shared" si="442"/>
        <v>0</v>
      </c>
      <c r="BS408" s="201">
        <f t="shared" si="442"/>
        <v>1816.5500000000466</v>
      </c>
      <c r="BT408" s="201">
        <f t="shared" si="446"/>
        <v>1816.5500000000466</v>
      </c>
      <c r="BU408" s="213">
        <f t="shared" si="439"/>
        <v>0</v>
      </c>
      <c r="BV408" s="201"/>
      <c r="BW408" s="201"/>
      <c r="BX408" s="201">
        <f t="shared" si="447"/>
        <v>0</v>
      </c>
      <c r="BY408" s="199">
        <v>232500</v>
      </c>
      <c r="BZ408" s="199">
        <v>232500</v>
      </c>
      <c r="CA408" s="199">
        <v>232500</v>
      </c>
      <c r="CB408" s="199">
        <v>232500</v>
      </c>
      <c r="CC408" s="199"/>
      <c r="CD408" s="199">
        <v>0</v>
      </c>
      <c r="CE408" s="199">
        <v>0</v>
      </c>
      <c r="CF408" s="199">
        <v>0</v>
      </c>
      <c r="CG408" s="199">
        <v>0</v>
      </c>
      <c r="CH408" s="199">
        <v>0</v>
      </c>
      <c r="CI408" s="199">
        <v>0</v>
      </c>
      <c r="CJ408" s="199">
        <v>0</v>
      </c>
      <c r="CK408" s="214" t="s">
        <v>1062</v>
      </c>
      <c r="CL408" s="214" t="s">
        <v>610</v>
      </c>
      <c r="CM408" s="211">
        <v>198</v>
      </c>
      <c r="CN408" s="215"/>
      <c r="CO408" s="215"/>
      <c r="CP408" s="216"/>
      <c r="CQ408" s="217"/>
      <c r="CR408" s="211"/>
      <c r="CS408" s="218"/>
      <c r="CT408" s="218"/>
      <c r="CU408" s="218"/>
      <c r="CV408" s="211"/>
      <c r="CW408" s="211"/>
      <c r="CX408" s="211"/>
      <c r="CY408" s="211"/>
      <c r="CZ408" s="211"/>
      <c r="DA408" s="211"/>
      <c r="DB408" s="211"/>
      <c r="DC408" s="219"/>
      <c r="DD408" s="219"/>
      <c r="DE408" s="219"/>
      <c r="DF408" s="211"/>
      <c r="DG408" s="211"/>
      <c r="DH408" s="211"/>
      <c r="DI408" s="211"/>
      <c r="DJ408" s="211"/>
      <c r="DK408" s="220" t="s">
        <v>32</v>
      </c>
      <c r="DT408" s="222"/>
    </row>
    <row r="409" spans="1:124" s="176" customFormat="1" ht="42" x14ac:dyDescent="0.2">
      <c r="A409" s="225" t="s">
        <v>136</v>
      </c>
      <c r="B409" s="197" t="s">
        <v>1063</v>
      </c>
      <c r="C409" s="198">
        <v>1</v>
      </c>
      <c r="D409" s="199">
        <v>400000</v>
      </c>
      <c r="E409" s="198" t="s">
        <v>138</v>
      </c>
      <c r="F409" s="198" t="s">
        <v>138</v>
      </c>
      <c r="G409" s="198" t="s">
        <v>139</v>
      </c>
      <c r="H409" s="200">
        <v>1</v>
      </c>
      <c r="I409" s="199">
        <f t="shared" si="413"/>
        <v>0</v>
      </c>
      <c r="J409" s="199">
        <f t="shared" si="414"/>
        <v>400000</v>
      </c>
      <c r="K409" s="199">
        <f t="shared" si="415"/>
        <v>400000</v>
      </c>
      <c r="L409" s="199"/>
      <c r="M409" s="199">
        <v>400000</v>
      </c>
      <c r="N409" s="199">
        <f t="shared" si="416"/>
        <v>400000</v>
      </c>
      <c r="O409" s="199"/>
      <c r="P409" s="201">
        <v>0</v>
      </c>
      <c r="Q409" s="202">
        <v>15</v>
      </c>
      <c r="R409" s="203">
        <v>45566</v>
      </c>
      <c r="S409" s="199"/>
      <c r="T409" s="199">
        <v>400000</v>
      </c>
      <c r="U409" s="204">
        <f t="shared" si="417"/>
        <v>400000</v>
      </c>
      <c r="V409" s="205"/>
      <c r="W409" s="200"/>
      <c r="X409" s="201"/>
      <c r="Y409" s="201"/>
      <c r="Z409" s="201">
        <f t="shared" si="418"/>
        <v>0</v>
      </c>
      <c r="AA409" s="198"/>
      <c r="AB409" s="206"/>
      <c r="AC409" s="207"/>
      <c r="AD409" s="201"/>
      <c r="AE409" s="204">
        <f t="shared" si="419"/>
        <v>0</v>
      </c>
      <c r="AF409" s="203">
        <f t="shared" si="420"/>
        <v>45566</v>
      </c>
      <c r="AG409" s="201">
        <f t="shared" si="421"/>
        <v>0</v>
      </c>
      <c r="AH409" s="201">
        <f t="shared" si="422"/>
        <v>400000</v>
      </c>
      <c r="AI409" s="199">
        <f t="shared" si="423"/>
        <v>400000</v>
      </c>
      <c r="AJ409" s="201">
        <f t="shared" si="443"/>
        <v>0</v>
      </c>
      <c r="AK409" s="201">
        <f t="shared" si="443"/>
        <v>400000</v>
      </c>
      <c r="AL409" s="201">
        <f t="shared" si="424"/>
        <v>400000</v>
      </c>
      <c r="AM409" s="198"/>
      <c r="AN409" s="203"/>
      <c r="AO409" s="208"/>
      <c r="AP409" s="201">
        <f t="shared" si="425"/>
        <v>0</v>
      </c>
      <c r="AQ409" s="201">
        <f t="shared" si="426"/>
        <v>145270</v>
      </c>
      <c r="AR409" s="201">
        <f t="shared" si="427"/>
        <v>145270</v>
      </c>
      <c r="AS409" s="201">
        <f t="shared" si="428"/>
        <v>36.317500000000003</v>
      </c>
      <c r="AT409" s="201"/>
      <c r="AU409" s="209">
        <v>145270</v>
      </c>
      <c r="AV409" s="201">
        <f t="shared" si="429"/>
        <v>145270</v>
      </c>
      <c r="AW409" s="201">
        <f t="shared" si="438"/>
        <v>15</v>
      </c>
      <c r="AX409" s="201">
        <f t="shared" si="430"/>
        <v>36.317500000000003</v>
      </c>
      <c r="AY409" s="208"/>
      <c r="AZ409" s="201">
        <f t="shared" si="431"/>
        <v>0</v>
      </c>
      <c r="BA409" s="201">
        <f t="shared" si="432"/>
        <v>0</v>
      </c>
      <c r="BB409" s="201">
        <f t="shared" si="433"/>
        <v>0</v>
      </c>
      <c r="BC409" s="201"/>
      <c r="BD409" s="209">
        <v>0</v>
      </c>
      <c r="BE409" s="201">
        <f t="shared" si="444"/>
        <v>0</v>
      </c>
      <c r="BF409" s="208"/>
      <c r="BG409" s="201">
        <f t="shared" si="441"/>
        <v>0</v>
      </c>
      <c r="BH409" s="201">
        <f t="shared" si="441"/>
        <v>145270</v>
      </c>
      <c r="BI409" s="201">
        <f t="shared" si="434"/>
        <v>145270</v>
      </c>
      <c r="BJ409" s="201">
        <f t="shared" si="435"/>
        <v>36.317500000000003</v>
      </c>
      <c r="BK409" s="210">
        <v>10</v>
      </c>
      <c r="BL409" s="210">
        <v>20</v>
      </c>
      <c r="BM409" s="211"/>
      <c r="BN409" s="211"/>
      <c r="BO409" s="212">
        <f t="shared" si="436"/>
        <v>0</v>
      </c>
      <c r="BP409" s="201">
        <f t="shared" si="437"/>
        <v>254730</v>
      </c>
      <c r="BQ409" s="201">
        <f t="shared" si="445"/>
        <v>254730</v>
      </c>
      <c r="BR409" s="201">
        <f t="shared" si="442"/>
        <v>0</v>
      </c>
      <c r="BS409" s="201">
        <f t="shared" si="442"/>
        <v>254730</v>
      </c>
      <c r="BT409" s="201">
        <f t="shared" si="446"/>
        <v>254730</v>
      </c>
      <c r="BU409" s="213">
        <f t="shared" si="439"/>
        <v>0</v>
      </c>
      <c r="BV409" s="201"/>
      <c r="BW409" s="201"/>
      <c r="BX409" s="201">
        <f t="shared" si="447"/>
        <v>0</v>
      </c>
      <c r="BY409" s="199">
        <v>20000</v>
      </c>
      <c r="BZ409" s="199">
        <v>40000</v>
      </c>
      <c r="CA409" s="199">
        <v>40000</v>
      </c>
      <c r="CB409" s="199">
        <v>40000</v>
      </c>
      <c r="CC409" s="199">
        <v>60000</v>
      </c>
      <c r="CD409" s="199">
        <v>60000</v>
      </c>
      <c r="CE409" s="199">
        <v>60000</v>
      </c>
      <c r="CF409" s="199">
        <v>60000</v>
      </c>
      <c r="CG409" s="199">
        <v>20000</v>
      </c>
      <c r="CH409" s="199"/>
      <c r="CI409" s="199"/>
      <c r="CJ409" s="199">
        <v>0</v>
      </c>
      <c r="CK409" s="214" t="s">
        <v>1064</v>
      </c>
      <c r="CL409" s="214" t="s">
        <v>610</v>
      </c>
      <c r="CM409" s="211">
        <v>198</v>
      </c>
      <c r="CN409" s="215"/>
      <c r="CO409" s="215"/>
      <c r="CP409" s="216"/>
      <c r="CQ409" s="217"/>
      <c r="CR409" s="211"/>
      <c r="CS409" s="218"/>
      <c r="CT409" s="218"/>
      <c r="CU409" s="218"/>
      <c r="CV409" s="211"/>
      <c r="CW409" s="211"/>
      <c r="CX409" s="211"/>
      <c r="CY409" s="211"/>
      <c r="CZ409" s="211"/>
      <c r="DA409" s="211"/>
      <c r="DB409" s="211"/>
      <c r="DC409" s="219"/>
      <c r="DD409" s="219"/>
      <c r="DE409" s="219"/>
      <c r="DF409" s="211"/>
      <c r="DG409" s="211"/>
      <c r="DH409" s="211"/>
      <c r="DI409" s="211"/>
      <c r="DJ409" s="211"/>
      <c r="DK409" s="220" t="s">
        <v>32</v>
      </c>
      <c r="DT409" s="222"/>
    </row>
    <row r="410" spans="1:124" s="176" customFormat="1" ht="42" x14ac:dyDescent="0.2">
      <c r="A410" s="225" t="s">
        <v>136</v>
      </c>
      <c r="B410" s="197" t="s">
        <v>1065</v>
      </c>
      <c r="C410" s="198">
        <v>1</v>
      </c>
      <c r="D410" s="199">
        <v>5000000</v>
      </c>
      <c r="E410" s="198" t="s">
        <v>138</v>
      </c>
      <c r="F410" s="198" t="s">
        <v>138</v>
      </c>
      <c r="G410" s="198" t="s">
        <v>139</v>
      </c>
      <c r="H410" s="200">
        <v>1</v>
      </c>
      <c r="I410" s="199">
        <f t="shared" si="413"/>
        <v>0</v>
      </c>
      <c r="J410" s="199">
        <f t="shared" si="414"/>
        <v>5000000</v>
      </c>
      <c r="K410" s="199">
        <f t="shared" si="415"/>
        <v>5000000</v>
      </c>
      <c r="L410" s="199"/>
      <c r="M410" s="199">
        <v>5000000</v>
      </c>
      <c r="N410" s="199">
        <f t="shared" si="416"/>
        <v>5000000</v>
      </c>
      <c r="O410" s="199"/>
      <c r="P410" s="201">
        <v>0</v>
      </c>
      <c r="Q410" s="202">
        <v>15</v>
      </c>
      <c r="R410" s="203">
        <v>45566</v>
      </c>
      <c r="S410" s="199"/>
      <c r="T410" s="199">
        <v>5000000</v>
      </c>
      <c r="U410" s="204">
        <f t="shared" si="417"/>
        <v>5000000</v>
      </c>
      <c r="V410" s="205"/>
      <c r="W410" s="200"/>
      <c r="X410" s="201"/>
      <c r="Y410" s="201"/>
      <c r="Z410" s="201">
        <f t="shared" si="418"/>
        <v>0</v>
      </c>
      <c r="AA410" s="198"/>
      <c r="AB410" s="206"/>
      <c r="AC410" s="207"/>
      <c r="AD410" s="201"/>
      <c r="AE410" s="204">
        <f t="shared" si="419"/>
        <v>0</v>
      </c>
      <c r="AF410" s="203">
        <f t="shared" si="420"/>
        <v>45566</v>
      </c>
      <c r="AG410" s="201">
        <f t="shared" si="421"/>
        <v>0</v>
      </c>
      <c r="AH410" s="201">
        <f t="shared" si="422"/>
        <v>5000000</v>
      </c>
      <c r="AI410" s="199">
        <f t="shared" si="423"/>
        <v>5000000</v>
      </c>
      <c r="AJ410" s="201">
        <f t="shared" si="443"/>
        <v>0</v>
      </c>
      <c r="AK410" s="201">
        <f t="shared" si="443"/>
        <v>5000000</v>
      </c>
      <c r="AL410" s="201">
        <f t="shared" si="424"/>
        <v>5000000</v>
      </c>
      <c r="AM410" s="198"/>
      <c r="AN410" s="203"/>
      <c r="AO410" s="208"/>
      <c r="AP410" s="201">
        <f t="shared" si="425"/>
        <v>0</v>
      </c>
      <c r="AQ410" s="201">
        <f t="shared" si="426"/>
        <v>3148408.25</v>
      </c>
      <c r="AR410" s="201">
        <f t="shared" si="427"/>
        <v>3148408.25</v>
      </c>
      <c r="AS410" s="201">
        <f t="shared" si="428"/>
        <v>62.968164999999999</v>
      </c>
      <c r="AT410" s="201"/>
      <c r="AU410" s="209">
        <v>3148408.25</v>
      </c>
      <c r="AV410" s="201">
        <f t="shared" si="429"/>
        <v>3148408.25</v>
      </c>
      <c r="AW410" s="201">
        <f t="shared" si="438"/>
        <v>15</v>
      </c>
      <c r="AX410" s="201">
        <f t="shared" si="430"/>
        <v>62.968164999999999</v>
      </c>
      <c r="AY410" s="208"/>
      <c r="AZ410" s="201">
        <f t="shared" si="431"/>
        <v>0</v>
      </c>
      <c r="BA410" s="201">
        <f t="shared" si="432"/>
        <v>0</v>
      </c>
      <c r="BB410" s="201">
        <f t="shared" si="433"/>
        <v>0</v>
      </c>
      <c r="BC410" s="201"/>
      <c r="BD410" s="209">
        <v>0</v>
      </c>
      <c r="BE410" s="201">
        <f t="shared" si="444"/>
        <v>0</v>
      </c>
      <c r="BF410" s="208"/>
      <c r="BG410" s="201">
        <f t="shared" si="441"/>
        <v>0</v>
      </c>
      <c r="BH410" s="201">
        <f t="shared" si="441"/>
        <v>3148408.25</v>
      </c>
      <c r="BI410" s="201">
        <f t="shared" si="434"/>
        <v>3148408.25</v>
      </c>
      <c r="BJ410" s="201">
        <f t="shared" si="435"/>
        <v>62.968164999999999</v>
      </c>
      <c r="BK410" s="210">
        <v>10</v>
      </c>
      <c r="BL410" s="210">
        <v>40</v>
      </c>
      <c r="BM410" s="211"/>
      <c r="BN410" s="211"/>
      <c r="BO410" s="212">
        <f t="shared" si="436"/>
        <v>0</v>
      </c>
      <c r="BP410" s="201">
        <f t="shared" si="437"/>
        <v>1851591.75</v>
      </c>
      <c r="BQ410" s="201">
        <f t="shared" si="445"/>
        <v>1851591.75</v>
      </c>
      <c r="BR410" s="201">
        <f t="shared" si="442"/>
        <v>0</v>
      </c>
      <c r="BS410" s="201">
        <f t="shared" si="442"/>
        <v>1851591.75</v>
      </c>
      <c r="BT410" s="201">
        <f t="shared" si="446"/>
        <v>1851591.75</v>
      </c>
      <c r="BU410" s="213">
        <f t="shared" si="439"/>
        <v>0</v>
      </c>
      <c r="BV410" s="201"/>
      <c r="BW410" s="201"/>
      <c r="BX410" s="201">
        <f t="shared" si="447"/>
        <v>0</v>
      </c>
      <c r="BY410" s="199">
        <v>250000</v>
      </c>
      <c r="BZ410" s="199">
        <v>500000</v>
      </c>
      <c r="CA410" s="199">
        <v>500000</v>
      </c>
      <c r="CB410" s="199">
        <v>500000</v>
      </c>
      <c r="CC410" s="199">
        <v>750000</v>
      </c>
      <c r="CD410" s="199">
        <v>750000</v>
      </c>
      <c r="CE410" s="199">
        <v>750000</v>
      </c>
      <c r="CF410" s="199">
        <v>750000</v>
      </c>
      <c r="CG410" s="199">
        <v>250000</v>
      </c>
      <c r="CH410" s="199"/>
      <c r="CI410" s="199"/>
      <c r="CJ410" s="199">
        <v>0</v>
      </c>
      <c r="CK410" s="214" t="s">
        <v>1066</v>
      </c>
      <c r="CL410" s="214" t="s">
        <v>610</v>
      </c>
      <c r="CM410" s="211">
        <v>198</v>
      </c>
      <c r="CN410" s="215"/>
      <c r="CO410" s="215"/>
      <c r="CP410" s="216"/>
      <c r="CQ410" s="217"/>
      <c r="CR410" s="211"/>
      <c r="CS410" s="218"/>
      <c r="CT410" s="218"/>
      <c r="CU410" s="218"/>
      <c r="CV410" s="211"/>
      <c r="CW410" s="211"/>
      <c r="CX410" s="211"/>
      <c r="CY410" s="211"/>
      <c r="CZ410" s="211"/>
      <c r="DA410" s="211"/>
      <c r="DB410" s="211"/>
      <c r="DC410" s="219"/>
      <c r="DD410" s="219"/>
      <c r="DE410" s="219"/>
      <c r="DF410" s="211"/>
      <c r="DG410" s="211"/>
      <c r="DH410" s="211"/>
      <c r="DI410" s="211"/>
      <c r="DJ410" s="211"/>
      <c r="DK410" s="220" t="s">
        <v>32</v>
      </c>
      <c r="DT410" s="222"/>
    </row>
    <row r="411" spans="1:124" s="176" customFormat="1" ht="42" x14ac:dyDescent="0.2">
      <c r="A411" s="225" t="s">
        <v>197</v>
      </c>
      <c r="B411" s="197" t="s">
        <v>1067</v>
      </c>
      <c r="C411" s="198">
        <v>1</v>
      </c>
      <c r="D411" s="199">
        <v>940000</v>
      </c>
      <c r="E411" s="198" t="s">
        <v>1068</v>
      </c>
      <c r="F411" s="198" t="s">
        <v>150</v>
      </c>
      <c r="G411" s="198" t="s">
        <v>151</v>
      </c>
      <c r="H411" s="200">
        <v>1</v>
      </c>
      <c r="I411" s="199">
        <f t="shared" si="413"/>
        <v>0</v>
      </c>
      <c r="J411" s="199">
        <f t="shared" si="414"/>
        <v>940000</v>
      </c>
      <c r="K411" s="199">
        <f t="shared" si="415"/>
        <v>940000</v>
      </c>
      <c r="L411" s="199"/>
      <c r="M411" s="199">
        <v>940000</v>
      </c>
      <c r="N411" s="199">
        <f t="shared" si="416"/>
        <v>940000</v>
      </c>
      <c r="O411" s="199"/>
      <c r="P411" s="201">
        <v>0</v>
      </c>
      <c r="Q411" s="202">
        <v>15</v>
      </c>
      <c r="R411" s="203">
        <v>45566</v>
      </c>
      <c r="S411" s="199"/>
      <c r="T411" s="199">
        <v>940000</v>
      </c>
      <c r="U411" s="204">
        <f t="shared" si="417"/>
        <v>940000</v>
      </c>
      <c r="V411" s="205"/>
      <c r="W411" s="200"/>
      <c r="X411" s="201"/>
      <c r="Y411" s="201"/>
      <c r="Z411" s="201">
        <f t="shared" si="418"/>
        <v>0</v>
      </c>
      <c r="AA411" s="198"/>
      <c r="AB411" s="206"/>
      <c r="AC411" s="207"/>
      <c r="AD411" s="201"/>
      <c r="AE411" s="204">
        <f t="shared" si="419"/>
        <v>0</v>
      </c>
      <c r="AF411" s="203">
        <f t="shared" si="420"/>
        <v>45566</v>
      </c>
      <c r="AG411" s="201">
        <f t="shared" si="421"/>
        <v>0</v>
      </c>
      <c r="AH411" s="201">
        <f t="shared" si="422"/>
        <v>940000</v>
      </c>
      <c r="AI411" s="199">
        <f t="shared" si="423"/>
        <v>940000</v>
      </c>
      <c r="AJ411" s="201">
        <f t="shared" si="443"/>
        <v>0</v>
      </c>
      <c r="AK411" s="201">
        <f t="shared" si="443"/>
        <v>940000</v>
      </c>
      <c r="AL411" s="201">
        <f t="shared" si="424"/>
        <v>940000</v>
      </c>
      <c r="AM411" s="198"/>
      <c r="AN411" s="203"/>
      <c r="AO411" s="208"/>
      <c r="AP411" s="201">
        <f t="shared" si="425"/>
        <v>0</v>
      </c>
      <c r="AQ411" s="201">
        <f t="shared" si="426"/>
        <v>938829.9</v>
      </c>
      <c r="AR411" s="201">
        <f t="shared" si="427"/>
        <v>938829.9</v>
      </c>
      <c r="AS411" s="201">
        <f t="shared" si="428"/>
        <v>99.875521276595748</v>
      </c>
      <c r="AT411" s="199"/>
      <c r="AU411" s="209">
        <v>938829.9</v>
      </c>
      <c r="AV411" s="199">
        <f t="shared" si="429"/>
        <v>938829.9</v>
      </c>
      <c r="AW411" s="201">
        <f t="shared" si="438"/>
        <v>10</v>
      </c>
      <c r="AX411" s="201">
        <f t="shared" si="430"/>
        <v>99.875521276595748</v>
      </c>
      <c r="AY411" s="208"/>
      <c r="AZ411" s="201">
        <f t="shared" si="431"/>
        <v>0</v>
      </c>
      <c r="BA411" s="201">
        <f t="shared" si="432"/>
        <v>0</v>
      </c>
      <c r="BB411" s="201">
        <f t="shared" si="433"/>
        <v>0</v>
      </c>
      <c r="BC411" s="201"/>
      <c r="BD411" s="209">
        <v>0</v>
      </c>
      <c r="BE411" s="201">
        <f t="shared" si="444"/>
        <v>0</v>
      </c>
      <c r="BF411" s="208"/>
      <c r="BG411" s="201">
        <f t="shared" si="441"/>
        <v>0</v>
      </c>
      <c r="BH411" s="201">
        <f t="shared" si="441"/>
        <v>938829.9</v>
      </c>
      <c r="BI411" s="201">
        <f t="shared" si="434"/>
        <v>938829.9</v>
      </c>
      <c r="BJ411" s="201">
        <f t="shared" si="435"/>
        <v>99.875521276595748</v>
      </c>
      <c r="BK411" s="210">
        <v>26.01</v>
      </c>
      <c r="BL411" s="210">
        <v>100</v>
      </c>
      <c r="BM411" s="211"/>
      <c r="BN411" s="211"/>
      <c r="BO411" s="212">
        <f t="shared" si="436"/>
        <v>0</v>
      </c>
      <c r="BP411" s="201">
        <f t="shared" si="437"/>
        <v>1170.0999999999767</v>
      </c>
      <c r="BQ411" s="201">
        <f t="shared" si="445"/>
        <v>1170.0999999999767</v>
      </c>
      <c r="BR411" s="201">
        <f t="shared" si="442"/>
        <v>0</v>
      </c>
      <c r="BS411" s="201">
        <f t="shared" si="442"/>
        <v>1170.0999999999767</v>
      </c>
      <c r="BT411" s="201">
        <f t="shared" si="446"/>
        <v>1170.0999999999767</v>
      </c>
      <c r="BU411" s="213">
        <f t="shared" si="439"/>
        <v>0</v>
      </c>
      <c r="BV411" s="201"/>
      <c r="BW411" s="201"/>
      <c r="BX411" s="201">
        <f t="shared" si="447"/>
        <v>0</v>
      </c>
      <c r="BY411" s="199">
        <v>94000</v>
      </c>
      <c r="BZ411" s="199">
        <v>94000</v>
      </c>
      <c r="CA411" s="199">
        <v>94000</v>
      </c>
      <c r="CB411" s="199">
        <v>94000</v>
      </c>
      <c r="CC411" s="199">
        <v>141000</v>
      </c>
      <c r="CD411" s="199">
        <v>141000</v>
      </c>
      <c r="CE411" s="199">
        <v>141000</v>
      </c>
      <c r="CF411" s="199">
        <v>94000</v>
      </c>
      <c r="CG411" s="199">
        <v>47000</v>
      </c>
      <c r="CH411" s="199">
        <v>0</v>
      </c>
      <c r="CI411" s="199">
        <v>0</v>
      </c>
      <c r="CJ411" s="199">
        <v>0</v>
      </c>
      <c r="CK411" s="214" t="s">
        <v>1069</v>
      </c>
      <c r="CL411" s="214" t="s">
        <v>610</v>
      </c>
      <c r="CM411" s="211">
        <v>198</v>
      </c>
      <c r="CN411" s="215"/>
      <c r="CO411" s="215"/>
      <c r="CP411" s="216"/>
      <c r="CQ411" s="217"/>
      <c r="CR411" s="211"/>
      <c r="CS411" s="218"/>
      <c r="CT411" s="218"/>
      <c r="CU411" s="218"/>
      <c r="CV411" s="211"/>
      <c r="CW411" s="211"/>
      <c r="CX411" s="211"/>
      <c r="CY411" s="211"/>
      <c r="CZ411" s="211"/>
      <c r="DA411" s="211"/>
      <c r="DB411" s="211"/>
      <c r="DC411" s="219"/>
      <c r="DD411" s="219"/>
      <c r="DE411" s="219"/>
      <c r="DF411" s="211"/>
      <c r="DG411" s="211"/>
      <c r="DH411" s="211"/>
      <c r="DI411" s="211"/>
      <c r="DJ411" s="211"/>
      <c r="DK411" s="220" t="s">
        <v>32</v>
      </c>
      <c r="DT411" s="222"/>
    </row>
    <row r="412" spans="1:124" s="176" customFormat="1" ht="42" x14ac:dyDescent="0.2">
      <c r="A412" s="225" t="s">
        <v>208</v>
      </c>
      <c r="B412" s="197" t="s">
        <v>1070</v>
      </c>
      <c r="C412" s="198">
        <v>1</v>
      </c>
      <c r="D412" s="199">
        <v>3000000</v>
      </c>
      <c r="E412" s="198" t="s">
        <v>1068</v>
      </c>
      <c r="F412" s="198" t="s">
        <v>150</v>
      </c>
      <c r="G412" s="198" t="s">
        <v>151</v>
      </c>
      <c r="H412" s="200">
        <v>1</v>
      </c>
      <c r="I412" s="199">
        <f t="shared" si="413"/>
        <v>0</v>
      </c>
      <c r="J412" s="199">
        <f t="shared" si="414"/>
        <v>3000000</v>
      </c>
      <c r="K412" s="199">
        <f t="shared" si="415"/>
        <v>3000000</v>
      </c>
      <c r="L412" s="199"/>
      <c r="M412" s="199">
        <v>3000000</v>
      </c>
      <c r="N412" s="199">
        <f t="shared" si="416"/>
        <v>3000000</v>
      </c>
      <c r="O412" s="199"/>
      <c r="P412" s="201">
        <v>0</v>
      </c>
      <c r="Q412" s="202">
        <v>15</v>
      </c>
      <c r="R412" s="203">
        <v>45566</v>
      </c>
      <c r="S412" s="199"/>
      <c r="T412" s="199">
        <v>3000000</v>
      </c>
      <c r="U412" s="204">
        <f t="shared" si="417"/>
        <v>3000000</v>
      </c>
      <c r="V412" s="205"/>
      <c r="W412" s="200"/>
      <c r="X412" s="201"/>
      <c r="Y412" s="201"/>
      <c r="Z412" s="201">
        <f t="shared" si="418"/>
        <v>0</v>
      </c>
      <c r="AA412" s="198"/>
      <c r="AB412" s="206"/>
      <c r="AC412" s="207"/>
      <c r="AD412" s="201"/>
      <c r="AE412" s="204">
        <f t="shared" si="419"/>
        <v>0</v>
      </c>
      <c r="AF412" s="203">
        <f t="shared" si="420"/>
        <v>45566</v>
      </c>
      <c r="AG412" s="201">
        <f t="shared" si="421"/>
        <v>0</v>
      </c>
      <c r="AH412" s="201">
        <f t="shared" si="422"/>
        <v>3000000</v>
      </c>
      <c r="AI412" s="199">
        <f t="shared" si="423"/>
        <v>3000000</v>
      </c>
      <c r="AJ412" s="201">
        <f t="shared" si="443"/>
        <v>0</v>
      </c>
      <c r="AK412" s="201">
        <f t="shared" si="443"/>
        <v>3000000</v>
      </c>
      <c r="AL412" s="201">
        <f t="shared" si="424"/>
        <v>3000000</v>
      </c>
      <c r="AM412" s="198"/>
      <c r="AN412" s="203"/>
      <c r="AO412" s="208"/>
      <c r="AP412" s="201">
        <f t="shared" si="425"/>
        <v>0</v>
      </c>
      <c r="AQ412" s="201">
        <f t="shared" si="426"/>
        <v>1601280.65</v>
      </c>
      <c r="AR412" s="201">
        <f t="shared" si="427"/>
        <v>1601280.65</v>
      </c>
      <c r="AS412" s="201">
        <f t="shared" si="428"/>
        <v>53.376021666666666</v>
      </c>
      <c r="AT412" s="199"/>
      <c r="AU412" s="252">
        <v>1601280.65</v>
      </c>
      <c r="AV412" s="199">
        <f t="shared" si="429"/>
        <v>1601280.65</v>
      </c>
      <c r="AW412" s="201">
        <f t="shared" si="438"/>
        <v>0</v>
      </c>
      <c r="AX412" s="201">
        <f t="shared" si="430"/>
        <v>53.376021666666666</v>
      </c>
      <c r="AY412" s="208"/>
      <c r="AZ412" s="201">
        <f t="shared" si="431"/>
        <v>0</v>
      </c>
      <c r="BA412" s="201">
        <f t="shared" si="432"/>
        <v>33750</v>
      </c>
      <c r="BB412" s="201">
        <f t="shared" si="433"/>
        <v>33750</v>
      </c>
      <c r="BC412" s="201"/>
      <c r="BD412" s="209">
        <v>33750</v>
      </c>
      <c r="BE412" s="201">
        <f t="shared" si="444"/>
        <v>33750</v>
      </c>
      <c r="BF412" s="208"/>
      <c r="BG412" s="201">
        <f t="shared" si="441"/>
        <v>0</v>
      </c>
      <c r="BH412" s="201">
        <f t="shared" si="441"/>
        <v>1635030.65</v>
      </c>
      <c r="BI412" s="201">
        <f t="shared" si="434"/>
        <v>1635030.65</v>
      </c>
      <c r="BJ412" s="201">
        <f t="shared" si="435"/>
        <v>54.501021666666666</v>
      </c>
      <c r="BK412" s="210">
        <v>43</v>
      </c>
      <c r="BL412" s="210">
        <v>30</v>
      </c>
      <c r="BM412" s="211"/>
      <c r="BN412" s="211"/>
      <c r="BO412" s="212">
        <f t="shared" si="436"/>
        <v>0</v>
      </c>
      <c r="BP412" s="201">
        <f t="shared" si="437"/>
        <v>1398719.35</v>
      </c>
      <c r="BQ412" s="201">
        <f t="shared" si="445"/>
        <v>1398719.35</v>
      </c>
      <c r="BR412" s="201">
        <f t="shared" si="442"/>
        <v>0</v>
      </c>
      <c r="BS412" s="201">
        <f t="shared" si="442"/>
        <v>1398719.35</v>
      </c>
      <c r="BT412" s="201">
        <f t="shared" si="446"/>
        <v>1398719.35</v>
      </c>
      <c r="BU412" s="213">
        <f t="shared" si="439"/>
        <v>0</v>
      </c>
      <c r="BV412" s="201"/>
      <c r="BW412" s="201"/>
      <c r="BX412" s="201">
        <f t="shared" si="447"/>
        <v>0</v>
      </c>
      <c r="BY412" s="199">
        <v>300000</v>
      </c>
      <c r="BZ412" s="199">
        <v>500000</v>
      </c>
      <c r="CA412" s="199">
        <v>500000</v>
      </c>
      <c r="CB412" s="199">
        <v>500000</v>
      </c>
      <c r="CC412" s="199">
        <v>600000</v>
      </c>
      <c r="CD412" s="199">
        <v>600000</v>
      </c>
      <c r="CE412" s="199">
        <v>0</v>
      </c>
      <c r="CF412" s="199">
        <v>0</v>
      </c>
      <c r="CG412" s="199">
        <v>0</v>
      </c>
      <c r="CH412" s="199">
        <v>0</v>
      </c>
      <c r="CI412" s="199">
        <v>0</v>
      </c>
      <c r="CJ412" s="199">
        <v>0</v>
      </c>
      <c r="CK412" s="214" t="s">
        <v>1071</v>
      </c>
      <c r="CL412" s="214" t="s">
        <v>610</v>
      </c>
      <c r="CM412" s="211">
        <v>198</v>
      </c>
      <c r="CN412" s="215"/>
      <c r="CO412" s="215"/>
      <c r="CP412" s="216"/>
      <c r="CQ412" s="217"/>
      <c r="CR412" s="211"/>
      <c r="CS412" s="218"/>
      <c r="CT412" s="218"/>
      <c r="CU412" s="218"/>
      <c r="CV412" s="211"/>
      <c r="CW412" s="211"/>
      <c r="CX412" s="211"/>
      <c r="CY412" s="211"/>
      <c r="CZ412" s="211"/>
      <c r="DA412" s="211"/>
      <c r="DB412" s="211"/>
      <c r="DC412" s="219"/>
      <c r="DD412" s="219"/>
      <c r="DE412" s="219"/>
      <c r="DF412" s="211"/>
      <c r="DG412" s="211"/>
      <c r="DH412" s="211"/>
      <c r="DI412" s="211"/>
      <c r="DJ412" s="211"/>
      <c r="DK412" s="220" t="s">
        <v>32</v>
      </c>
      <c r="DT412" s="222"/>
    </row>
    <row r="413" spans="1:124" s="176" customFormat="1" ht="42" x14ac:dyDescent="0.2">
      <c r="A413" s="225" t="s">
        <v>197</v>
      </c>
      <c r="B413" s="197" t="s">
        <v>1072</v>
      </c>
      <c r="C413" s="198">
        <v>1</v>
      </c>
      <c r="D413" s="199">
        <v>5900000</v>
      </c>
      <c r="E413" s="198" t="s">
        <v>1073</v>
      </c>
      <c r="F413" s="198" t="s">
        <v>271</v>
      </c>
      <c r="G413" s="198" t="s">
        <v>151</v>
      </c>
      <c r="H413" s="200">
        <v>1</v>
      </c>
      <c r="I413" s="199">
        <f t="shared" si="413"/>
        <v>0</v>
      </c>
      <c r="J413" s="199">
        <f t="shared" si="414"/>
        <v>5900000</v>
      </c>
      <c r="K413" s="199">
        <f t="shared" si="415"/>
        <v>5900000</v>
      </c>
      <c r="L413" s="199"/>
      <c r="M413" s="199">
        <v>5900000</v>
      </c>
      <c r="N413" s="199">
        <f t="shared" si="416"/>
        <v>5900000</v>
      </c>
      <c r="O413" s="199"/>
      <c r="P413" s="201">
        <v>0</v>
      </c>
      <c r="Q413" s="202">
        <v>15</v>
      </c>
      <c r="R413" s="203">
        <v>45566</v>
      </c>
      <c r="S413" s="199"/>
      <c r="T413" s="199">
        <v>5900000</v>
      </c>
      <c r="U413" s="204">
        <f t="shared" si="417"/>
        <v>5900000</v>
      </c>
      <c r="V413" s="205"/>
      <c r="W413" s="200"/>
      <c r="X413" s="201"/>
      <c r="Y413" s="201"/>
      <c r="Z413" s="201">
        <f t="shared" si="418"/>
        <v>0</v>
      </c>
      <c r="AA413" s="198"/>
      <c r="AB413" s="206"/>
      <c r="AC413" s="207"/>
      <c r="AD413" s="201"/>
      <c r="AE413" s="204">
        <f t="shared" si="419"/>
        <v>0</v>
      </c>
      <c r="AF413" s="203">
        <f t="shared" si="420"/>
        <v>45566</v>
      </c>
      <c r="AG413" s="201">
        <f t="shared" si="421"/>
        <v>0</v>
      </c>
      <c r="AH413" s="201">
        <f t="shared" si="422"/>
        <v>5900000</v>
      </c>
      <c r="AI413" s="199">
        <f t="shared" si="423"/>
        <v>5900000</v>
      </c>
      <c r="AJ413" s="201">
        <f t="shared" si="443"/>
        <v>0</v>
      </c>
      <c r="AK413" s="201">
        <f t="shared" si="443"/>
        <v>5900000</v>
      </c>
      <c r="AL413" s="201">
        <f t="shared" si="424"/>
        <v>5900000</v>
      </c>
      <c r="AM413" s="198"/>
      <c r="AN413" s="203"/>
      <c r="AO413" s="208"/>
      <c r="AP413" s="201">
        <f t="shared" si="425"/>
        <v>0</v>
      </c>
      <c r="AQ413" s="201">
        <f t="shared" si="426"/>
        <v>4807764.95</v>
      </c>
      <c r="AR413" s="201">
        <f t="shared" si="427"/>
        <v>4807764.95</v>
      </c>
      <c r="AS413" s="201">
        <f t="shared" si="428"/>
        <v>81.487541525423723</v>
      </c>
      <c r="AT413" s="201"/>
      <c r="AU413" s="209">
        <v>4807764.95</v>
      </c>
      <c r="AV413" s="201">
        <f t="shared" si="429"/>
        <v>4807764.95</v>
      </c>
      <c r="AW413" s="201">
        <f t="shared" si="438"/>
        <v>10</v>
      </c>
      <c r="AX413" s="201">
        <f t="shared" si="430"/>
        <v>81.487541525423723</v>
      </c>
      <c r="AY413" s="208"/>
      <c r="AZ413" s="201">
        <f t="shared" si="431"/>
        <v>0</v>
      </c>
      <c r="BA413" s="201">
        <f t="shared" si="432"/>
        <v>650650</v>
      </c>
      <c r="BB413" s="201">
        <f t="shared" si="433"/>
        <v>650650</v>
      </c>
      <c r="BC413" s="201"/>
      <c r="BD413" s="209">
        <v>650650</v>
      </c>
      <c r="BE413" s="201">
        <f t="shared" si="444"/>
        <v>650650</v>
      </c>
      <c r="BF413" s="208"/>
      <c r="BG413" s="201">
        <f t="shared" si="441"/>
        <v>0</v>
      </c>
      <c r="BH413" s="201">
        <f t="shared" si="441"/>
        <v>5458414.9500000002</v>
      </c>
      <c r="BI413" s="201">
        <f t="shared" si="434"/>
        <v>5458414.9500000002</v>
      </c>
      <c r="BJ413" s="201">
        <f t="shared" si="435"/>
        <v>92.515507627118637</v>
      </c>
      <c r="BK413" s="210">
        <v>15.44</v>
      </c>
      <c r="BL413" s="210">
        <v>90</v>
      </c>
      <c r="BM413" s="211"/>
      <c r="BN413" s="211"/>
      <c r="BO413" s="212">
        <f t="shared" si="436"/>
        <v>0</v>
      </c>
      <c r="BP413" s="201">
        <f t="shared" si="437"/>
        <v>1092235.0499999998</v>
      </c>
      <c r="BQ413" s="201">
        <f t="shared" si="445"/>
        <v>1092235.0499999998</v>
      </c>
      <c r="BR413" s="201">
        <f t="shared" si="442"/>
        <v>0</v>
      </c>
      <c r="BS413" s="201">
        <f t="shared" si="442"/>
        <v>1092235.0499999998</v>
      </c>
      <c r="BT413" s="201">
        <f t="shared" si="446"/>
        <v>1092235.0499999998</v>
      </c>
      <c r="BU413" s="213">
        <f t="shared" si="439"/>
        <v>0</v>
      </c>
      <c r="BV413" s="201"/>
      <c r="BW413" s="201"/>
      <c r="BX413" s="201">
        <f t="shared" si="447"/>
        <v>0</v>
      </c>
      <c r="BY413" s="199">
        <v>177000</v>
      </c>
      <c r="BZ413" s="199">
        <v>295000</v>
      </c>
      <c r="CA413" s="199">
        <v>413000</v>
      </c>
      <c r="CB413" s="199">
        <v>531000</v>
      </c>
      <c r="CC413" s="199">
        <v>590000</v>
      </c>
      <c r="CD413" s="199">
        <v>885000</v>
      </c>
      <c r="CE413" s="199">
        <v>885000</v>
      </c>
      <c r="CF413" s="199">
        <v>590000</v>
      </c>
      <c r="CG413" s="199">
        <v>590000</v>
      </c>
      <c r="CH413" s="199">
        <v>472000</v>
      </c>
      <c r="CI413" s="199">
        <v>295000</v>
      </c>
      <c r="CJ413" s="199">
        <v>177000</v>
      </c>
      <c r="CK413" s="214" t="s">
        <v>1074</v>
      </c>
      <c r="CL413" s="214" t="s">
        <v>610</v>
      </c>
      <c r="CM413" s="211">
        <v>198</v>
      </c>
      <c r="CN413" s="215"/>
      <c r="CO413" s="215"/>
      <c r="CP413" s="216"/>
      <c r="CQ413" s="217"/>
      <c r="CR413" s="211"/>
      <c r="CS413" s="218"/>
      <c r="CT413" s="218"/>
      <c r="CU413" s="218"/>
      <c r="CV413" s="211"/>
      <c r="CW413" s="211"/>
      <c r="CX413" s="211"/>
      <c r="CY413" s="211"/>
      <c r="CZ413" s="211"/>
      <c r="DA413" s="211"/>
      <c r="DB413" s="211"/>
      <c r="DC413" s="219"/>
      <c r="DD413" s="219"/>
      <c r="DE413" s="219"/>
      <c r="DF413" s="211"/>
      <c r="DG413" s="211"/>
      <c r="DH413" s="211"/>
      <c r="DI413" s="211"/>
      <c r="DJ413" s="211"/>
      <c r="DK413" s="220" t="s">
        <v>32</v>
      </c>
      <c r="DT413" s="222"/>
    </row>
    <row r="414" spans="1:124" s="176" customFormat="1" ht="42" x14ac:dyDescent="0.2">
      <c r="A414" s="225" t="s">
        <v>208</v>
      </c>
      <c r="B414" s="197" t="s">
        <v>1075</v>
      </c>
      <c r="C414" s="198">
        <v>1</v>
      </c>
      <c r="D414" s="199">
        <v>1000000</v>
      </c>
      <c r="E414" s="198" t="s">
        <v>555</v>
      </c>
      <c r="F414" s="198" t="s">
        <v>555</v>
      </c>
      <c r="G414" s="198" t="s">
        <v>151</v>
      </c>
      <c r="H414" s="200">
        <v>1</v>
      </c>
      <c r="I414" s="199">
        <f t="shared" si="413"/>
        <v>0</v>
      </c>
      <c r="J414" s="199">
        <f t="shared" si="414"/>
        <v>1000000</v>
      </c>
      <c r="K414" s="199">
        <f t="shared" si="415"/>
        <v>1000000</v>
      </c>
      <c r="L414" s="199"/>
      <c r="M414" s="199">
        <v>1000000</v>
      </c>
      <c r="N414" s="199">
        <f t="shared" si="416"/>
        <v>1000000</v>
      </c>
      <c r="O414" s="199"/>
      <c r="P414" s="201">
        <v>0</v>
      </c>
      <c r="Q414" s="202">
        <v>15</v>
      </c>
      <c r="R414" s="203">
        <v>45566</v>
      </c>
      <c r="S414" s="199"/>
      <c r="T414" s="199">
        <v>1000000</v>
      </c>
      <c r="U414" s="204">
        <f t="shared" si="417"/>
        <v>1000000</v>
      </c>
      <c r="V414" s="205">
        <v>2242</v>
      </c>
      <c r="W414" s="200">
        <v>45791</v>
      </c>
      <c r="X414" s="201"/>
      <c r="Y414" s="201">
        <v>-1483.95</v>
      </c>
      <c r="Z414" s="201">
        <f t="shared" si="418"/>
        <v>-1483.95</v>
      </c>
      <c r="AA414" s="198"/>
      <c r="AB414" s="206"/>
      <c r="AC414" s="207"/>
      <c r="AD414" s="201"/>
      <c r="AE414" s="204">
        <f t="shared" si="419"/>
        <v>0</v>
      </c>
      <c r="AF414" s="203">
        <f t="shared" si="420"/>
        <v>45566</v>
      </c>
      <c r="AG414" s="201">
        <f t="shared" si="421"/>
        <v>0</v>
      </c>
      <c r="AH414" s="201">
        <f t="shared" si="422"/>
        <v>998516.05</v>
      </c>
      <c r="AI414" s="199">
        <f t="shared" si="423"/>
        <v>998516.05</v>
      </c>
      <c r="AJ414" s="201">
        <f t="shared" si="443"/>
        <v>0</v>
      </c>
      <c r="AK414" s="201">
        <f t="shared" si="443"/>
        <v>998516.05</v>
      </c>
      <c r="AL414" s="201">
        <f t="shared" si="424"/>
        <v>998516.05</v>
      </c>
      <c r="AM414" s="198"/>
      <c r="AN414" s="203"/>
      <c r="AO414" s="208"/>
      <c r="AP414" s="201">
        <f t="shared" si="425"/>
        <v>0</v>
      </c>
      <c r="AQ414" s="201">
        <f t="shared" si="426"/>
        <v>997085.05</v>
      </c>
      <c r="AR414" s="201">
        <f t="shared" si="427"/>
        <v>997085.05</v>
      </c>
      <c r="AS414" s="201">
        <f t="shared" si="428"/>
        <v>99.856687331165077</v>
      </c>
      <c r="AT414" s="201"/>
      <c r="AU414" s="209">
        <v>997085.05</v>
      </c>
      <c r="AV414" s="201">
        <f t="shared" si="429"/>
        <v>997085.05</v>
      </c>
      <c r="AW414" s="201">
        <f t="shared" si="438"/>
        <v>0</v>
      </c>
      <c r="AX414" s="201">
        <f t="shared" si="430"/>
        <v>99.856687331165077</v>
      </c>
      <c r="AY414" s="208"/>
      <c r="AZ414" s="201">
        <f t="shared" si="431"/>
        <v>0</v>
      </c>
      <c r="BA414" s="201">
        <f t="shared" si="432"/>
        <v>0</v>
      </c>
      <c r="BB414" s="201">
        <f t="shared" si="433"/>
        <v>0</v>
      </c>
      <c r="BC414" s="201"/>
      <c r="BD414" s="209">
        <v>0</v>
      </c>
      <c r="BE414" s="201">
        <f t="shared" si="444"/>
        <v>0</v>
      </c>
      <c r="BF414" s="208"/>
      <c r="BG414" s="201">
        <f t="shared" si="441"/>
        <v>0</v>
      </c>
      <c r="BH414" s="201">
        <f t="shared" si="441"/>
        <v>997085.05</v>
      </c>
      <c r="BI414" s="201">
        <f t="shared" si="434"/>
        <v>997085.05</v>
      </c>
      <c r="BJ414" s="201">
        <f t="shared" si="435"/>
        <v>99.856687331165077</v>
      </c>
      <c r="BK414" s="210">
        <v>60</v>
      </c>
      <c r="BL414" s="210">
        <v>100</v>
      </c>
      <c r="BM414" s="211"/>
      <c r="BN414" s="211"/>
      <c r="BO414" s="212">
        <f t="shared" si="436"/>
        <v>0</v>
      </c>
      <c r="BP414" s="201">
        <f t="shared" si="437"/>
        <v>1431</v>
      </c>
      <c r="BQ414" s="201">
        <f t="shared" si="445"/>
        <v>1431</v>
      </c>
      <c r="BR414" s="201">
        <f t="shared" si="442"/>
        <v>0</v>
      </c>
      <c r="BS414" s="201">
        <f t="shared" si="442"/>
        <v>1431</v>
      </c>
      <c r="BT414" s="201">
        <f t="shared" si="446"/>
        <v>1431</v>
      </c>
      <c r="BU414" s="213">
        <f t="shared" si="439"/>
        <v>0</v>
      </c>
      <c r="BV414" s="201">
        <v>1483.95</v>
      </c>
      <c r="BW414" s="201"/>
      <c r="BX414" s="201">
        <f t="shared" si="447"/>
        <v>1483.95</v>
      </c>
      <c r="BY414" s="199">
        <v>300000</v>
      </c>
      <c r="BZ414" s="199">
        <v>150000</v>
      </c>
      <c r="CA414" s="199">
        <v>150000</v>
      </c>
      <c r="CB414" s="199">
        <v>150000</v>
      </c>
      <c r="CC414" s="199">
        <v>150000</v>
      </c>
      <c r="CD414" s="199">
        <v>100000</v>
      </c>
      <c r="CE414" s="199">
        <v>0</v>
      </c>
      <c r="CF414" s="199">
        <v>0</v>
      </c>
      <c r="CG414" s="199">
        <v>0</v>
      </c>
      <c r="CH414" s="199">
        <v>0</v>
      </c>
      <c r="CI414" s="199">
        <v>0</v>
      </c>
      <c r="CJ414" s="199">
        <v>0</v>
      </c>
      <c r="CK414" s="214" t="s">
        <v>1076</v>
      </c>
      <c r="CL414" s="214" t="s">
        <v>610</v>
      </c>
      <c r="CM414" s="211">
        <v>198</v>
      </c>
      <c r="CN414" s="215"/>
      <c r="CO414" s="215"/>
      <c r="CP414" s="216"/>
      <c r="CQ414" s="217"/>
      <c r="CR414" s="211"/>
      <c r="CS414" s="218"/>
      <c r="CT414" s="218"/>
      <c r="CU414" s="218"/>
      <c r="CV414" s="211"/>
      <c r="CW414" s="211"/>
      <c r="CX414" s="211"/>
      <c r="CY414" s="211"/>
      <c r="CZ414" s="211"/>
      <c r="DA414" s="211"/>
      <c r="DB414" s="211"/>
      <c r="DC414" s="219"/>
      <c r="DD414" s="219"/>
      <c r="DE414" s="219"/>
      <c r="DF414" s="211"/>
      <c r="DG414" s="211"/>
      <c r="DH414" s="211"/>
      <c r="DI414" s="211"/>
      <c r="DJ414" s="211"/>
      <c r="DK414" s="220" t="s">
        <v>32</v>
      </c>
      <c r="DT414" s="222"/>
    </row>
    <row r="415" spans="1:124" s="176" customFormat="1" ht="42" x14ac:dyDescent="0.2">
      <c r="A415" s="225" t="s">
        <v>208</v>
      </c>
      <c r="B415" s="197" t="s">
        <v>1077</v>
      </c>
      <c r="C415" s="198">
        <v>1</v>
      </c>
      <c r="D415" s="199">
        <v>500000</v>
      </c>
      <c r="E415" s="198" t="s">
        <v>1078</v>
      </c>
      <c r="F415" s="198" t="s">
        <v>271</v>
      </c>
      <c r="G415" s="198" t="s">
        <v>151</v>
      </c>
      <c r="H415" s="200">
        <v>1</v>
      </c>
      <c r="I415" s="199">
        <f t="shared" ref="I415:I478" si="448">+L415</f>
        <v>0</v>
      </c>
      <c r="J415" s="199">
        <f t="shared" ref="J415:J478" si="449">+O415+M415+P415</f>
        <v>500000</v>
      </c>
      <c r="K415" s="199">
        <f t="shared" ref="K415:K478" si="450">I415+J415</f>
        <v>500000</v>
      </c>
      <c r="L415" s="199"/>
      <c r="M415" s="199">
        <v>500000</v>
      </c>
      <c r="N415" s="199">
        <f t="shared" ref="N415:N478" si="451">L415+M415</f>
        <v>500000</v>
      </c>
      <c r="O415" s="199"/>
      <c r="P415" s="201">
        <v>0</v>
      </c>
      <c r="Q415" s="202">
        <v>15</v>
      </c>
      <c r="R415" s="203">
        <v>45566</v>
      </c>
      <c r="S415" s="199"/>
      <c r="T415" s="199">
        <v>500000</v>
      </c>
      <c r="U415" s="204">
        <f t="shared" ref="U415:U478" si="452">S415+T415</f>
        <v>500000</v>
      </c>
      <c r="V415" s="205">
        <v>2242</v>
      </c>
      <c r="W415" s="200">
        <v>45791</v>
      </c>
      <c r="X415" s="201"/>
      <c r="Y415" s="201">
        <v>-20.239999999999998</v>
      </c>
      <c r="Z415" s="201">
        <f t="shared" ref="Z415:Z478" si="453">X415+Y415</f>
        <v>-20.239999999999998</v>
      </c>
      <c r="AA415" s="198"/>
      <c r="AB415" s="206"/>
      <c r="AC415" s="207"/>
      <c r="AD415" s="201"/>
      <c r="AE415" s="204">
        <f t="shared" ref="AE415:AE478" si="454">AC415+AD415</f>
        <v>0</v>
      </c>
      <c r="AF415" s="203">
        <f t="shared" ref="AF415:AF478" si="455">+R415</f>
        <v>45566</v>
      </c>
      <c r="AG415" s="201">
        <f t="shared" ref="AG415:AG478" si="456">+AJ415</f>
        <v>0</v>
      </c>
      <c r="AH415" s="201">
        <f t="shared" ref="AH415:AH478" si="457">+AK415+AO415</f>
        <v>499979.76</v>
      </c>
      <c r="AI415" s="199">
        <f t="shared" ref="AI415:AI478" si="458">AG415+AH415</f>
        <v>499979.76</v>
      </c>
      <c r="AJ415" s="201">
        <f t="shared" si="443"/>
        <v>0</v>
      </c>
      <c r="AK415" s="201">
        <f t="shared" si="443"/>
        <v>499979.76</v>
      </c>
      <c r="AL415" s="201">
        <f t="shared" ref="AL415:AL478" si="459">SUM(AJ415:AK415)</f>
        <v>499979.76</v>
      </c>
      <c r="AM415" s="198"/>
      <c r="AN415" s="203"/>
      <c r="AO415" s="208"/>
      <c r="AP415" s="201">
        <f t="shared" ref="AP415:AP478" si="460">+AT415</f>
        <v>0</v>
      </c>
      <c r="AQ415" s="201">
        <f t="shared" ref="AQ415:AQ478" si="461">+AU415+AY415</f>
        <v>498866.76</v>
      </c>
      <c r="AR415" s="201">
        <f t="shared" ref="AR415:AR478" si="462">SUM(AP415:AQ415)</f>
        <v>498866.76</v>
      </c>
      <c r="AS415" s="201">
        <f t="shared" ref="AS415:AS478" si="463">IF(AI415= 0,0,(AR415*100/AI415))</f>
        <v>99.777390988787218</v>
      </c>
      <c r="AT415" s="201"/>
      <c r="AU415" s="209">
        <v>498866.76</v>
      </c>
      <c r="AV415" s="201">
        <f t="shared" ref="AV415:AV478" si="464">SUM(AT415:AU415)</f>
        <v>498866.76</v>
      </c>
      <c r="AW415" s="201">
        <f t="shared" si="438"/>
        <v>0</v>
      </c>
      <c r="AX415" s="201">
        <f t="shared" ref="AX415:AX478" si="465">IF(AL415= 0,0,(AV415*100/AL415))</f>
        <v>99.777390988787218</v>
      </c>
      <c r="AY415" s="208"/>
      <c r="AZ415" s="201">
        <f t="shared" ref="AZ415:AZ478" si="466">+BC415</f>
        <v>0</v>
      </c>
      <c r="BA415" s="201">
        <f t="shared" ref="BA415:BA478" si="467">+BD415+BF415</f>
        <v>0</v>
      </c>
      <c r="BB415" s="201">
        <f t="shared" ref="BB415:BB478" si="468">SUM(AZ415:BA415)</f>
        <v>0</v>
      </c>
      <c r="BC415" s="201"/>
      <c r="BD415" s="209">
        <v>0</v>
      </c>
      <c r="BE415" s="201">
        <f t="shared" si="444"/>
        <v>0</v>
      </c>
      <c r="BF415" s="208"/>
      <c r="BG415" s="201">
        <f t="shared" si="441"/>
        <v>0</v>
      </c>
      <c r="BH415" s="201">
        <f t="shared" si="441"/>
        <v>498866.76</v>
      </c>
      <c r="BI415" s="201">
        <f t="shared" ref="BI415:BI478" si="469">SUM(BG415:BH415)</f>
        <v>498866.76</v>
      </c>
      <c r="BJ415" s="201">
        <f t="shared" ref="BJ415:BJ478" si="470">+BI415*100/AI415</f>
        <v>99.777390988787218</v>
      </c>
      <c r="BK415" s="210">
        <v>85</v>
      </c>
      <c r="BL415" s="210">
        <v>100</v>
      </c>
      <c r="BM415" s="211"/>
      <c r="BN415" s="211"/>
      <c r="BO415" s="212">
        <f t="shared" ref="BO415:BO478" si="471">+BR415</f>
        <v>0</v>
      </c>
      <c r="BP415" s="201">
        <f t="shared" ref="BP415:BP478" si="472">+BS415+BU415</f>
        <v>1113</v>
      </c>
      <c r="BQ415" s="201">
        <f t="shared" si="445"/>
        <v>1113</v>
      </c>
      <c r="BR415" s="201">
        <f t="shared" si="442"/>
        <v>0</v>
      </c>
      <c r="BS415" s="201">
        <f t="shared" si="442"/>
        <v>1113</v>
      </c>
      <c r="BT415" s="201">
        <f t="shared" si="446"/>
        <v>1113</v>
      </c>
      <c r="BU415" s="213">
        <f t="shared" si="439"/>
        <v>0</v>
      </c>
      <c r="BV415" s="201">
        <v>20.239999999999998</v>
      </c>
      <c r="BW415" s="201"/>
      <c r="BX415" s="201">
        <f t="shared" si="447"/>
        <v>20.239999999999998</v>
      </c>
      <c r="BY415" s="199">
        <v>225000</v>
      </c>
      <c r="BZ415" s="199">
        <v>100000</v>
      </c>
      <c r="CA415" s="199">
        <v>100000</v>
      </c>
      <c r="CB415" s="199">
        <v>75000</v>
      </c>
      <c r="CC415" s="199"/>
      <c r="CD415" s="199"/>
      <c r="CE415" s="199">
        <v>0</v>
      </c>
      <c r="CF415" s="199">
        <v>0</v>
      </c>
      <c r="CG415" s="199">
        <v>0</v>
      </c>
      <c r="CH415" s="199">
        <v>0</v>
      </c>
      <c r="CI415" s="199">
        <v>0</v>
      </c>
      <c r="CJ415" s="199">
        <v>0</v>
      </c>
      <c r="CK415" s="214" t="s">
        <v>1079</v>
      </c>
      <c r="CL415" s="214" t="s">
        <v>610</v>
      </c>
      <c r="CM415" s="211">
        <v>198</v>
      </c>
      <c r="CN415" s="215"/>
      <c r="CO415" s="215"/>
      <c r="CP415" s="216"/>
      <c r="CQ415" s="217"/>
      <c r="CR415" s="211"/>
      <c r="CS415" s="218"/>
      <c r="CT415" s="218"/>
      <c r="CU415" s="218"/>
      <c r="CV415" s="211"/>
      <c r="CW415" s="211"/>
      <c r="CX415" s="211"/>
      <c r="CY415" s="211"/>
      <c r="CZ415" s="211"/>
      <c r="DA415" s="211"/>
      <c r="DB415" s="211"/>
      <c r="DC415" s="219"/>
      <c r="DD415" s="219"/>
      <c r="DE415" s="219"/>
      <c r="DF415" s="211"/>
      <c r="DG415" s="211"/>
      <c r="DH415" s="211"/>
      <c r="DI415" s="211"/>
      <c r="DJ415" s="211"/>
      <c r="DK415" s="220" t="s">
        <v>32</v>
      </c>
      <c r="DT415" s="222"/>
    </row>
    <row r="416" spans="1:124" s="176" customFormat="1" ht="42" x14ac:dyDescent="0.2">
      <c r="A416" s="195" t="s">
        <v>154</v>
      </c>
      <c r="B416" s="197" t="s">
        <v>1080</v>
      </c>
      <c r="C416" s="198">
        <v>1</v>
      </c>
      <c r="D416" s="199">
        <v>490000</v>
      </c>
      <c r="E416" s="198" t="s">
        <v>1081</v>
      </c>
      <c r="F416" s="198" t="s">
        <v>1082</v>
      </c>
      <c r="G416" s="198" t="s">
        <v>151</v>
      </c>
      <c r="H416" s="200">
        <v>1</v>
      </c>
      <c r="I416" s="199">
        <f t="shared" si="448"/>
        <v>490000</v>
      </c>
      <c r="J416" s="199">
        <f t="shared" si="449"/>
        <v>0</v>
      </c>
      <c r="K416" s="199">
        <f t="shared" si="450"/>
        <v>490000</v>
      </c>
      <c r="L416" s="199">
        <v>490000</v>
      </c>
      <c r="M416" s="199"/>
      <c r="N416" s="199">
        <f t="shared" si="451"/>
        <v>490000</v>
      </c>
      <c r="O416" s="199"/>
      <c r="P416" s="201">
        <v>0</v>
      </c>
      <c r="Q416" s="202"/>
      <c r="R416" s="203"/>
      <c r="S416" s="199"/>
      <c r="T416" s="199"/>
      <c r="U416" s="204">
        <f t="shared" si="452"/>
        <v>0</v>
      </c>
      <c r="V416" s="205"/>
      <c r="W416" s="200"/>
      <c r="X416" s="201"/>
      <c r="Y416" s="201"/>
      <c r="Z416" s="201">
        <f t="shared" si="453"/>
        <v>0</v>
      </c>
      <c r="AA416" s="198"/>
      <c r="AB416" s="206"/>
      <c r="AC416" s="207"/>
      <c r="AD416" s="201"/>
      <c r="AE416" s="204">
        <f t="shared" si="454"/>
        <v>0</v>
      </c>
      <c r="AF416" s="203">
        <f t="shared" si="455"/>
        <v>0</v>
      </c>
      <c r="AG416" s="299">
        <f t="shared" si="456"/>
        <v>0</v>
      </c>
      <c r="AH416" s="299">
        <f t="shared" si="457"/>
        <v>0</v>
      </c>
      <c r="AI416" s="298">
        <f t="shared" si="458"/>
        <v>0</v>
      </c>
      <c r="AJ416" s="201">
        <f t="shared" si="443"/>
        <v>0</v>
      </c>
      <c r="AK416" s="201">
        <f t="shared" si="443"/>
        <v>0</v>
      </c>
      <c r="AL416" s="201">
        <f t="shared" si="459"/>
        <v>0</v>
      </c>
      <c r="AM416" s="247"/>
      <c r="AN416" s="301"/>
      <c r="AO416" s="208"/>
      <c r="AP416" s="299">
        <f t="shared" si="460"/>
        <v>0</v>
      </c>
      <c r="AQ416" s="299">
        <f t="shared" si="461"/>
        <v>0</v>
      </c>
      <c r="AR416" s="299">
        <f t="shared" si="462"/>
        <v>0</v>
      </c>
      <c r="AS416" s="299">
        <f t="shared" si="463"/>
        <v>0</v>
      </c>
      <c r="AT416" s="201"/>
      <c r="AU416" s="209"/>
      <c r="AV416" s="201">
        <f t="shared" si="464"/>
        <v>0</v>
      </c>
      <c r="AW416" s="201" t="e">
        <f t="shared" si="438"/>
        <v>#DIV/0!</v>
      </c>
      <c r="AX416" s="201">
        <f t="shared" si="465"/>
        <v>0</v>
      </c>
      <c r="AY416" s="208"/>
      <c r="AZ416" s="299">
        <f t="shared" si="466"/>
        <v>0</v>
      </c>
      <c r="BA416" s="299">
        <f t="shared" si="467"/>
        <v>0</v>
      </c>
      <c r="BB416" s="299">
        <f t="shared" si="468"/>
        <v>0</v>
      </c>
      <c r="BC416" s="201"/>
      <c r="BD416" s="209"/>
      <c r="BE416" s="201">
        <f t="shared" si="444"/>
        <v>0</v>
      </c>
      <c r="BF416" s="208"/>
      <c r="BG416" s="201">
        <f t="shared" si="441"/>
        <v>0</v>
      </c>
      <c r="BH416" s="201">
        <f>+AQ416+BA416</f>
        <v>0</v>
      </c>
      <c r="BI416" s="201">
        <f t="shared" si="469"/>
        <v>0</v>
      </c>
      <c r="BJ416" s="201" t="e">
        <f t="shared" si="470"/>
        <v>#DIV/0!</v>
      </c>
      <c r="BK416" s="210"/>
      <c r="BL416" s="210"/>
      <c r="BM416" s="211" t="s">
        <v>602</v>
      </c>
      <c r="BN416" s="211"/>
      <c r="BO416" s="212">
        <f t="shared" si="471"/>
        <v>0</v>
      </c>
      <c r="BP416" s="201">
        <f t="shared" si="472"/>
        <v>0</v>
      </c>
      <c r="BQ416" s="201">
        <f t="shared" si="445"/>
        <v>0</v>
      </c>
      <c r="BR416" s="201">
        <f t="shared" si="442"/>
        <v>0</v>
      </c>
      <c r="BS416" s="201">
        <f t="shared" si="442"/>
        <v>0</v>
      </c>
      <c r="BT416" s="201">
        <f t="shared" si="446"/>
        <v>0</v>
      </c>
      <c r="BU416" s="213">
        <f t="shared" si="439"/>
        <v>0</v>
      </c>
      <c r="BV416" s="201"/>
      <c r="BW416" s="201"/>
      <c r="BX416" s="201">
        <f t="shared" si="447"/>
        <v>0</v>
      </c>
      <c r="BY416" s="199"/>
      <c r="BZ416" s="199">
        <v>0</v>
      </c>
      <c r="CA416" s="199">
        <v>0</v>
      </c>
      <c r="CB416" s="199">
        <v>0</v>
      </c>
      <c r="CC416" s="199">
        <v>0</v>
      </c>
      <c r="CD416" s="199">
        <v>0</v>
      </c>
      <c r="CE416" s="199">
        <v>0</v>
      </c>
      <c r="CF416" s="199">
        <v>0</v>
      </c>
      <c r="CG416" s="199">
        <v>0</v>
      </c>
      <c r="CH416" s="199">
        <v>0</v>
      </c>
      <c r="CI416" s="199">
        <v>0</v>
      </c>
      <c r="CJ416" s="199">
        <v>0</v>
      </c>
      <c r="CK416" s="214"/>
      <c r="CL416" s="214"/>
      <c r="CM416" s="211">
        <v>191</v>
      </c>
      <c r="CN416" s="215"/>
      <c r="CO416" s="215"/>
      <c r="CP416" s="216"/>
      <c r="CQ416" s="217"/>
      <c r="CR416" s="211"/>
      <c r="CS416" s="218"/>
      <c r="CT416" s="218"/>
      <c r="CU416" s="218"/>
      <c r="CV416" s="211"/>
      <c r="CW416" s="211"/>
      <c r="CX416" s="211"/>
      <c r="CY416" s="211"/>
      <c r="CZ416" s="211"/>
      <c r="DA416" s="211"/>
      <c r="DB416" s="211"/>
      <c r="DC416" s="219"/>
      <c r="DD416" s="219"/>
      <c r="DE416" s="219"/>
      <c r="DF416" s="211"/>
      <c r="DG416" s="211"/>
      <c r="DH416" s="211"/>
      <c r="DI416" s="211"/>
      <c r="DJ416" s="211"/>
      <c r="DK416" s="220" t="s">
        <v>32</v>
      </c>
      <c r="DT416" s="222"/>
    </row>
    <row r="417" spans="1:124" s="176" customFormat="1" ht="42" x14ac:dyDescent="0.2">
      <c r="A417" s="195" t="s">
        <v>154</v>
      </c>
      <c r="B417" s="197" t="s">
        <v>1083</v>
      </c>
      <c r="C417" s="198">
        <v>1</v>
      </c>
      <c r="D417" s="199">
        <v>9979000</v>
      </c>
      <c r="E417" s="198" t="s">
        <v>156</v>
      </c>
      <c r="F417" s="198" t="s">
        <v>150</v>
      </c>
      <c r="G417" s="198" t="s">
        <v>151</v>
      </c>
      <c r="H417" s="200">
        <v>1</v>
      </c>
      <c r="I417" s="199">
        <f t="shared" si="448"/>
        <v>0</v>
      </c>
      <c r="J417" s="199">
        <f t="shared" si="449"/>
        <v>9979000</v>
      </c>
      <c r="K417" s="199">
        <f t="shared" si="450"/>
        <v>9979000</v>
      </c>
      <c r="L417" s="199"/>
      <c r="M417" s="199">
        <v>9979000</v>
      </c>
      <c r="N417" s="199">
        <f t="shared" si="451"/>
        <v>9979000</v>
      </c>
      <c r="O417" s="199"/>
      <c r="P417" s="201">
        <v>0</v>
      </c>
      <c r="Q417" s="202">
        <v>15</v>
      </c>
      <c r="R417" s="203">
        <v>45566</v>
      </c>
      <c r="S417" s="199"/>
      <c r="T417" s="199">
        <v>9979000</v>
      </c>
      <c r="U417" s="204">
        <f t="shared" si="452"/>
        <v>9979000</v>
      </c>
      <c r="V417" s="205">
        <v>690</v>
      </c>
      <c r="W417" s="200">
        <v>45622</v>
      </c>
      <c r="X417" s="201"/>
      <c r="Y417" s="201">
        <v>-195366</v>
      </c>
      <c r="Z417" s="201">
        <f t="shared" si="453"/>
        <v>-195366</v>
      </c>
      <c r="AA417" s="198">
        <v>1206</v>
      </c>
      <c r="AB417" s="206">
        <v>45672</v>
      </c>
      <c r="AC417" s="207"/>
      <c r="AD417" s="201">
        <f>+-25301.4+-663</f>
        <v>-25964.400000000001</v>
      </c>
      <c r="AE417" s="204">
        <f t="shared" si="454"/>
        <v>-25964.400000000001</v>
      </c>
      <c r="AF417" s="203">
        <f t="shared" si="455"/>
        <v>45566</v>
      </c>
      <c r="AG417" s="201">
        <f t="shared" si="456"/>
        <v>0</v>
      </c>
      <c r="AH417" s="201">
        <f t="shared" si="457"/>
        <v>9757669.5999999996</v>
      </c>
      <c r="AI417" s="199">
        <f t="shared" si="458"/>
        <v>9757669.5999999996</v>
      </c>
      <c r="AJ417" s="201">
        <f t="shared" si="443"/>
        <v>0</v>
      </c>
      <c r="AK417" s="201">
        <f t="shared" si="443"/>
        <v>9757669.5999999996</v>
      </c>
      <c r="AL417" s="201">
        <f t="shared" si="459"/>
        <v>9757669.5999999996</v>
      </c>
      <c r="AM417" s="198"/>
      <c r="AN417" s="203"/>
      <c r="AO417" s="208"/>
      <c r="AP417" s="201">
        <f t="shared" si="460"/>
        <v>0</v>
      </c>
      <c r="AQ417" s="201">
        <f t="shared" si="461"/>
        <v>9171612.6699999999</v>
      </c>
      <c r="AR417" s="201">
        <f t="shared" si="462"/>
        <v>9171612.6699999999</v>
      </c>
      <c r="AS417" s="201">
        <f t="shared" si="463"/>
        <v>93.993884256954146</v>
      </c>
      <c r="AT417" s="201"/>
      <c r="AU417" s="223">
        <v>9171612.6699999999</v>
      </c>
      <c r="AV417" s="201">
        <f t="shared" si="464"/>
        <v>9171612.6699999999</v>
      </c>
      <c r="AW417" s="201">
        <f t="shared" si="438"/>
        <v>10.226827110440386</v>
      </c>
      <c r="AX417" s="201">
        <f t="shared" si="465"/>
        <v>93.993884256954146</v>
      </c>
      <c r="AY417" s="208"/>
      <c r="AZ417" s="201">
        <f t="shared" si="466"/>
        <v>0</v>
      </c>
      <c r="BA417" s="201">
        <f t="shared" si="467"/>
        <v>0</v>
      </c>
      <c r="BB417" s="201">
        <f t="shared" si="468"/>
        <v>0</v>
      </c>
      <c r="BC417" s="201"/>
      <c r="BD417" s="223">
        <v>0</v>
      </c>
      <c r="BE417" s="201">
        <f t="shared" si="444"/>
        <v>0</v>
      </c>
      <c r="BF417" s="208"/>
      <c r="BG417" s="201">
        <f t="shared" si="441"/>
        <v>0</v>
      </c>
      <c r="BH417" s="201">
        <f t="shared" si="441"/>
        <v>9171612.6699999999</v>
      </c>
      <c r="BI417" s="201">
        <f t="shared" si="469"/>
        <v>9171612.6699999999</v>
      </c>
      <c r="BJ417" s="201">
        <f t="shared" si="470"/>
        <v>93.993884256954146</v>
      </c>
      <c r="BK417" s="210">
        <v>26.9</v>
      </c>
      <c r="BL417" s="210">
        <v>90</v>
      </c>
      <c r="BM417" s="211"/>
      <c r="BN417" s="211"/>
      <c r="BO417" s="212">
        <f t="shared" si="471"/>
        <v>0</v>
      </c>
      <c r="BP417" s="201">
        <f t="shared" si="472"/>
        <v>586056.9299999997</v>
      </c>
      <c r="BQ417" s="201">
        <f t="shared" si="445"/>
        <v>586056.9299999997</v>
      </c>
      <c r="BR417" s="201">
        <f t="shared" si="442"/>
        <v>0</v>
      </c>
      <c r="BS417" s="201">
        <f t="shared" si="442"/>
        <v>586056.9299999997</v>
      </c>
      <c r="BT417" s="201">
        <f t="shared" si="446"/>
        <v>586056.9299999997</v>
      </c>
      <c r="BU417" s="213">
        <f t="shared" si="439"/>
        <v>0</v>
      </c>
      <c r="BV417" s="201">
        <f>195366+25301.4+663</f>
        <v>221330.4</v>
      </c>
      <c r="BW417" s="201"/>
      <c r="BX417" s="201">
        <f t="shared" si="447"/>
        <v>221330.4</v>
      </c>
      <c r="BY417" s="199">
        <v>997900</v>
      </c>
      <c r="BZ417" s="199">
        <v>997900</v>
      </c>
      <c r="CA417" s="199">
        <v>997900</v>
      </c>
      <c r="CB417" s="199">
        <v>997900</v>
      </c>
      <c r="CC417" s="199">
        <v>997900</v>
      </c>
      <c r="CD417" s="199">
        <v>997900</v>
      </c>
      <c r="CE417" s="199">
        <v>997900</v>
      </c>
      <c r="CF417" s="199">
        <v>997900</v>
      </c>
      <c r="CG417" s="199">
        <v>997900</v>
      </c>
      <c r="CH417" s="199">
        <v>997900</v>
      </c>
      <c r="CI417" s="199">
        <v>0</v>
      </c>
      <c r="CJ417" s="199">
        <v>0</v>
      </c>
      <c r="CK417" s="214" t="s">
        <v>1084</v>
      </c>
      <c r="CL417" s="214" t="s">
        <v>610</v>
      </c>
      <c r="CM417" s="211">
        <v>198</v>
      </c>
      <c r="CN417" s="215"/>
      <c r="CO417" s="215"/>
      <c r="CP417" s="216"/>
      <c r="CQ417" s="217"/>
      <c r="CR417" s="211"/>
      <c r="CS417" s="218"/>
      <c r="CT417" s="218"/>
      <c r="CU417" s="218"/>
      <c r="CV417" s="211"/>
      <c r="CW417" s="211"/>
      <c r="CX417" s="211"/>
      <c r="CY417" s="211"/>
      <c r="CZ417" s="211"/>
      <c r="DA417" s="211"/>
      <c r="DB417" s="211"/>
      <c r="DC417" s="219"/>
      <c r="DD417" s="219"/>
      <c r="DE417" s="219"/>
      <c r="DF417" s="211"/>
      <c r="DG417" s="211"/>
      <c r="DH417" s="211"/>
      <c r="DI417" s="211"/>
      <c r="DJ417" s="211"/>
      <c r="DK417" s="220" t="s">
        <v>32</v>
      </c>
      <c r="DT417" s="222"/>
    </row>
    <row r="418" spans="1:124" s="176" customFormat="1" ht="42" x14ac:dyDescent="0.2">
      <c r="A418" s="225" t="s">
        <v>208</v>
      </c>
      <c r="B418" s="197" t="s">
        <v>1085</v>
      </c>
      <c r="C418" s="198">
        <v>1</v>
      </c>
      <c r="D418" s="199">
        <v>3000000</v>
      </c>
      <c r="E418" s="198" t="s">
        <v>264</v>
      </c>
      <c r="F418" s="198" t="s">
        <v>150</v>
      </c>
      <c r="G418" s="198" t="s">
        <v>151</v>
      </c>
      <c r="H418" s="200">
        <v>1</v>
      </c>
      <c r="I418" s="199">
        <f t="shared" si="448"/>
        <v>0</v>
      </c>
      <c r="J418" s="199">
        <f t="shared" si="449"/>
        <v>3000000</v>
      </c>
      <c r="K418" s="199">
        <f t="shared" si="450"/>
        <v>3000000</v>
      </c>
      <c r="L418" s="199"/>
      <c r="M418" s="199">
        <v>3000000</v>
      </c>
      <c r="N418" s="199">
        <f t="shared" si="451"/>
        <v>3000000</v>
      </c>
      <c r="O418" s="199"/>
      <c r="P418" s="201">
        <v>0</v>
      </c>
      <c r="Q418" s="202">
        <v>15</v>
      </c>
      <c r="R418" s="203">
        <v>45566</v>
      </c>
      <c r="S418" s="199"/>
      <c r="T418" s="199">
        <v>3000000</v>
      </c>
      <c r="U418" s="204">
        <f t="shared" si="452"/>
        <v>3000000</v>
      </c>
      <c r="V418" s="205">
        <v>2242</v>
      </c>
      <c r="W418" s="200">
        <v>45791</v>
      </c>
      <c r="X418" s="201"/>
      <c r="Y418" s="201">
        <v>-2880.69</v>
      </c>
      <c r="Z418" s="201">
        <f t="shared" si="453"/>
        <v>-2880.69</v>
      </c>
      <c r="AA418" s="198"/>
      <c r="AB418" s="206"/>
      <c r="AC418" s="207"/>
      <c r="AD418" s="201"/>
      <c r="AE418" s="204">
        <f t="shared" si="454"/>
        <v>0</v>
      </c>
      <c r="AF418" s="203">
        <f t="shared" si="455"/>
        <v>45566</v>
      </c>
      <c r="AG418" s="201">
        <f t="shared" si="456"/>
        <v>0</v>
      </c>
      <c r="AH418" s="201">
        <f t="shared" si="457"/>
        <v>2997119.31</v>
      </c>
      <c r="AI418" s="199">
        <f t="shared" si="458"/>
        <v>2997119.31</v>
      </c>
      <c r="AJ418" s="201">
        <f t="shared" si="443"/>
        <v>0</v>
      </c>
      <c r="AK418" s="201">
        <f t="shared" si="443"/>
        <v>2997119.31</v>
      </c>
      <c r="AL418" s="201">
        <f t="shared" si="459"/>
        <v>2997119.31</v>
      </c>
      <c r="AM418" s="198"/>
      <c r="AN418" s="203"/>
      <c r="AO418" s="208"/>
      <c r="AP418" s="201">
        <f t="shared" si="460"/>
        <v>0</v>
      </c>
      <c r="AQ418" s="201">
        <f t="shared" si="461"/>
        <v>2993056.31</v>
      </c>
      <c r="AR418" s="201">
        <f t="shared" si="462"/>
        <v>2993056.31</v>
      </c>
      <c r="AS418" s="201">
        <f t="shared" si="463"/>
        <v>99.864436494521797</v>
      </c>
      <c r="AT418" s="201"/>
      <c r="AU418" s="209">
        <v>2993056.31</v>
      </c>
      <c r="AV418" s="201">
        <f t="shared" si="464"/>
        <v>2993056.31</v>
      </c>
      <c r="AW418" s="201">
        <f t="shared" si="438"/>
        <v>20.019223058557518</v>
      </c>
      <c r="AX418" s="201">
        <f t="shared" si="465"/>
        <v>99.864436494521797</v>
      </c>
      <c r="AY418" s="208"/>
      <c r="AZ418" s="201">
        <f t="shared" si="466"/>
        <v>0</v>
      </c>
      <c r="BA418" s="201">
        <f t="shared" si="467"/>
        <v>0</v>
      </c>
      <c r="BB418" s="201">
        <f t="shared" si="468"/>
        <v>0</v>
      </c>
      <c r="BC418" s="201"/>
      <c r="BD418" s="209">
        <v>0</v>
      </c>
      <c r="BE418" s="201">
        <f t="shared" si="444"/>
        <v>0</v>
      </c>
      <c r="BF418" s="208"/>
      <c r="BG418" s="201">
        <f t="shared" si="441"/>
        <v>0</v>
      </c>
      <c r="BH418" s="201">
        <f t="shared" si="441"/>
        <v>2993056.31</v>
      </c>
      <c r="BI418" s="201">
        <f t="shared" si="469"/>
        <v>2993056.31</v>
      </c>
      <c r="BJ418" s="201">
        <f t="shared" si="470"/>
        <v>99.864436494521797</v>
      </c>
      <c r="BK418" s="210">
        <v>7</v>
      </c>
      <c r="BL418" s="210">
        <v>100</v>
      </c>
      <c r="BM418" s="211"/>
      <c r="BN418" s="211"/>
      <c r="BO418" s="212">
        <f t="shared" si="471"/>
        <v>0</v>
      </c>
      <c r="BP418" s="201">
        <f t="shared" si="472"/>
        <v>4063</v>
      </c>
      <c r="BQ418" s="201">
        <f t="shared" si="445"/>
        <v>4063</v>
      </c>
      <c r="BR418" s="201">
        <f t="shared" si="442"/>
        <v>0</v>
      </c>
      <c r="BS418" s="201">
        <f t="shared" si="442"/>
        <v>4063</v>
      </c>
      <c r="BT418" s="201">
        <f t="shared" si="446"/>
        <v>4063</v>
      </c>
      <c r="BU418" s="213">
        <f t="shared" si="439"/>
        <v>0</v>
      </c>
      <c r="BV418" s="201">
        <v>2880.69</v>
      </c>
      <c r="BW418" s="201"/>
      <c r="BX418" s="201">
        <f t="shared" si="447"/>
        <v>2880.69</v>
      </c>
      <c r="BY418" s="199">
        <v>30000</v>
      </c>
      <c r="BZ418" s="199">
        <v>60000</v>
      </c>
      <c r="CA418" s="199">
        <v>120000</v>
      </c>
      <c r="CB418" s="199">
        <v>150000</v>
      </c>
      <c r="CC418" s="199">
        <v>210000</v>
      </c>
      <c r="CD418" s="199">
        <v>300000</v>
      </c>
      <c r="CE418" s="199">
        <v>450000</v>
      </c>
      <c r="CF418" s="199">
        <v>600000</v>
      </c>
      <c r="CG418" s="199">
        <v>510000</v>
      </c>
      <c r="CH418" s="199">
        <v>300000</v>
      </c>
      <c r="CI418" s="199">
        <v>180000</v>
      </c>
      <c r="CJ418" s="199">
        <v>90000</v>
      </c>
      <c r="CK418" s="214" t="s">
        <v>1086</v>
      </c>
      <c r="CL418" s="214" t="s">
        <v>610</v>
      </c>
      <c r="CM418" s="211">
        <v>198</v>
      </c>
      <c r="CN418" s="215"/>
      <c r="CO418" s="215"/>
      <c r="CP418" s="216"/>
      <c r="CQ418" s="217"/>
      <c r="CR418" s="211"/>
      <c r="CS418" s="218"/>
      <c r="CT418" s="218"/>
      <c r="CU418" s="218"/>
      <c r="CV418" s="211"/>
      <c r="CW418" s="211"/>
      <c r="CX418" s="211"/>
      <c r="CY418" s="211"/>
      <c r="CZ418" s="211"/>
      <c r="DA418" s="211"/>
      <c r="DB418" s="211"/>
      <c r="DC418" s="219"/>
      <c r="DD418" s="219"/>
      <c r="DE418" s="219"/>
      <c r="DF418" s="211"/>
      <c r="DG418" s="211"/>
      <c r="DH418" s="211"/>
      <c r="DI418" s="211"/>
      <c r="DJ418" s="211"/>
      <c r="DK418" s="220" t="s">
        <v>32</v>
      </c>
      <c r="DT418" s="222"/>
    </row>
    <row r="419" spans="1:124" s="176" customFormat="1" ht="42" x14ac:dyDescent="0.2">
      <c r="A419" s="225" t="s">
        <v>208</v>
      </c>
      <c r="B419" s="197" t="s">
        <v>1087</v>
      </c>
      <c r="C419" s="198">
        <v>1</v>
      </c>
      <c r="D419" s="199">
        <v>5000000</v>
      </c>
      <c r="E419" s="198" t="s">
        <v>256</v>
      </c>
      <c r="F419" s="198" t="s">
        <v>256</v>
      </c>
      <c r="G419" s="198" t="s">
        <v>151</v>
      </c>
      <c r="H419" s="200">
        <v>1</v>
      </c>
      <c r="I419" s="199">
        <f t="shared" si="448"/>
        <v>0</v>
      </c>
      <c r="J419" s="199">
        <f t="shared" si="449"/>
        <v>5000000</v>
      </c>
      <c r="K419" s="199">
        <f t="shared" si="450"/>
        <v>5000000</v>
      </c>
      <c r="L419" s="199"/>
      <c r="M419" s="199">
        <v>5000000</v>
      </c>
      <c r="N419" s="199">
        <f t="shared" si="451"/>
        <v>5000000</v>
      </c>
      <c r="O419" s="199"/>
      <c r="P419" s="201">
        <v>0</v>
      </c>
      <c r="Q419" s="202">
        <v>15</v>
      </c>
      <c r="R419" s="203">
        <v>45566</v>
      </c>
      <c r="S419" s="199"/>
      <c r="T419" s="199">
        <v>5000000</v>
      </c>
      <c r="U419" s="204">
        <f t="shared" si="452"/>
        <v>5000000</v>
      </c>
      <c r="V419" s="198">
        <v>690</v>
      </c>
      <c r="W419" s="206">
        <v>45628</v>
      </c>
      <c r="X419" s="201"/>
      <c r="Y419" s="201">
        <v>-241523.08</v>
      </c>
      <c r="Z419" s="201">
        <f t="shared" si="453"/>
        <v>-241523.08</v>
      </c>
      <c r="AA419" s="198"/>
      <c r="AB419" s="206"/>
      <c r="AC419" s="207"/>
      <c r="AD419" s="201"/>
      <c r="AE419" s="204">
        <f t="shared" si="454"/>
        <v>0</v>
      </c>
      <c r="AF419" s="203">
        <f t="shared" si="455"/>
        <v>45566</v>
      </c>
      <c r="AG419" s="201">
        <f t="shared" si="456"/>
        <v>0</v>
      </c>
      <c r="AH419" s="201">
        <f t="shared" si="457"/>
        <v>4758476.92</v>
      </c>
      <c r="AI419" s="199">
        <f t="shared" si="458"/>
        <v>4758476.92</v>
      </c>
      <c r="AJ419" s="201">
        <f t="shared" si="443"/>
        <v>0</v>
      </c>
      <c r="AK419" s="201">
        <f t="shared" si="443"/>
        <v>4758476.92</v>
      </c>
      <c r="AL419" s="201">
        <f t="shared" si="459"/>
        <v>4758476.92</v>
      </c>
      <c r="AM419" s="198"/>
      <c r="AN419" s="203"/>
      <c r="AO419" s="208"/>
      <c r="AP419" s="201">
        <f t="shared" si="460"/>
        <v>0</v>
      </c>
      <c r="AQ419" s="201">
        <f t="shared" si="461"/>
        <v>4736655.34</v>
      </c>
      <c r="AR419" s="201">
        <f t="shared" si="462"/>
        <v>4736655.34</v>
      </c>
      <c r="AS419" s="201">
        <f t="shared" si="463"/>
        <v>99.54141671028637</v>
      </c>
      <c r="AT419" s="201"/>
      <c r="AU419" s="209">
        <v>4736655.34</v>
      </c>
      <c r="AV419" s="201">
        <f t="shared" si="464"/>
        <v>4736655.34</v>
      </c>
      <c r="AW419" s="201">
        <f t="shared" si="438"/>
        <v>10.507563836203287</v>
      </c>
      <c r="AX419" s="201">
        <f t="shared" si="465"/>
        <v>99.54141671028637</v>
      </c>
      <c r="AY419" s="208"/>
      <c r="AZ419" s="201">
        <f t="shared" si="466"/>
        <v>0</v>
      </c>
      <c r="BA419" s="201">
        <f t="shared" si="467"/>
        <v>0</v>
      </c>
      <c r="BB419" s="201">
        <f t="shared" si="468"/>
        <v>0</v>
      </c>
      <c r="BC419" s="201"/>
      <c r="BD419" s="209">
        <v>0</v>
      </c>
      <c r="BE419" s="201">
        <f t="shared" si="444"/>
        <v>0</v>
      </c>
      <c r="BF419" s="208"/>
      <c r="BG419" s="201">
        <f t="shared" si="441"/>
        <v>0</v>
      </c>
      <c r="BH419" s="201">
        <f t="shared" si="441"/>
        <v>4736655.34</v>
      </c>
      <c r="BI419" s="201">
        <f t="shared" si="469"/>
        <v>4736655.34</v>
      </c>
      <c r="BJ419" s="201">
        <f t="shared" si="470"/>
        <v>99.54141671028637</v>
      </c>
      <c r="BK419" s="210">
        <v>27</v>
      </c>
      <c r="BL419" s="210">
        <v>85</v>
      </c>
      <c r="BM419" s="211"/>
      <c r="BN419" s="211"/>
      <c r="BO419" s="212">
        <f t="shared" si="471"/>
        <v>0</v>
      </c>
      <c r="BP419" s="201">
        <f t="shared" si="472"/>
        <v>21821.580000000075</v>
      </c>
      <c r="BQ419" s="201">
        <f t="shared" si="445"/>
        <v>21821.580000000075</v>
      </c>
      <c r="BR419" s="201">
        <f t="shared" si="442"/>
        <v>0</v>
      </c>
      <c r="BS419" s="201">
        <f t="shared" si="442"/>
        <v>21821.580000000075</v>
      </c>
      <c r="BT419" s="201">
        <f t="shared" si="446"/>
        <v>21821.580000000075</v>
      </c>
      <c r="BU419" s="213">
        <f t="shared" si="439"/>
        <v>0</v>
      </c>
      <c r="BV419" s="201">
        <v>241523.08</v>
      </c>
      <c r="BW419" s="201"/>
      <c r="BX419" s="201">
        <f t="shared" si="447"/>
        <v>241523.08</v>
      </c>
      <c r="BY419" s="199">
        <v>350000</v>
      </c>
      <c r="BZ419" s="199">
        <v>500000</v>
      </c>
      <c r="CA419" s="199">
        <v>500000</v>
      </c>
      <c r="CB419" s="199">
        <v>600000</v>
      </c>
      <c r="CC419" s="199">
        <v>600000</v>
      </c>
      <c r="CD419" s="199">
        <v>600000</v>
      </c>
      <c r="CE419" s="199">
        <v>600000</v>
      </c>
      <c r="CF419" s="199">
        <v>500000</v>
      </c>
      <c r="CG419" s="199">
        <v>500000</v>
      </c>
      <c r="CH419" s="199">
        <v>250000</v>
      </c>
      <c r="CI419" s="199"/>
      <c r="CJ419" s="199"/>
      <c r="CK419" s="214" t="s">
        <v>1088</v>
      </c>
      <c r="CL419" s="214" t="s">
        <v>610</v>
      </c>
      <c r="CM419" s="211">
        <v>198</v>
      </c>
      <c r="CN419" s="215"/>
      <c r="CO419" s="215"/>
      <c r="CP419" s="216"/>
      <c r="CQ419" s="217"/>
      <c r="CR419" s="211"/>
      <c r="CS419" s="218"/>
      <c r="CT419" s="218"/>
      <c r="CU419" s="218"/>
      <c r="CV419" s="211"/>
      <c r="CW419" s="211"/>
      <c r="CX419" s="211"/>
      <c r="CY419" s="211"/>
      <c r="CZ419" s="211"/>
      <c r="DA419" s="211"/>
      <c r="DB419" s="211"/>
      <c r="DC419" s="219"/>
      <c r="DD419" s="219"/>
      <c r="DE419" s="219"/>
      <c r="DF419" s="211"/>
      <c r="DG419" s="211"/>
      <c r="DH419" s="211"/>
      <c r="DI419" s="211"/>
      <c r="DJ419" s="211"/>
      <c r="DK419" s="220" t="s">
        <v>32</v>
      </c>
      <c r="DT419" s="222"/>
    </row>
    <row r="420" spans="1:124" s="176" customFormat="1" ht="42" x14ac:dyDescent="0.2">
      <c r="A420" s="225" t="s">
        <v>208</v>
      </c>
      <c r="B420" s="197" t="s">
        <v>1089</v>
      </c>
      <c r="C420" s="198">
        <v>1</v>
      </c>
      <c r="D420" s="199">
        <v>3000000</v>
      </c>
      <c r="E420" s="198" t="s">
        <v>210</v>
      </c>
      <c r="F420" s="198" t="s">
        <v>150</v>
      </c>
      <c r="G420" s="198" t="s">
        <v>151</v>
      </c>
      <c r="H420" s="200">
        <v>1</v>
      </c>
      <c r="I420" s="199">
        <f t="shared" si="448"/>
        <v>0</v>
      </c>
      <c r="J420" s="199">
        <f t="shared" si="449"/>
        <v>3000000</v>
      </c>
      <c r="K420" s="199">
        <f t="shared" si="450"/>
        <v>3000000</v>
      </c>
      <c r="L420" s="199"/>
      <c r="M420" s="199">
        <v>3000000</v>
      </c>
      <c r="N420" s="199">
        <f t="shared" si="451"/>
        <v>3000000</v>
      </c>
      <c r="O420" s="199"/>
      <c r="P420" s="201">
        <v>0</v>
      </c>
      <c r="Q420" s="202">
        <v>15</v>
      </c>
      <c r="R420" s="203">
        <v>45566</v>
      </c>
      <c r="S420" s="199"/>
      <c r="T420" s="199">
        <v>3000000</v>
      </c>
      <c r="U420" s="204">
        <f t="shared" si="452"/>
        <v>3000000</v>
      </c>
      <c r="V420" s="205">
        <v>2242</v>
      </c>
      <c r="W420" s="200">
        <v>45791</v>
      </c>
      <c r="X420" s="201"/>
      <c r="Y420" s="201">
        <v>-1858.02</v>
      </c>
      <c r="Z420" s="201">
        <f t="shared" si="453"/>
        <v>-1858.02</v>
      </c>
      <c r="AA420" s="198"/>
      <c r="AB420" s="206"/>
      <c r="AC420" s="207"/>
      <c r="AD420" s="201"/>
      <c r="AE420" s="204">
        <f t="shared" si="454"/>
        <v>0</v>
      </c>
      <c r="AF420" s="203">
        <f t="shared" si="455"/>
        <v>45566</v>
      </c>
      <c r="AG420" s="201">
        <f t="shared" si="456"/>
        <v>0</v>
      </c>
      <c r="AH420" s="201">
        <f t="shared" si="457"/>
        <v>2998141.98</v>
      </c>
      <c r="AI420" s="199">
        <f t="shared" si="458"/>
        <v>2998141.98</v>
      </c>
      <c r="AJ420" s="201">
        <f t="shared" si="443"/>
        <v>0</v>
      </c>
      <c r="AK420" s="201">
        <f t="shared" si="443"/>
        <v>2998141.98</v>
      </c>
      <c r="AL420" s="201">
        <f t="shared" si="459"/>
        <v>2998141.98</v>
      </c>
      <c r="AM420" s="198"/>
      <c r="AN420" s="203"/>
      <c r="AO420" s="208"/>
      <c r="AP420" s="201">
        <f t="shared" si="460"/>
        <v>0</v>
      </c>
      <c r="AQ420" s="201">
        <f t="shared" si="461"/>
        <v>2993098.98</v>
      </c>
      <c r="AR420" s="201">
        <f t="shared" si="462"/>
        <v>2993098.98</v>
      </c>
      <c r="AS420" s="201">
        <f t="shared" si="463"/>
        <v>99.831795824425896</v>
      </c>
      <c r="AT420" s="201"/>
      <c r="AU420" s="209">
        <v>2993098.98</v>
      </c>
      <c r="AV420" s="201">
        <f t="shared" si="464"/>
        <v>2993098.98</v>
      </c>
      <c r="AW420" s="201">
        <f t="shared" si="438"/>
        <v>22.576649288637093</v>
      </c>
      <c r="AX420" s="201">
        <f t="shared" si="465"/>
        <v>99.831795824425896</v>
      </c>
      <c r="AY420" s="208"/>
      <c r="AZ420" s="201">
        <f t="shared" si="466"/>
        <v>0</v>
      </c>
      <c r="BA420" s="201">
        <f t="shared" si="467"/>
        <v>0</v>
      </c>
      <c r="BB420" s="201">
        <f t="shared" si="468"/>
        <v>0</v>
      </c>
      <c r="BC420" s="201"/>
      <c r="BD420" s="209">
        <v>0</v>
      </c>
      <c r="BE420" s="201">
        <f t="shared" si="444"/>
        <v>0</v>
      </c>
      <c r="BF420" s="208"/>
      <c r="BG420" s="201">
        <f t="shared" si="441"/>
        <v>0</v>
      </c>
      <c r="BH420" s="201">
        <f t="shared" si="441"/>
        <v>2993098.98</v>
      </c>
      <c r="BI420" s="201">
        <f t="shared" si="469"/>
        <v>2993098.98</v>
      </c>
      <c r="BJ420" s="201">
        <f t="shared" si="470"/>
        <v>99.831795824425896</v>
      </c>
      <c r="BK420" s="210">
        <v>6</v>
      </c>
      <c r="BL420" s="210">
        <v>100</v>
      </c>
      <c r="BM420" s="211"/>
      <c r="BN420" s="211"/>
      <c r="BO420" s="212">
        <f t="shared" si="471"/>
        <v>0</v>
      </c>
      <c r="BP420" s="201">
        <f t="shared" si="472"/>
        <v>5043</v>
      </c>
      <c r="BQ420" s="201">
        <f t="shared" si="445"/>
        <v>5043</v>
      </c>
      <c r="BR420" s="201">
        <f t="shared" si="442"/>
        <v>0</v>
      </c>
      <c r="BS420" s="201">
        <f t="shared" si="442"/>
        <v>5043</v>
      </c>
      <c r="BT420" s="201">
        <f t="shared" si="446"/>
        <v>5043</v>
      </c>
      <c r="BU420" s="213">
        <f t="shared" si="439"/>
        <v>0</v>
      </c>
      <c r="BV420" s="201">
        <v>1858.02</v>
      </c>
      <c r="BW420" s="201"/>
      <c r="BX420" s="201">
        <f t="shared" si="447"/>
        <v>1858.02</v>
      </c>
      <c r="BY420" s="199">
        <v>21610</v>
      </c>
      <c r="BZ420" s="199">
        <v>43220</v>
      </c>
      <c r="CA420" s="199">
        <v>108050</v>
      </c>
      <c r="CB420" s="199">
        <v>178970</v>
      </c>
      <c r="CC420" s="199">
        <v>299200</v>
      </c>
      <c r="CD420" s="199">
        <v>453220</v>
      </c>
      <c r="CE420" s="199">
        <v>561270</v>
      </c>
      <c r="CF420" s="199">
        <v>676880</v>
      </c>
      <c r="CG420" s="199">
        <v>439590</v>
      </c>
      <c r="CH420" s="199">
        <v>153160</v>
      </c>
      <c r="CI420" s="199">
        <v>43220</v>
      </c>
      <c r="CJ420" s="199">
        <v>21610</v>
      </c>
      <c r="CK420" s="214" t="s">
        <v>1090</v>
      </c>
      <c r="CL420" s="214" t="s">
        <v>610</v>
      </c>
      <c r="CM420" s="211">
        <v>198</v>
      </c>
      <c r="CN420" s="215"/>
      <c r="CO420" s="215"/>
      <c r="CP420" s="216"/>
      <c r="CQ420" s="217"/>
      <c r="CR420" s="211"/>
      <c r="CS420" s="218"/>
      <c r="CT420" s="218"/>
      <c r="CU420" s="218"/>
      <c r="CV420" s="211"/>
      <c r="CW420" s="211"/>
      <c r="CX420" s="211"/>
      <c r="CY420" s="211"/>
      <c r="CZ420" s="211"/>
      <c r="DA420" s="211"/>
      <c r="DB420" s="211"/>
      <c r="DC420" s="219"/>
      <c r="DD420" s="219"/>
      <c r="DE420" s="219"/>
      <c r="DF420" s="211"/>
      <c r="DG420" s="211"/>
      <c r="DH420" s="211"/>
      <c r="DI420" s="211"/>
      <c r="DJ420" s="211"/>
      <c r="DK420" s="220" t="s">
        <v>32</v>
      </c>
      <c r="DT420" s="222"/>
    </row>
    <row r="421" spans="1:124" s="176" customFormat="1" ht="42" x14ac:dyDescent="0.2">
      <c r="A421" s="225" t="s">
        <v>208</v>
      </c>
      <c r="B421" s="197" t="s">
        <v>1091</v>
      </c>
      <c r="C421" s="198">
        <v>1</v>
      </c>
      <c r="D421" s="199">
        <v>3000000</v>
      </c>
      <c r="E421" s="198" t="s">
        <v>264</v>
      </c>
      <c r="F421" s="198" t="s">
        <v>150</v>
      </c>
      <c r="G421" s="198" t="s">
        <v>151</v>
      </c>
      <c r="H421" s="200">
        <v>1</v>
      </c>
      <c r="I421" s="199">
        <f t="shared" si="448"/>
        <v>0</v>
      </c>
      <c r="J421" s="199">
        <f t="shared" si="449"/>
        <v>3000000</v>
      </c>
      <c r="K421" s="199">
        <f t="shared" si="450"/>
        <v>3000000</v>
      </c>
      <c r="L421" s="199"/>
      <c r="M421" s="199">
        <v>3000000</v>
      </c>
      <c r="N421" s="199">
        <f t="shared" si="451"/>
        <v>3000000</v>
      </c>
      <c r="O421" s="199"/>
      <c r="P421" s="201">
        <v>0</v>
      </c>
      <c r="Q421" s="202">
        <v>15</v>
      </c>
      <c r="R421" s="203">
        <v>45566</v>
      </c>
      <c r="S421" s="199"/>
      <c r="T421" s="199">
        <v>3000000</v>
      </c>
      <c r="U421" s="204">
        <f t="shared" si="452"/>
        <v>3000000</v>
      </c>
      <c r="V421" s="205">
        <v>2242</v>
      </c>
      <c r="W421" s="200">
        <v>45791</v>
      </c>
      <c r="X421" s="201"/>
      <c r="Y421" s="201">
        <v>-1951.42</v>
      </c>
      <c r="Z421" s="201">
        <f t="shared" si="453"/>
        <v>-1951.42</v>
      </c>
      <c r="AA421" s="198"/>
      <c r="AB421" s="206"/>
      <c r="AC421" s="207"/>
      <c r="AD421" s="201"/>
      <c r="AE421" s="204">
        <f t="shared" si="454"/>
        <v>0</v>
      </c>
      <c r="AF421" s="203">
        <f t="shared" si="455"/>
        <v>45566</v>
      </c>
      <c r="AG421" s="201">
        <f t="shared" si="456"/>
        <v>0</v>
      </c>
      <c r="AH421" s="201">
        <f t="shared" si="457"/>
        <v>2998048.58</v>
      </c>
      <c r="AI421" s="199">
        <f t="shared" si="458"/>
        <v>2998048.58</v>
      </c>
      <c r="AJ421" s="201">
        <f t="shared" si="443"/>
        <v>0</v>
      </c>
      <c r="AK421" s="201">
        <f t="shared" si="443"/>
        <v>2998048.58</v>
      </c>
      <c r="AL421" s="201">
        <f t="shared" si="459"/>
        <v>2998048.58</v>
      </c>
      <c r="AM421" s="198"/>
      <c r="AN421" s="203"/>
      <c r="AO421" s="208"/>
      <c r="AP421" s="201">
        <f t="shared" si="460"/>
        <v>0</v>
      </c>
      <c r="AQ421" s="201">
        <f t="shared" si="461"/>
        <v>2995937.58</v>
      </c>
      <c r="AR421" s="201">
        <f t="shared" si="462"/>
        <v>2995937.58</v>
      </c>
      <c r="AS421" s="201">
        <f t="shared" si="463"/>
        <v>99.929587531900495</v>
      </c>
      <c r="AT421" s="201"/>
      <c r="AU421" s="209">
        <v>2995937.58</v>
      </c>
      <c r="AV421" s="201">
        <f t="shared" si="464"/>
        <v>2995937.58</v>
      </c>
      <c r="AW421" s="201">
        <f t="shared" si="438"/>
        <v>17.085446960969524</v>
      </c>
      <c r="AX421" s="201">
        <f t="shared" si="465"/>
        <v>99.929587531900495</v>
      </c>
      <c r="AY421" s="208"/>
      <c r="AZ421" s="201">
        <f t="shared" si="466"/>
        <v>0</v>
      </c>
      <c r="BA421" s="201">
        <f t="shared" si="467"/>
        <v>0</v>
      </c>
      <c r="BB421" s="201">
        <f t="shared" si="468"/>
        <v>0</v>
      </c>
      <c r="BC421" s="201"/>
      <c r="BD421" s="209">
        <v>0</v>
      </c>
      <c r="BE421" s="201">
        <f t="shared" si="444"/>
        <v>0</v>
      </c>
      <c r="BF421" s="208"/>
      <c r="BG421" s="201">
        <f t="shared" si="441"/>
        <v>0</v>
      </c>
      <c r="BH421" s="201">
        <f t="shared" si="441"/>
        <v>2995937.58</v>
      </c>
      <c r="BI421" s="201">
        <f t="shared" si="469"/>
        <v>2995937.58</v>
      </c>
      <c r="BJ421" s="201">
        <f t="shared" si="470"/>
        <v>99.929587531900495</v>
      </c>
      <c r="BK421" s="210">
        <v>5</v>
      </c>
      <c r="BL421" s="210">
        <v>100</v>
      </c>
      <c r="BM421" s="211"/>
      <c r="BN421" s="211"/>
      <c r="BO421" s="212">
        <f t="shared" si="471"/>
        <v>0</v>
      </c>
      <c r="BP421" s="201">
        <f t="shared" si="472"/>
        <v>2111</v>
      </c>
      <c r="BQ421" s="201">
        <f t="shared" si="445"/>
        <v>2111</v>
      </c>
      <c r="BR421" s="201">
        <f t="shared" si="442"/>
        <v>0</v>
      </c>
      <c r="BS421" s="201">
        <f t="shared" si="442"/>
        <v>2111</v>
      </c>
      <c r="BT421" s="201">
        <f t="shared" si="446"/>
        <v>2111</v>
      </c>
      <c r="BU421" s="213">
        <f t="shared" si="439"/>
        <v>0</v>
      </c>
      <c r="BV421" s="201">
        <v>1951.42</v>
      </c>
      <c r="BW421" s="201"/>
      <c r="BX421" s="201">
        <f t="shared" si="447"/>
        <v>1951.42</v>
      </c>
      <c r="BY421" s="199">
        <v>22640</v>
      </c>
      <c r="BZ421" s="199">
        <v>45280</v>
      </c>
      <c r="CA421" s="199">
        <v>90560</v>
      </c>
      <c r="CB421" s="199">
        <v>142920</v>
      </c>
      <c r="CC421" s="199">
        <v>247630</v>
      </c>
      <c r="CD421" s="199">
        <v>434400</v>
      </c>
      <c r="CE421" s="199">
        <v>547600</v>
      </c>
      <c r="CF421" s="199">
        <v>512230</v>
      </c>
      <c r="CG421" s="199">
        <v>406130</v>
      </c>
      <c r="CH421" s="199">
        <v>283080</v>
      </c>
      <c r="CI421" s="199">
        <v>185440</v>
      </c>
      <c r="CJ421" s="199">
        <v>82090</v>
      </c>
      <c r="CK421" s="214" t="s">
        <v>1092</v>
      </c>
      <c r="CL421" s="214" t="s">
        <v>610</v>
      </c>
      <c r="CM421" s="211">
        <v>198</v>
      </c>
      <c r="CN421" s="215"/>
      <c r="CO421" s="215"/>
      <c r="CP421" s="216"/>
      <c r="CQ421" s="217"/>
      <c r="CR421" s="211"/>
      <c r="CS421" s="218"/>
      <c r="CT421" s="218"/>
      <c r="CU421" s="218"/>
      <c r="CV421" s="211"/>
      <c r="CW421" s="211"/>
      <c r="CX421" s="211"/>
      <c r="CY421" s="211"/>
      <c r="CZ421" s="211"/>
      <c r="DA421" s="211"/>
      <c r="DB421" s="211"/>
      <c r="DC421" s="219"/>
      <c r="DD421" s="219"/>
      <c r="DE421" s="219"/>
      <c r="DF421" s="211"/>
      <c r="DG421" s="211"/>
      <c r="DH421" s="211"/>
      <c r="DI421" s="211"/>
      <c r="DJ421" s="211"/>
      <c r="DK421" s="220" t="s">
        <v>32</v>
      </c>
      <c r="DT421" s="222"/>
    </row>
    <row r="422" spans="1:124" s="176" customFormat="1" ht="42" x14ac:dyDescent="0.2">
      <c r="A422" s="225" t="s">
        <v>208</v>
      </c>
      <c r="B422" s="197" t="s">
        <v>1093</v>
      </c>
      <c r="C422" s="198">
        <v>1</v>
      </c>
      <c r="D422" s="199">
        <v>3000000</v>
      </c>
      <c r="E422" s="198" t="s">
        <v>213</v>
      </c>
      <c r="F422" s="198" t="s">
        <v>150</v>
      </c>
      <c r="G422" s="198" t="s">
        <v>151</v>
      </c>
      <c r="H422" s="200">
        <v>1</v>
      </c>
      <c r="I422" s="199">
        <f t="shared" si="448"/>
        <v>0</v>
      </c>
      <c r="J422" s="199">
        <f t="shared" si="449"/>
        <v>3000000</v>
      </c>
      <c r="K422" s="199">
        <f t="shared" si="450"/>
        <v>3000000</v>
      </c>
      <c r="L422" s="199"/>
      <c r="M422" s="199">
        <v>3000000</v>
      </c>
      <c r="N422" s="199">
        <f t="shared" si="451"/>
        <v>3000000</v>
      </c>
      <c r="O422" s="199"/>
      <c r="P422" s="201">
        <v>0</v>
      </c>
      <c r="Q422" s="202">
        <v>15</v>
      </c>
      <c r="R422" s="203">
        <v>45566</v>
      </c>
      <c r="S422" s="199"/>
      <c r="T422" s="199">
        <v>3000000</v>
      </c>
      <c r="U422" s="204">
        <f t="shared" si="452"/>
        <v>3000000</v>
      </c>
      <c r="V422" s="205">
        <v>2242</v>
      </c>
      <c r="W422" s="200">
        <v>45791</v>
      </c>
      <c r="X422" s="201"/>
      <c r="Y422" s="201">
        <v>-2711.31</v>
      </c>
      <c r="Z422" s="201">
        <f t="shared" si="453"/>
        <v>-2711.31</v>
      </c>
      <c r="AA422" s="198"/>
      <c r="AB422" s="206"/>
      <c r="AC422" s="207"/>
      <c r="AD422" s="201"/>
      <c r="AE422" s="204">
        <f t="shared" si="454"/>
        <v>0</v>
      </c>
      <c r="AF422" s="203">
        <f t="shared" si="455"/>
        <v>45566</v>
      </c>
      <c r="AG422" s="201">
        <f t="shared" si="456"/>
        <v>0</v>
      </c>
      <c r="AH422" s="201">
        <f t="shared" si="457"/>
        <v>2997288.69</v>
      </c>
      <c r="AI422" s="199">
        <f t="shared" si="458"/>
        <v>2997288.69</v>
      </c>
      <c r="AJ422" s="201">
        <f t="shared" si="443"/>
        <v>0</v>
      </c>
      <c r="AK422" s="201">
        <f t="shared" si="443"/>
        <v>2997288.69</v>
      </c>
      <c r="AL422" s="201">
        <f t="shared" si="459"/>
        <v>2997288.69</v>
      </c>
      <c r="AM422" s="198"/>
      <c r="AN422" s="203"/>
      <c r="AO422" s="208"/>
      <c r="AP422" s="201">
        <f t="shared" si="460"/>
        <v>0</v>
      </c>
      <c r="AQ422" s="201">
        <f t="shared" si="461"/>
        <v>2995380.69</v>
      </c>
      <c r="AR422" s="201">
        <f t="shared" si="462"/>
        <v>2995380.69</v>
      </c>
      <c r="AS422" s="201">
        <f t="shared" si="463"/>
        <v>99.93634246823251</v>
      </c>
      <c r="AT422" s="201"/>
      <c r="AU422" s="209">
        <v>2995380.69</v>
      </c>
      <c r="AV422" s="201">
        <f t="shared" si="464"/>
        <v>2995380.69</v>
      </c>
      <c r="AW422" s="201">
        <f t="shared" ref="AW422:AW485" si="473">+CF422*100/AL422</f>
        <v>17.015377988164364</v>
      </c>
      <c r="AX422" s="201">
        <f t="shared" si="465"/>
        <v>99.93634246823251</v>
      </c>
      <c r="AY422" s="208"/>
      <c r="AZ422" s="201">
        <f t="shared" si="466"/>
        <v>0</v>
      </c>
      <c r="BA422" s="201">
        <f t="shared" si="467"/>
        <v>0</v>
      </c>
      <c r="BB422" s="201">
        <f t="shared" si="468"/>
        <v>0</v>
      </c>
      <c r="BC422" s="201"/>
      <c r="BD422" s="209">
        <v>0</v>
      </c>
      <c r="BE422" s="201">
        <f t="shared" si="444"/>
        <v>0</v>
      </c>
      <c r="BF422" s="208"/>
      <c r="BG422" s="201">
        <f t="shared" si="441"/>
        <v>0</v>
      </c>
      <c r="BH422" s="201">
        <f t="shared" si="441"/>
        <v>2995380.69</v>
      </c>
      <c r="BI422" s="201">
        <f t="shared" si="469"/>
        <v>2995380.69</v>
      </c>
      <c r="BJ422" s="201">
        <f t="shared" si="470"/>
        <v>99.93634246823251</v>
      </c>
      <c r="BK422" s="210">
        <v>8</v>
      </c>
      <c r="BL422" s="210">
        <v>100</v>
      </c>
      <c r="BM422" s="211"/>
      <c r="BN422" s="211"/>
      <c r="BO422" s="212">
        <f t="shared" si="471"/>
        <v>0</v>
      </c>
      <c r="BP422" s="201">
        <f t="shared" si="472"/>
        <v>1908</v>
      </c>
      <c r="BQ422" s="201">
        <f t="shared" si="445"/>
        <v>1908</v>
      </c>
      <c r="BR422" s="201">
        <f t="shared" si="442"/>
        <v>0</v>
      </c>
      <c r="BS422" s="201">
        <f t="shared" si="442"/>
        <v>1908</v>
      </c>
      <c r="BT422" s="201">
        <f t="shared" si="446"/>
        <v>1908</v>
      </c>
      <c r="BU422" s="213">
        <f t="shared" ref="BU422:BU485" si="474">+AO422-AY422</f>
        <v>0</v>
      </c>
      <c r="BV422" s="201">
        <v>2711.31</v>
      </c>
      <c r="BW422" s="201"/>
      <c r="BX422" s="201">
        <f t="shared" si="447"/>
        <v>2711.31</v>
      </c>
      <c r="BY422" s="199">
        <v>30000</v>
      </c>
      <c r="BZ422" s="199">
        <v>90000</v>
      </c>
      <c r="CA422" s="199">
        <v>120000</v>
      </c>
      <c r="CB422" s="199">
        <v>150000</v>
      </c>
      <c r="CC422" s="199">
        <v>210000</v>
      </c>
      <c r="CD422" s="199">
        <v>300000</v>
      </c>
      <c r="CE422" s="199">
        <v>400000</v>
      </c>
      <c r="CF422" s="199">
        <v>510000</v>
      </c>
      <c r="CG422" s="199">
        <v>510000</v>
      </c>
      <c r="CH422" s="199">
        <v>406130</v>
      </c>
      <c r="CI422" s="199">
        <v>183870</v>
      </c>
      <c r="CJ422" s="199">
        <v>90000</v>
      </c>
      <c r="CK422" s="214" t="s">
        <v>1094</v>
      </c>
      <c r="CL422" s="214" t="s">
        <v>610</v>
      </c>
      <c r="CM422" s="211">
        <v>198</v>
      </c>
      <c r="CN422" s="215"/>
      <c r="CO422" s="215"/>
      <c r="CP422" s="216"/>
      <c r="CQ422" s="217"/>
      <c r="CR422" s="211"/>
      <c r="CS422" s="218"/>
      <c r="CT422" s="218"/>
      <c r="CU422" s="218"/>
      <c r="CV422" s="211"/>
      <c r="CW422" s="211"/>
      <c r="CX422" s="211"/>
      <c r="CY422" s="211"/>
      <c r="CZ422" s="211"/>
      <c r="DA422" s="211"/>
      <c r="DB422" s="211"/>
      <c r="DC422" s="219"/>
      <c r="DD422" s="219"/>
      <c r="DE422" s="219"/>
      <c r="DF422" s="211"/>
      <c r="DG422" s="211"/>
      <c r="DH422" s="211"/>
      <c r="DI422" s="211"/>
      <c r="DJ422" s="211"/>
      <c r="DK422" s="220" t="s">
        <v>32</v>
      </c>
      <c r="DT422" s="222"/>
    </row>
    <row r="423" spans="1:124" s="176" customFormat="1" ht="42" x14ac:dyDescent="0.2">
      <c r="A423" s="195" t="s">
        <v>154</v>
      </c>
      <c r="B423" s="197" t="s">
        <v>1095</v>
      </c>
      <c r="C423" s="198">
        <v>1</v>
      </c>
      <c r="D423" s="199">
        <v>2600000</v>
      </c>
      <c r="E423" s="198" t="s">
        <v>1096</v>
      </c>
      <c r="F423" s="198" t="s">
        <v>1097</v>
      </c>
      <c r="G423" s="198" t="s">
        <v>151</v>
      </c>
      <c r="H423" s="200">
        <v>1</v>
      </c>
      <c r="I423" s="199">
        <f t="shared" si="448"/>
        <v>0</v>
      </c>
      <c r="J423" s="199">
        <f t="shared" si="449"/>
        <v>2600000</v>
      </c>
      <c r="K423" s="199">
        <f t="shared" si="450"/>
        <v>2600000</v>
      </c>
      <c r="L423" s="199"/>
      <c r="M423" s="199">
        <v>2600000</v>
      </c>
      <c r="N423" s="199">
        <f t="shared" si="451"/>
        <v>2600000</v>
      </c>
      <c r="O423" s="199"/>
      <c r="P423" s="201">
        <v>0</v>
      </c>
      <c r="Q423" s="202">
        <v>15</v>
      </c>
      <c r="R423" s="203">
        <v>45566</v>
      </c>
      <c r="S423" s="199"/>
      <c r="T423" s="199">
        <v>2600000</v>
      </c>
      <c r="U423" s="204">
        <f t="shared" si="452"/>
        <v>2600000</v>
      </c>
      <c r="V423" s="205">
        <v>690</v>
      </c>
      <c r="W423" s="200">
        <v>45622</v>
      </c>
      <c r="X423" s="201"/>
      <c r="Y423" s="201">
        <v>-4909</v>
      </c>
      <c r="Z423" s="201">
        <f t="shared" si="453"/>
        <v>-4909</v>
      </c>
      <c r="AA423" s="198">
        <v>1716</v>
      </c>
      <c r="AB423" s="206">
        <v>45723</v>
      </c>
      <c r="AC423" s="207"/>
      <c r="AD423" s="201">
        <v>-8160</v>
      </c>
      <c r="AE423" s="204">
        <f t="shared" si="454"/>
        <v>-8160</v>
      </c>
      <c r="AF423" s="203">
        <f t="shared" si="455"/>
        <v>45566</v>
      </c>
      <c r="AG423" s="201">
        <f t="shared" si="456"/>
        <v>0</v>
      </c>
      <c r="AH423" s="201">
        <f t="shared" si="457"/>
        <v>2586931</v>
      </c>
      <c r="AI423" s="199">
        <f t="shared" si="458"/>
        <v>2586931</v>
      </c>
      <c r="AJ423" s="201">
        <f t="shared" si="443"/>
        <v>0</v>
      </c>
      <c r="AK423" s="201">
        <f t="shared" si="443"/>
        <v>2586931</v>
      </c>
      <c r="AL423" s="201">
        <f t="shared" si="459"/>
        <v>2586931</v>
      </c>
      <c r="AM423" s="198"/>
      <c r="AN423" s="203"/>
      <c r="AO423" s="208"/>
      <c r="AP423" s="201">
        <f t="shared" si="460"/>
        <v>0</v>
      </c>
      <c r="AQ423" s="201">
        <f t="shared" si="461"/>
        <v>2420376.1</v>
      </c>
      <c r="AR423" s="201">
        <f t="shared" si="462"/>
        <v>2420376.1</v>
      </c>
      <c r="AS423" s="201">
        <f t="shared" si="463"/>
        <v>93.561679843799467</v>
      </c>
      <c r="AT423" s="201"/>
      <c r="AU423" s="223">
        <v>2420376.1</v>
      </c>
      <c r="AV423" s="201">
        <f t="shared" si="464"/>
        <v>2420376.1</v>
      </c>
      <c r="AW423" s="201">
        <f t="shared" si="473"/>
        <v>0</v>
      </c>
      <c r="AX423" s="201">
        <f t="shared" si="465"/>
        <v>93.561679843799467</v>
      </c>
      <c r="AY423" s="208"/>
      <c r="AZ423" s="201">
        <f t="shared" si="466"/>
        <v>0</v>
      </c>
      <c r="BA423" s="201">
        <f t="shared" si="467"/>
        <v>0</v>
      </c>
      <c r="BB423" s="201">
        <f t="shared" si="468"/>
        <v>0</v>
      </c>
      <c r="BC423" s="201"/>
      <c r="BD423" s="223">
        <v>0</v>
      </c>
      <c r="BE423" s="201">
        <f t="shared" si="444"/>
        <v>0</v>
      </c>
      <c r="BF423" s="208"/>
      <c r="BG423" s="201">
        <f t="shared" si="441"/>
        <v>0</v>
      </c>
      <c r="BH423" s="201">
        <f t="shared" si="441"/>
        <v>2420376.1</v>
      </c>
      <c r="BI423" s="201">
        <f t="shared" si="469"/>
        <v>2420376.1</v>
      </c>
      <c r="BJ423" s="201">
        <f t="shared" si="470"/>
        <v>93.561679843799467</v>
      </c>
      <c r="BK423" s="210">
        <v>13.63</v>
      </c>
      <c r="BL423" s="210">
        <v>85</v>
      </c>
      <c r="BM423" s="211"/>
      <c r="BN423" s="211"/>
      <c r="BO423" s="212">
        <f t="shared" si="471"/>
        <v>0</v>
      </c>
      <c r="BP423" s="201">
        <f t="shared" si="472"/>
        <v>166554.89999999991</v>
      </c>
      <c r="BQ423" s="201">
        <f t="shared" si="445"/>
        <v>166554.89999999991</v>
      </c>
      <c r="BR423" s="201">
        <f t="shared" si="442"/>
        <v>0</v>
      </c>
      <c r="BS423" s="201">
        <f t="shared" si="442"/>
        <v>166554.89999999991</v>
      </c>
      <c r="BT423" s="201">
        <f t="shared" si="446"/>
        <v>166554.89999999991</v>
      </c>
      <c r="BU423" s="213">
        <f t="shared" si="474"/>
        <v>0</v>
      </c>
      <c r="BV423" s="201">
        <f>4909+8160</f>
        <v>13069</v>
      </c>
      <c r="BW423" s="201"/>
      <c r="BX423" s="201">
        <f t="shared" si="447"/>
        <v>13069</v>
      </c>
      <c r="BY423" s="199">
        <v>390000</v>
      </c>
      <c r="BZ423" s="199">
        <v>390000</v>
      </c>
      <c r="CA423" s="199">
        <v>520000</v>
      </c>
      <c r="CB423" s="199">
        <v>520000</v>
      </c>
      <c r="CC423" s="199">
        <v>390000</v>
      </c>
      <c r="CD423" s="199">
        <v>390000</v>
      </c>
      <c r="CE423" s="199">
        <v>0</v>
      </c>
      <c r="CF423" s="199">
        <v>0</v>
      </c>
      <c r="CG423" s="199">
        <v>0</v>
      </c>
      <c r="CH423" s="199">
        <v>0</v>
      </c>
      <c r="CI423" s="199">
        <v>0</v>
      </c>
      <c r="CJ423" s="199">
        <v>0</v>
      </c>
      <c r="CK423" s="214" t="s">
        <v>1098</v>
      </c>
      <c r="CL423" s="214" t="s">
        <v>610</v>
      </c>
      <c r="CM423" s="211">
        <v>198</v>
      </c>
      <c r="CN423" s="215"/>
      <c r="CO423" s="215"/>
      <c r="CP423" s="216"/>
      <c r="CQ423" s="217"/>
      <c r="CR423" s="211"/>
      <c r="CS423" s="218"/>
      <c r="CT423" s="218"/>
      <c r="CU423" s="218"/>
      <c r="CV423" s="211"/>
      <c r="CW423" s="211"/>
      <c r="CX423" s="211"/>
      <c r="CY423" s="211"/>
      <c r="CZ423" s="211"/>
      <c r="DA423" s="211"/>
      <c r="DB423" s="211"/>
      <c r="DC423" s="219"/>
      <c r="DD423" s="219"/>
      <c r="DE423" s="219"/>
      <c r="DF423" s="211"/>
      <c r="DG423" s="211"/>
      <c r="DH423" s="211"/>
      <c r="DI423" s="211"/>
      <c r="DJ423" s="211"/>
      <c r="DK423" s="220" t="s">
        <v>32</v>
      </c>
      <c r="DT423" s="222"/>
    </row>
    <row r="424" spans="1:124" s="176" customFormat="1" ht="42" x14ac:dyDescent="0.2">
      <c r="A424" s="195" t="s">
        <v>154</v>
      </c>
      <c r="B424" s="197" t="s">
        <v>1099</v>
      </c>
      <c r="C424" s="198">
        <v>1</v>
      </c>
      <c r="D424" s="199">
        <v>4200000</v>
      </c>
      <c r="E424" s="198" t="s">
        <v>1100</v>
      </c>
      <c r="F424" s="198" t="s">
        <v>1097</v>
      </c>
      <c r="G424" s="198" t="s">
        <v>151</v>
      </c>
      <c r="H424" s="200">
        <v>1</v>
      </c>
      <c r="I424" s="199">
        <f t="shared" si="448"/>
        <v>0</v>
      </c>
      <c r="J424" s="199">
        <f t="shared" si="449"/>
        <v>4200000</v>
      </c>
      <c r="K424" s="199">
        <f t="shared" si="450"/>
        <v>4200000</v>
      </c>
      <c r="L424" s="199"/>
      <c r="M424" s="199">
        <v>4200000</v>
      </c>
      <c r="N424" s="199">
        <f t="shared" si="451"/>
        <v>4200000</v>
      </c>
      <c r="O424" s="199"/>
      <c r="P424" s="201">
        <v>0</v>
      </c>
      <c r="Q424" s="202">
        <v>15</v>
      </c>
      <c r="R424" s="203">
        <v>45566</v>
      </c>
      <c r="S424" s="199"/>
      <c r="T424" s="199">
        <v>4200000</v>
      </c>
      <c r="U424" s="204">
        <f t="shared" si="452"/>
        <v>4200000</v>
      </c>
      <c r="V424" s="205">
        <v>690</v>
      </c>
      <c r="W424" s="200">
        <v>45622</v>
      </c>
      <c r="X424" s="201"/>
      <c r="Y424" s="201">
        <v>-19302</v>
      </c>
      <c r="Z424" s="201">
        <f t="shared" si="453"/>
        <v>-19302</v>
      </c>
      <c r="AA424" s="198">
        <v>1206</v>
      </c>
      <c r="AB424" s="206">
        <v>45672</v>
      </c>
      <c r="AC424" s="207"/>
      <c r="AD424" s="201">
        <f>+-8110+-6121</f>
        <v>-14231</v>
      </c>
      <c r="AE424" s="204">
        <f t="shared" si="454"/>
        <v>-14231</v>
      </c>
      <c r="AF424" s="203">
        <f t="shared" si="455"/>
        <v>45566</v>
      </c>
      <c r="AG424" s="201">
        <f t="shared" si="456"/>
        <v>0</v>
      </c>
      <c r="AH424" s="201">
        <f t="shared" si="457"/>
        <v>4166467</v>
      </c>
      <c r="AI424" s="199">
        <f t="shared" si="458"/>
        <v>4166467</v>
      </c>
      <c r="AJ424" s="201">
        <f t="shared" si="443"/>
        <v>0</v>
      </c>
      <c r="AK424" s="201">
        <f t="shared" si="443"/>
        <v>4166467</v>
      </c>
      <c r="AL424" s="201">
        <f t="shared" si="459"/>
        <v>4166467</v>
      </c>
      <c r="AM424" s="198"/>
      <c r="AN424" s="203"/>
      <c r="AO424" s="208"/>
      <c r="AP424" s="201">
        <f t="shared" si="460"/>
        <v>0</v>
      </c>
      <c r="AQ424" s="201">
        <f>+AU424+AY424</f>
        <v>4077563.2</v>
      </c>
      <c r="AR424" s="201">
        <f t="shared" si="462"/>
        <v>4077563.2</v>
      </c>
      <c r="AS424" s="201">
        <f t="shared" si="463"/>
        <v>97.866206548617811</v>
      </c>
      <c r="AT424" s="201"/>
      <c r="AU424" s="223">
        <v>4077563.2</v>
      </c>
      <c r="AV424" s="201">
        <f>SUM(AT424:AU424)</f>
        <v>4077563.2</v>
      </c>
      <c r="AW424" s="201">
        <f t="shared" si="473"/>
        <v>10.080483056748079</v>
      </c>
      <c r="AX424" s="201">
        <f t="shared" si="465"/>
        <v>97.866206548617811</v>
      </c>
      <c r="AY424" s="208"/>
      <c r="AZ424" s="201">
        <f t="shared" si="466"/>
        <v>0</v>
      </c>
      <c r="BA424" s="201">
        <f t="shared" si="467"/>
        <v>0</v>
      </c>
      <c r="BB424" s="201">
        <f t="shared" si="468"/>
        <v>0</v>
      </c>
      <c r="BC424" s="201"/>
      <c r="BD424" s="223">
        <v>0</v>
      </c>
      <c r="BE424" s="201">
        <f t="shared" si="444"/>
        <v>0</v>
      </c>
      <c r="BF424" s="208"/>
      <c r="BG424" s="201">
        <f t="shared" si="441"/>
        <v>0</v>
      </c>
      <c r="BH424" s="201">
        <f t="shared" si="441"/>
        <v>4077563.2</v>
      </c>
      <c r="BI424" s="201">
        <f t="shared" si="469"/>
        <v>4077563.2</v>
      </c>
      <c r="BJ424" s="201">
        <f t="shared" si="470"/>
        <v>97.866206548617811</v>
      </c>
      <c r="BK424" s="210">
        <v>28.23</v>
      </c>
      <c r="BL424" s="210">
        <v>80</v>
      </c>
      <c r="BM424" s="211"/>
      <c r="BN424" s="211"/>
      <c r="BO424" s="212">
        <f t="shared" si="471"/>
        <v>0</v>
      </c>
      <c r="BP424" s="201">
        <f t="shared" si="472"/>
        <v>88903.799999999814</v>
      </c>
      <c r="BQ424" s="201">
        <f t="shared" si="445"/>
        <v>88903.799999999814</v>
      </c>
      <c r="BR424" s="201">
        <f t="shared" si="442"/>
        <v>0</v>
      </c>
      <c r="BS424" s="201">
        <f>+AK424-AU424</f>
        <v>88903.799999999814</v>
      </c>
      <c r="BT424" s="201">
        <f t="shared" si="446"/>
        <v>88903.799999999814</v>
      </c>
      <c r="BU424" s="213">
        <f t="shared" si="474"/>
        <v>0</v>
      </c>
      <c r="BV424" s="201">
        <f>19302+8110+6121</f>
        <v>33533</v>
      </c>
      <c r="BW424" s="201"/>
      <c r="BX424" s="201">
        <f t="shared" si="447"/>
        <v>33533</v>
      </c>
      <c r="BY424" s="199">
        <v>210000</v>
      </c>
      <c r="BZ424" s="199">
        <v>420000</v>
      </c>
      <c r="CA424" s="199">
        <v>630000</v>
      </c>
      <c r="CB424" s="199">
        <v>630000</v>
      </c>
      <c r="CC424" s="199">
        <v>630000</v>
      </c>
      <c r="CD424" s="199">
        <v>630000</v>
      </c>
      <c r="CE424" s="199">
        <v>420000</v>
      </c>
      <c r="CF424" s="199">
        <v>420000</v>
      </c>
      <c r="CG424" s="199">
        <v>210000</v>
      </c>
      <c r="CH424" s="199">
        <v>0</v>
      </c>
      <c r="CI424" s="199">
        <v>0</v>
      </c>
      <c r="CJ424" s="199">
        <v>0</v>
      </c>
      <c r="CK424" s="214" t="s">
        <v>1101</v>
      </c>
      <c r="CL424" s="214" t="s">
        <v>610</v>
      </c>
      <c r="CM424" s="211">
        <v>198</v>
      </c>
      <c r="CN424" s="215"/>
      <c r="CO424" s="215"/>
      <c r="CP424" s="216"/>
      <c r="CQ424" s="217"/>
      <c r="CR424" s="211"/>
      <c r="CS424" s="218"/>
      <c r="CT424" s="218"/>
      <c r="CU424" s="218"/>
      <c r="CV424" s="211"/>
      <c r="CW424" s="211"/>
      <c r="CX424" s="211"/>
      <c r="CY424" s="211"/>
      <c r="CZ424" s="211"/>
      <c r="DA424" s="211"/>
      <c r="DB424" s="211"/>
      <c r="DC424" s="219"/>
      <c r="DD424" s="219"/>
      <c r="DE424" s="219"/>
      <c r="DF424" s="211"/>
      <c r="DG424" s="211"/>
      <c r="DH424" s="211"/>
      <c r="DI424" s="211"/>
      <c r="DJ424" s="211"/>
      <c r="DK424" s="220" t="s">
        <v>32</v>
      </c>
      <c r="DT424" s="222"/>
    </row>
    <row r="425" spans="1:124" s="176" customFormat="1" ht="42" x14ac:dyDescent="0.2">
      <c r="A425" s="195" t="s">
        <v>154</v>
      </c>
      <c r="B425" s="197" t="s">
        <v>1102</v>
      </c>
      <c r="C425" s="198">
        <v>1</v>
      </c>
      <c r="D425" s="199">
        <v>4500000</v>
      </c>
      <c r="E425" s="198" t="s">
        <v>1103</v>
      </c>
      <c r="F425" s="198" t="s">
        <v>1082</v>
      </c>
      <c r="G425" s="198" t="s">
        <v>151</v>
      </c>
      <c r="H425" s="200">
        <v>1</v>
      </c>
      <c r="I425" s="199">
        <f t="shared" si="448"/>
        <v>0</v>
      </c>
      <c r="J425" s="199">
        <f t="shared" si="449"/>
        <v>4500000</v>
      </c>
      <c r="K425" s="199">
        <f t="shared" si="450"/>
        <v>4500000</v>
      </c>
      <c r="L425" s="199"/>
      <c r="M425" s="199">
        <v>4500000</v>
      </c>
      <c r="N425" s="199">
        <f t="shared" si="451"/>
        <v>4500000</v>
      </c>
      <c r="O425" s="199"/>
      <c r="P425" s="201">
        <v>0</v>
      </c>
      <c r="Q425" s="202">
        <v>15</v>
      </c>
      <c r="R425" s="203">
        <v>45566</v>
      </c>
      <c r="S425" s="199"/>
      <c r="T425" s="199">
        <v>4500000</v>
      </c>
      <c r="U425" s="204">
        <f t="shared" si="452"/>
        <v>4500000</v>
      </c>
      <c r="V425" s="205">
        <v>1206</v>
      </c>
      <c r="W425" s="200">
        <v>45672</v>
      </c>
      <c r="X425" s="201"/>
      <c r="Y425" s="201">
        <v>-52643</v>
      </c>
      <c r="Z425" s="201">
        <f t="shared" si="453"/>
        <v>-52643</v>
      </c>
      <c r="AA425" s="198">
        <v>1716</v>
      </c>
      <c r="AB425" s="206">
        <v>45723</v>
      </c>
      <c r="AC425" s="207"/>
      <c r="AD425" s="201">
        <v>-4540</v>
      </c>
      <c r="AE425" s="204">
        <f t="shared" si="454"/>
        <v>-4540</v>
      </c>
      <c r="AF425" s="203">
        <f t="shared" si="455"/>
        <v>45566</v>
      </c>
      <c r="AG425" s="201">
        <f t="shared" si="456"/>
        <v>0</v>
      </c>
      <c r="AH425" s="201">
        <f t="shared" si="457"/>
        <v>4442817</v>
      </c>
      <c r="AI425" s="199">
        <f t="shared" si="458"/>
        <v>4442817</v>
      </c>
      <c r="AJ425" s="201">
        <f t="shared" si="443"/>
        <v>0</v>
      </c>
      <c r="AK425" s="201">
        <f t="shared" si="443"/>
        <v>4442817</v>
      </c>
      <c r="AL425" s="201">
        <f t="shared" si="459"/>
        <v>4442817</v>
      </c>
      <c r="AM425" s="198"/>
      <c r="AN425" s="203"/>
      <c r="AO425" s="208"/>
      <c r="AP425" s="201">
        <f t="shared" si="460"/>
        <v>0</v>
      </c>
      <c r="AQ425" s="201">
        <f t="shared" si="461"/>
        <v>3563854.05</v>
      </c>
      <c r="AR425" s="201">
        <f t="shared" si="462"/>
        <v>3563854.05</v>
      </c>
      <c r="AS425" s="201">
        <f t="shared" si="463"/>
        <v>80.216089251481662</v>
      </c>
      <c r="AT425" s="201"/>
      <c r="AU425" s="223">
        <v>3563854.05</v>
      </c>
      <c r="AV425" s="201">
        <f t="shared" si="464"/>
        <v>3563854.05</v>
      </c>
      <c r="AW425" s="201">
        <f t="shared" si="473"/>
        <v>9.0032967821992216</v>
      </c>
      <c r="AX425" s="201">
        <f t="shared" si="465"/>
        <v>80.216089251481662</v>
      </c>
      <c r="AY425" s="208"/>
      <c r="AZ425" s="201">
        <f t="shared" si="466"/>
        <v>0</v>
      </c>
      <c r="BA425" s="201">
        <f t="shared" si="467"/>
        <v>0</v>
      </c>
      <c r="BB425" s="201">
        <f t="shared" si="468"/>
        <v>0</v>
      </c>
      <c r="BC425" s="201"/>
      <c r="BD425" s="223">
        <v>0</v>
      </c>
      <c r="BE425" s="201">
        <f t="shared" si="444"/>
        <v>0</v>
      </c>
      <c r="BF425" s="208"/>
      <c r="BG425" s="201">
        <f t="shared" si="441"/>
        <v>0</v>
      </c>
      <c r="BH425" s="201">
        <f t="shared" si="441"/>
        <v>3563854.05</v>
      </c>
      <c r="BI425" s="201">
        <f t="shared" si="469"/>
        <v>3563854.05</v>
      </c>
      <c r="BJ425" s="201">
        <f t="shared" si="470"/>
        <v>80.216089251481662</v>
      </c>
      <c r="BK425" s="210">
        <v>20</v>
      </c>
      <c r="BL425" s="210">
        <v>60</v>
      </c>
      <c r="BM425" s="211"/>
      <c r="BN425" s="211"/>
      <c r="BO425" s="212">
        <f t="shared" si="471"/>
        <v>0</v>
      </c>
      <c r="BP425" s="201">
        <f t="shared" si="472"/>
        <v>878962.95000000019</v>
      </c>
      <c r="BQ425" s="201">
        <f t="shared" si="445"/>
        <v>878962.95000000019</v>
      </c>
      <c r="BR425" s="201">
        <f t="shared" si="442"/>
        <v>0</v>
      </c>
      <c r="BS425" s="201">
        <f t="shared" si="442"/>
        <v>878962.95000000019</v>
      </c>
      <c r="BT425" s="201">
        <f t="shared" si="446"/>
        <v>878962.95000000019</v>
      </c>
      <c r="BU425" s="213">
        <f t="shared" si="474"/>
        <v>0</v>
      </c>
      <c r="BV425" s="201">
        <f>52643+4540</f>
        <v>57183</v>
      </c>
      <c r="BW425" s="201"/>
      <c r="BX425" s="201">
        <f t="shared" si="447"/>
        <v>57183</v>
      </c>
      <c r="BY425" s="199">
        <v>350000</v>
      </c>
      <c r="BZ425" s="199">
        <v>350000</v>
      </c>
      <c r="CA425" s="199">
        <v>350000</v>
      </c>
      <c r="CB425" s="199">
        <v>350000</v>
      </c>
      <c r="CC425" s="199">
        <v>350000</v>
      </c>
      <c r="CD425" s="199">
        <v>400000</v>
      </c>
      <c r="CE425" s="199">
        <v>400000</v>
      </c>
      <c r="CF425" s="199">
        <v>400000</v>
      </c>
      <c r="CG425" s="199">
        <v>400000</v>
      </c>
      <c r="CH425" s="199">
        <v>400000</v>
      </c>
      <c r="CI425" s="199">
        <v>400000</v>
      </c>
      <c r="CJ425" s="199">
        <v>350000</v>
      </c>
      <c r="CK425" s="214" t="s">
        <v>1104</v>
      </c>
      <c r="CL425" s="214" t="s">
        <v>610</v>
      </c>
      <c r="CM425" s="211">
        <v>198</v>
      </c>
      <c r="CN425" s="215"/>
      <c r="CO425" s="215"/>
      <c r="CP425" s="216"/>
      <c r="CQ425" s="217"/>
      <c r="CR425" s="211"/>
      <c r="CS425" s="218"/>
      <c r="CT425" s="218"/>
      <c r="CU425" s="218"/>
      <c r="CV425" s="211"/>
      <c r="CW425" s="211"/>
      <c r="CX425" s="211"/>
      <c r="CY425" s="211"/>
      <c r="CZ425" s="211"/>
      <c r="DA425" s="211"/>
      <c r="DB425" s="211"/>
      <c r="DC425" s="219"/>
      <c r="DD425" s="219"/>
      <c r="DE425" s="219"/>
      <c r="DF425" s="211"/>
      <c r="DG425" s="211"/>
      <c r="DH425" s="211"/>
      <c r="DI425" s="211"/>
      <c r="DJ425" s="211"/>
      <c r="DK425" s="220" t="s">
        <v>32</v>
      </c>
      <c r="DT425" s="222"/>
    </row>
    <row r="426" spans="1:124" s="176" customFormat="1" ht="42" x14ac:dyDescent="0.2">
      <c r="A426" s="195" t="s">
        <v>154</v>
      </c>
      <c r="B426" s="197" t="s">
        <v>1105</v>
      </c>
      <c r="C426" s="198">
        <v>1</v>
      </c>
      <c r="D426" s="199">
        <v>3600000</v>
      </c>
      <c r="E426" s="198" t="s">
        <v>532</v>
      </c>
      <c r="F426" s="198" t="s">
        <v>256</v>
      </c>
      <c r="G426" s="198" t="s">
        <v>151</v>
      </c>
      <c r="H426" s="200">
        <v>1</v>
      </c>
      <c r="I426" s="199">
        <f t="shared" si="448"/>
        <v>0</v>
      </c>
      <c r="J426" s="199">
        <f t="shared" si="449"/>
        <v>3600000</v>
      </c>
      <c r="K426" s="199">
        <f t="shared" si="450"/>
        <v>3600000</v>
      </c>
      <c r="L426" s="199"/>
      <c r="M426" s="199">
        <v>3600000</v>
      </c>
      <c r="N426" s="199">
        <f t="shared" si="451"/>
        <v>3600000</v>
      </c>
      <c r="O426" s="199"/>
      <c r="P426" s="201">
        <v>0</v>
      </c>
      <c r="Q426" s="202">
        <v>15</v>
      </c>
      <c r="R426" s="203">
        <v>45566</v>
      </c>
      <c r="S426" s="199"/>
      <c r="T426" s="199">
        <v>3600000</v>
      </c>
      <c r="U426" s="204">
        <f t="shared" si="452"/>
        <v>3600000</v>
      </c>
      <c r="V426" s="205">
        <v>1206</v>
      </c>
      <c r="W426" s="200">
        <v>45672</v>
      </c>
      <c r="X426" s="201"/>
      <c r="Y426" s="201">
        <v>-45684</v>
      </c>
      <c r="Z426" s="201">
        <f t="shared" si="453"/>
        <v>-45684</v>
      </c>
      <c r="AA426" s="198">
        <v>1716</v>
      </c>
      <c r="AB426" s="206">
        <v>45723</v>
      </c>
      <c r="AC426" s="207"/>
      <c r="AD426" s="201">
        <v>-7130</v>
      </c>
      <c r="AE426" s="204">
        <f t="shared" si="454"/>
        <v>-7130</v>
      </c>
      <c r="AF426" s="203">
        <f t="shared" si="455"/>
        <v>45566</v>
      </c>
      <c r="AG426" s="201">
        <f t="shared" si="456"/>
        <v>0</v>
      </c>
      <c r="AH426" s="201">
        <f t="shared" si="457"/>
        <v>3547186</v>
      </c>
      <c r="AI426" s="199">
        <f t="shared" si="458"/>
        <v>3547186</v>
      </c>
      <c r="AJ426" s="201">
        <f t="shared" si="443"/>
        <v>0</v>
      </c>
      <c r="AK426" s="201">
        <f t="shared" si="443"/>
        <v>3547186</v>
      </c>
      <c r="AL426" s="201">
        <f t="shared" si="459"/>
        <v>3547186</v>
      </c>
      <c r="AM426" s="198"/>
      <c r="AN426" s="203"/>
      <c r="AO426" s="208"/>
      <c r="AP426" s="201">
        <f t="shared" si="460"/>
        <v>0</v>
      </c>
      <c r="AQ426" s="201">
        <f t="shared" si="461"/>
        <v>3141819.15</v>
      </c>
      <c r="AR426" s="201">
        <f t="shared" si="462"/>
        <v>3141819.15</v>
      </c>
      <c r="AS426" s="201">
        <f t="shared" si="463"/>
        <v>88.572156915368964</v>
      </c>
      <c r="AT426" s="201"/>
      <c r="AU426" s="223">
        <v>3141819.15</v>
      </c>
      <c r="AV426" s="201">
        <f t="shared" si="464"/>
        <v>3141819.15</v>
      </c>
      <c r="AW426" s="201">
        <f t="shared" si="473"/>
        <v>7.0478401752826043</v>
      </c>
      <c r="AX426" s="201">
        <f t="shared" si="465"/>
        <v>88.572156915368964</v>
      </c>
      <c r="AY426" s="208"/>
      <c r="AZ426" s="201">
        <f t="shared" si="466"/>
        <v>0</v>
      </c>
      <c r="BA426" s="201">
        <f t="shared" si="467"/>
        <v>0</v>
      </c>
      <c r="BB426" s="201">
        <f t="shared" si="468"/>
        <v>0</v>
      </c>
      <c r="BC426" s="201"/>
      <c r="BD426" s="223">
        <v>0</v>
      </c>
      <c r="BE426" s="201">
        <f t="shared" si="444"/>
        <v>0</v>
      </c>
      <c r="BF426" s="208"/>
      <c r="BG426" s="201">
        <f t="shared" si="441"/>
        <v>0</v>
      </c>
      <c r="BH426" s="201">
        <f t="shared" si="441"/>
        <v>3141819.15</v>
      </c>
      <c r="BI426" s="201">
        <f t="shared" si="469"/>
        <v>3141819.15</v>
      </c>
      <c r="BJ426" s="201">
        <f t="shared" si="470"/>
        <v>88.572156915368964</v>
      </c>
      <c r="BK426" s="210">
        <v>20</v>
      </c>
      <c r="BL426" s="210">
        <v>60</v>
      </c>
      <c r="BM426" s="211"/>
      <c r="BN426" s="211"/>
      <c r="BO426" s="212">
        <f t="shared" si="471"/>
        <v>0</v>
      </c>
      <c r="BP426" s="201">
        <f t="shared" si="472"/>
        <v>405366.85000000009</v>
      </c>
      <c r="BQ426" s="201">
        <f t="shared" si="445"/>
        <v>405366.85000000009</v>
      </c>
      <c r="BR426" s="201">
        <f t="shared" si="442"/>
        <v>0</v>
      </c>
      <c r="BS426" s="201">
        <f t="shared" si="442"/>
        <v>405366.85000000009</v>
      </c>
      <c r="BT426" s="201">
        <f t="shared" si="446"/>
        <v>405366.85000000009</v>
      </c>
      <c r="BU426" s="213">
        <f t="shared" si="474"/>
        <v>0</v>
      </c>
      <c r="BV426" s="201">
        <f>45684+7130</f>
        <v>52814</v>
      </c>
      <c r="BW426" s="201"/>
      <c r="BX426" s="201">
        <f t="shared" si="447"/>
        <v>52814</v>
      </c>
      <c r="BY426" s="199">
        <v>380000</v>
      </c>
      <c r="BZ426" s="199">
        <v>460000</v>
      </c>
      <c r="CA426" s="199">
        <v>460000</v>
      </c>
      <c r="CB426" s="199">
        <v>300000</v>
      </c>
      <c r="CC426" s="199">
        <v>250000</v>
      </c>
      <c r="CD426" s="199">
        <v>250000</v>
      </c>
      <c r="CE426" s="199">
        <v>250000</v>
      </c>
      <c r="CF426" s="199">
        <v>250000</v>
      </c>
      <c r="CG426" s="199">
        <v>250000</v>
      </c>
      <c r="CH426" s="199">
        <v>250000</v>
      </c>
      <c r="CI426" s="199">
        <v>250000</v>
      </c>
      <c r="CJ426" s="199">
        <v>250000</v>
      </c>
      <c r="CK426" s="214" t="s">
        <v>1106</v>
      </c>
      <c r="CL426" s="214" t="s">
        <v>610</v>
      </c>
      <c r="CM426" s="211">
        <v>198</v>
      </c>
      <c r="CN426" s="215"/>
      <c r="CO426" s="215"/>
      <c r="CP426" s="216"/>
      <c r="CQ426" s="217"/>
      <c r="CR426" s="211"/>
      <c r="CS426" s="218"/>
      <c r="CT426" s="218"/>
      <c r="CU426" s="218"/>
      <c r="CV426" s="211"/>
      <c r="CW426" s="211"/>
      <c r="CX426" s="211"/>
      <c r="CY426" s="211"/>
      <c r="CZ426" s="211"/>
      <c r="DA426" s="211"/>
      <c r="DB426" s="211"/>
      <c r="DC426" s="219"/>
      <c r="DD426" s="219"/>
      <c r="DE426" s="219"/>
      <c r="DF426" s="211"/>
      <c r="DG426" s="211"/>
      <c r="DH426" s="211"/>
      <c r="DI426" s="211"/>
      <c r="DJ426" s="211"/>
      <c r="DK426" s="220" t="s">
        <v>32</v>
      </c>
      <c r="DT426" s="222"/>
    </row>
    <row r="427" spans="1:124" s="176" customFormat="1" ht="42" x14ac:dyDescent="0.2">
      <c r="A427" s="225" t="s">
        <v>197</v>
      </c>
      <c r="B427" s="197" t="s">
        <v>1107</v>
      </c>
      <c r="C427" s="198">
        <v>1</v>
      </c>
      <c r="D427" s="199">
        <v>900000</v>
      </c>
      <c r="E427" s="198" t="s">
        <v>149</v>
      </c>
      <c r="F427" s="198" t="s">
        <v>150</v>
      </c>
      <c r="G427" s="198" t="s">
        <v>151</v>
      </c>
      <c r="H427" s="200">
        <v>1</v>
      </c>
      <c r="I427" s="199">
        <f t="shared" si="448"/>
        <v>0</v>
      </c>
      <c r="J427" s="199">
        <f t="shared" si="449"/>
        <v>900000</v>
      </c>
      <c r="K427" s="199">
        <f t="shared" si="450"/>
        <v>900000</v>
      </c>
      <c r="L427" s="199"/>
      <c r="M427" s="199">
        <v>900000</v>
      </c>
      <c r="N427" s="199">
        <f t="shared" si="451"/>
        <v>900000</v>
      </c>
      <c r="O427" s="199"/>
      <c r="P427" s="201">
        <v>0</v>
      </c>
      <c r="Q427" s="202">
        <v>15</v>
      </c>
      <c r="R427" s="203">
        <v>45566</v>
      </c>
      <c r="S427" s="199"/>
      <c r="T427" s="199">
        <v>900000</v>
      </c>
      <c r="U427" s="204">
        <f t="shared" si="452"/>
        <v>900000</v>
      </c>
      <c r="V427" s="205"/>
      <c r="W427" s="200"/>
      <c r="X427" s="201"/>
      <c r="Y427" s="201"/>
      <c r="Z427" s="201">
        <f t="shared" si="453"/>
        <v>0</v>
      </c>
      <c r="AA427" s="198"/>
      <c r="AB427" s="206"/>
      <c r="AC427" s="207"/>
      <c r="AD427" s="201"/>
      <c r="AE427" s="204">
        <f t="shared" si="454"/>
        <v>0</v>
      </c>
      <c r="AF427" s="203">
        <f t="shared" si="455"/>
        <v>45566</v>
      </c>
      <c r="AG427" s="201">
        <f t="shared" si="456"/>
        <v>0</v>
      </c>
      <c r="AH427" s="201">
        <f t="shared" si="457"/>
        <v>900000</v>
      </c>
      <c r="AI427" s="199">
        <f t="shared" si="458"/>
        <v>900000</v>
      </c>
      <c r="AJ427" s="201">
        <f t="shared" si="443"/>
        <v>0</v>
      </c>
      <c r="AK427" s="201">
        <f t="shared" si="443"/>
        <v>900000</v>
      </c>
      <c r="AL427" s="201">
        <f t="shared" si="459"/>
        <v>900000</v>
      </c>
      <c r="AM427" s="198"/>
      <c r="AN427" s="203"/>
      <c r="AO427" s="208"/>
      <c r="AP427" s="201">
        <f t="shared" si="460"/>
        <v>0</v>
      </c>
      <c r="AQ427" s="201">
        <f t="shared" si="461"/>
        <v>898421.96</v>
      </c>
      <c r="AR427" s="201">
        <f t="shared" si="462"/>
        <v>898421.96</v>
      </c>
      <c r="AS427" s="201">
        <f t="shared" si="463"/>
        <v>99.824662222222216</v>
      </c>
      <c r="AT427" s="201"/>
      <c r="AU427" s="209">
        <v>898421.96</v>
      </c>
      <c r="AV427" s="201">
        <f t="shared" si="464"/>
        <v>898421.96</v>
      </c>
      <c r="AW427" s="201">
        <f t="shared" si="473"/>
        <v>0</v>
      </c>
      <c r="AX427" s="201">
        <f t="shared" si="465"/>
        <v>99.824662222222216</v>
      </c>
      <c r="AY427" s="208"/>
      <c r="AZ427" s="201">
        <f t="shared" si="466"/>
        <v>0</v>
      </c>
      <c r="BA427" s="201">
        <f t="shared" si="467"/>
        <v>0</v>
      </c>
      <c r="BB427" s="201">
        <f t="shared" si="468"/>
        <v>0</v>
      </c>
      <c r="BC427" s="201"/>
      <c r="BD427" s="209">
        <v>0</v>
      </c>
      <c r="BE427" s="201">
        <f t="shared" si="444"/>
        <v>0</v>
      </c>
      <c r="BF427" s="208"/>
      <c r="BG427" s="201">
        <f t="shared" si="441"/>
        <v>0</v>
      </c>
      <c r="BH427" s="201">
        <f t="shared" si="441"/>
        <v>898421.96</v>
      </c>
      <c r="BI427" s="201">
        <f t="shared" si="469"/>
        <v>898421.96</v>
      </c>
      <c r="BJ427" s="201">
        <f t="shared" si="470"/>
        <v>99.824662222222216</v>
      </c>
      <c r="BK427" s="210">
        <v>73.63</v>
      </c>
      <c r="BL427" s="210">
        <v>100</v>
      </c>
      <c r="BM427" s="211"/>
      <c r="BN427" s="211"/>
      <c r="BO427" s="212">
        <f t="shared" si="471"/>
        <v>0</v>
      </c>
      <c r="BP427" s="201">
        <f t="shared" si="472"/>
        <v>1578.0400000000373</v>
      </c>
      <c r="BQ427" s="201">
        <f t="shared" si="445"/>
        <v>1578.0400000000373</v>
      </c>
      <c r="BR427" s="201">
        <f t="shared" si="442"/>
        <v>0</v>
      </c>
      <c r="BS427" s="201">
        <f t="shared" si="442"/>
        <v>1578.0400000000373</v>
      </c>
      <c r="BT427" s="201">
        <f t="shared" si="446"/>
        <v>1578.0400000000373</v>
      </c>
      <c r="BU427" s="213">
        <f t="shared" si="474"/>
        <v>0</v>
      </c>
      <c r="BV427" s="201"/>
      <c r="BW427" s="201"/>
      <c r="BX427" s="201">
        <f t="shared" si="447"/>
        <v>0</v>
      </c>
      <c r="BY427" s="199">
        <v>135000</v>
      </c>
      <c r="BZ427" s="199">
        <v>180000</v>
      </c>
      <c r="CA427" s="199">
        <v>180000</v>
      </c>
      <c r="CB427" s="199">
        <v>180000</v>
      </c>
      <c r="CC427" s="199">
        <v>135000</v>
      </c>
      <c r="CD427" s="199">
        <v>90000</v>
      </c>
      <c r="CE427" s="199">
        <v>0</v>
      </c>
      <c r="CF427" s="199">
        <v>0</v>
      </c>
      <c r="CG427" s="199">
        <v>0</v>
      </c>
      <c r="CH427" s="199">
        <v>0</v>
      </c>
      <c r="CI427" s="199">
        <v>0</v>
      </c>
      <c r="CJ427" s="199">
        <v>0</v>
      </c>
      <c r="CK427" s="214" t="s">
        <v>1108</v>
      </c>
      <c r="CL427" s="214" t="s">
        <v>610</v>
      </c>
      <c r="CM427" s="211">
        <v>198</v>
      </c>
      <c r="CN427" s="215"/>
      <c r="CO427" s="215"/>
      <c r="CP427" s="216"/>
      <c r="CQ427" s="217"/>
      <c r="CR427" s="211"/>
      <c r="CS427" s="218"/>
      <c r="CT427" s="218"/>
      <c r="CU427" s="218"/>
      <c r="CV427" s="211"/>
      <c r="CW427" s="211"/>
      <c r="CX427" s="211"/>
      <c r="CY427" s="211"/>
      <c r="CZ427" s="211"/>
      <c r="DA427" s="211"/>
      <c r="DB427" s="211"/>
      <c r="DC427" s="219"/>
      <c r="DD427" s="219"/>
      <c r="DE427" s="219"/>
      <c r="DF427" s="211"/>
      <c r="DG427" s="211"/>
      <c r="DH427" s="211"/>
      <c r="DI427" s="211"/>
      <c r="DJ427" s="211"/>
      <c r="DK427" s="220" t="s">
        <v>32</v>
      </c>
      <c r="DT427" s="222"/>
    </row>
    <row r="428" spans="1:124" s="176" customFormat="1" ht="42" x14ac:dyDescent="0.2">
      <c r="A428" s="225" t="s">
        <v>208</v>
      </c>
      <c r="B428" s="197" t="s">
        <v>1109</v>
      </c>
      <c r="C428" s="198">
        <v>1</v>
      </c>
      <c r="D428" s="199">
        <v>3500000</v>
      </c>
      <c r="E428" s="198" t="s">
        <v>1110</v>
      </c>
      <c r="F428" s="198" t="s">
        <v>555</v>
      </c>
      <c r="G428" s="198" t="s">
        <v>151</v>
      </c>
      <c r="H428" s="200">
        <v>1</v>
      </c>
      <c r="I428" s="199">
        <f t="shared" si="448"/>
        <v>0</v>
      </c>
      <c r="J428" s="199">
        <f t="shared" si="449"/>
        <v>3500000</v>
      </c>
      <c r="K428" s="199">
        <f t="shared" si="450"/>
        <v>3500000</v>
      </c>
      <c r="L428" s="199"/>
      <c r="M428" s="199">
        <v>3500000</v>
      </c>
      <c r="N428" s="199">
        <f t="shared" si="451"/>
        <v>3500000</v>
      </c>
      <c r="O428" s="199"/>
      <c r="P428" s="201">
        <v>0</v>
      </c>
      <c r="Q428" s="202">
        <v>15</v>
      </c>
      <c r="R428" s="203">
        <v>45566</v>
      </c>
      <c r="S428" s="199"/>
      <c r="T428" s="199">
        <v>3500000</v>
      </c>
      <c r="U428" s="204">
        <f t="shared" si="452"/>
        <v>3500000</v>
      </c>
      <c r="V428" s="205"/>
      <c r="W428" s="200"/>
      <c r="X428" s="201"/>
      <c r="Y428" s="201"/>
      <c r="Z428" s="201">
        <f t="shared" si="453"/>
        <v>0</v>
      </c>
      <c r="AA428" s="198"/>
      <c r="AB428" s="206"/>
      <c r="AC428" s="207"/>
      <c r="AD428" s="201"/>
      <c r="AE428" s="204">
        <f t="shared" si="454"/>
        <v>0</v>
      </c>
      <c r="AF428" s="203">
        <f t="shared" si="455"/>
        <v>45566</v>
      </c>
      <c r="AG428" s="201">
        <f t="shared" si="456"/>
        <v>0</v>
      </c>
      <c r="AH428" s="201">
        <f t="shared" si="457"/>
        <v>3500000</v>
      </c>
      <c r="AI428" s="199">
        <f t="shared" si="458"/>
        <v>3500000</v>
      </c>
      <c r="AJ428" s="201">
        <f t="shared" si="443"/>
        <v>0</v>
      </c>
      <c r="AK428" s="201">
        <f t="shared" si="443"/>
        <v>3500000</v>
      </c>
      <c r="AL428" s="201">
        <f t="shared" si="459"/>
        <v>3500000</v>
      </c>
      <c r="AM428" s="198"/>
      <c r="AN428" s="203"/>
      <c r="AO428" s="208"/>
      <c r="AP428" s="201">
        <f t="shared" si="460"/>
        <v>0</v>
      </c>
      <c r="AQ428" s="201">
        <f t="shared" si="461"/>
        <v>3490186.94</v>
      </c>
      <c r="AR428" s="201">
        <f t="shared" si="462"/>
        <v>3490186.94</v>
      </c>
      <c r="AS428" s="201">
        <f t="shared" si="463"/>
        <v>99.719626857142856</v>
      </c>
      <c r="AT428" s="201"/>
      <c r="AU428" s="209">
        <v>3490186.94</v>
      </c>
      <c r="AV428" s="201">
        <f t="shared" si="464"/>
        <v>3490186.94</v>
      </c>
      <c r="AW428" s="201">
        <f t="shared" si="473"/>
        <v>5.7142857142857144</v>
      </c>
      <c r="AX428" s="201">
        <f t="shared" si="465"/>
        <v>99.719626857142856</v>
      </c>
      <c r="AY428" s="208"/>
      <c r="AZ428" s="201">
        <f t="shared" si="466"/>
        <v>0</v>
      </c>
      <c r="BA428" s="201">
        <f t="shared" si="467"/>
        <v>0</v>
      </c>
      <c r="BB428" s="201">
        <f t="shared" si="468"/>
        <v>0</v>
      </c>
      <c r="BC428" s="201"/>
      <c r="BD428" s="209">
        <v>0</v>
      </c>
      <c r="BE428" s="201">
        <f t="shared" si="444"/>
        <v>0</v>
      </c>
      <c r="BF428" s="208"/>
      <c r="BG428" s="201">
        <f t="shared" si="441"/>
        <v>0</v>
      </c>
      <c r="BH428" s="201">
        <f t="shared" si="441"/>
        <v>3490186.94</v>
      </c>
      <c r="BI428" s="201">
        <f t="shared" si="469"/>
        <v>3490186.94</v>
      </c>
      <c r="BJ428" s="201">
        <f t="shared" si="470"/>
        <v>99.719626857142856</v>
      </c>
      <c r="BK428" s="210">
        <v>40</v>
      </c>
      <c r="BL428" s="210">
        <v>80</v>
      </c>
      <c r="BM428" s="211"/>
      <c r="BN428" s="211"/>
      <c r="BO428" s="212">
        <f t="shared" si="471"/>
        <v>0</v>
      </c>
      <c r="BP428" s="201">
        <f t="shared" si="472"/>
        <v>9813.0600000000559</v>
      </c>
      <c r="BQ428" s="201">
        <f t="shared" si="445"/>
        <v>9813.0600000000559</v>
      </c>
      <c r="BR428" s="201">
        <f t="shared" si="442"/>
        <v>0</v>
      </c>
      <c r="BS428" s="201">
        <f t="shared" si="442"/>
        <v>9813.0600000000559</v>
      </c>
      <c r="BT428" s="201">
        <f t="shared" si="446"/>
        <v>9813.0600000000559</v>
      </c>
      <c r="BU428" s="213">
        <f t="shared" si="474"/>
        <v>0</v>
      </c>
      <c r="BV428" s="201"/>
      <c r="BW428" s="201"/>
      <c r="BX428" s="201">
        <f t="shared" si="447"/>
        <v>0</v>
      </c>
      <c r="BY428" s="199">
        <v>385000</v>
      </c>
      <c r="BZ428" s="199">
        <v>500000</v>
      </c>
      <c r="CA428" s="199">
        <v>500000</v>
      </c>
      <c r="CB428" s="199">
        <v>200000</v>
      </c>
      <c r="CC428" s="199">
        <v>200000</v>
      </c>
      <c r="CD428" s="199">
        <v>200000</v>
      </c>
      <c r="CE428" s="199">
        <v>565000</v>
      </c>
      <c r="CF428" s="199">
        <v>200000</v>
      </c>
      <c r="CG428" s="199">
        <v>200000</v>
      </c>
      <c r="CH428" s="199">
        <v>200000</v>
      </c>
      <c r="CI428" s="199">
        <v>200000</v>
      </c>
      <c r="CJ428" s="199">
        <v>150000</v>
      </c>
      <c r="CK428" s="214" t="s">
        <v>1111</v>
      </c>
      <c r="CL428" s="214" t="s">
        <v>610</v>
      </c>
      <c r="CM428" s="211">
        <v>198</v>
      </c>
      <c r="CN428" s="215"/>
      <c r="CO428" s="215"/>
      <c r="CP428" s="216"/>
      <c r="CQ428" s="217"/>
      <c r="CR428" s="211"/>
      <c r="CS428" s="218"/>
      <c r="CT428" s="218"/>
      <c r="CU428" s="218"/>
      <c r="CV428" s="211"/>
      <c r="CW428" s="211"/>
      <c r="CX428" s="211"/>
      <c r="CY428" s="211"/>
      <c r="CZ428" s="211"/>
      <c r="DA428" s="211"/>
      <c r="DB428" s="211"/>
      <c r="DC428" s="219"/>
      <c r="DD428" s="219"/>
      <c r="DE428" s="219"/>
      <c r="DF428" s="211"/>
      <c r="DG428" s="211"/>
      <c r="DH428" s="211"/>
      <c r="DI428" s="211"/>
      <c r="DJ428" s="211"/>
      <c r="DK428" s="220" t="s">
        <v>32</v>
      </c>
      <c r="DT428" s="222"/>
    </row>
    <row r="429" spans="1:124" s="176" customFormat="1" ht="42" x14ac:dyDescent="0.2">
      <c r="A429" s="225" t="s">
        <v>208</v>
      </c>
      <c r="B429" s="197" t="s">
        <v>1112</v>
      </c>
      <c r="C429" s="198">
        <v>1</v>
      </c>
      <c r="D429" s="199">
        <v>6000000</v>
      </c>
      <c r="E429" s="198" t="s">
        <v>1113</v>
      </c>
      <c r="F429" s="198" t="s">
        <v>555</v>
      </c>
      <c r="G429" s="198" t="s">
        <v>151</v>
      </c>
      <c r="H429" s="200">
        <v>1</v>
      </c>
      <c r="I429" s="199">
        <f t="shared" si="448"/>
        <v>0</v>
      </c>
      <c r="J429" s="199">
        <f t="shared" si="449"/>
        <v>6000000</v>
      </c>
      <c r="K429" s="199">
        <f t="shared" si="450"/>
        <v>6000000</v>
      </c>
      <c r="L429" s="199"/>
      <c r="M429" s="199">
        <v>6000000</v>
      </c>
      <c r="N429" s="199">
        <f t="shared" si="451"/>
        <v>6000000</v>
      </c>
      <c r="O429" s="199"/>
      <c r="P429" s="201">
        <v>0</v>
      </c>
      <c r="Q429" s="202">
        <v>15</v>
      </c>
      <c r="R429" s="203">
        <v>45566</v>
      </c>
      <c r="S429" s="199"/>
      <c r="T429" s="199">
        <v>6000000</v>
      </c>
      <c r="U429" s="204">
        <f t="shared" si="452"/>
        <v>6000000</v>
      </c>
      <c r="V429" s="205">
        <v>1133</v>
      </c>
      <c r="W429" s="200">
        <v>45667</v>
      </c>
      <c r="X429" s="201"/>
      <c r="Y429" s="201">
        <v>-105000.59</v>
      </c>
      <c r="Z429" s="201">
        <f t="shared" si="453"/>
        <v>-105000.59</v>
      </c>
      <c r="AA429" s="198"/>
      <c r="AB429" s="206"/>
      <c r="AC429" s="207"/>
      <c r="AD429" s="201"/>
      <c r="AE429" s="204">
        <f t="shared" si="454"/>
        <v>0</v>
      </c>
      <c r="AF429" s="203">
        <f t="shared" si="455"/>
        <v>45566</v>
      </c>
      <c r="AG429" s="201">
        <f t="shared" si="456"/>
        <v>0</v>
      </c>
      <c r="AH429" s="201">
        <f t="shared" si="457"/>
        <v>5894999.4100000001</v>
      </c>
      <c r="AI429" s="199">
        <f t="shared" si="458"/>
        <v>5894999.4100000001</v>
      </c>
      <c r="AJ429" s="201">
        <f t="shared" si="443"/>
        <v>0</v>
      </c>
      <c r="AK429" s="201">
        <f t="shared" si="443"/>
        <v>5894999.4100000001</v>
      </c>
      <c r="AL429" s="201">
        <f t="shared" si="459"/>
        <v>5894999.4100000001</v>
      </c>
      <c r="AM429" s="198"/>
      <c r="AN429" s="203"/>
      <c r="AO429" s="208"/>
      <c r="AP429" s="201">
        <f t="shared" si="460"/>
        <v>0</v>
      </c>
      <c r="AQ429" s="201">
        <f t="shared" si="461"/>
        <v>4659816.22</v>
      </c>
      <c r="AR429" s="201">
        <f t="shared" si="462"/>
        <v>4659816.22</v>
      </c>
      <c r="AS429" s="201">
        <f t="shared" si="463"/>
        <v>79.046932762966975</v>
      </c>
      <c r="AT429" s="201"/>
      <c r="AU429" s="209">
        <v>4659816.22</v>
      </c>
      <c r="AV429" s="201">
        <f t="shared" si="464"/>
        <v>4659816.22</v>
      </c>
      <c r="AW429" s="201">
        <f t="shared" si="473"/>
        <v>6.5309590930052357</v>
      </c>
      <c r="AX429" s="201">
        <f t="shared" si="465"/>
        <v>79.046932762966975</v>
      </c>
      <c r="AY429" s="208"/>
      <c r="AZ429" s="201">
        <f t="shared" si="466"/>
        <v>0</v>
      </c>
      <c r="BA429" s="201">
        <f t="shared" si="467"/>
        <v>30000</v>
      </c>
      <c r="BB429" s="201">
        <f t="shared" si="468"/>
        <v>30000</v>
      </c>
      <c r="BC429" s="201"/>
      <c r="BD429" s="209">
        <v>30000</v>
      </c>
      <c r="BE429" s="201">
        <f t="shared" si="444"/>
        <v>30000</v>
      </c>
      <c r="BF429" s="208"/>
      <c r="BG429" s="201">
        <f t="shared" si="441"/>
        <v>0</v>
      </c>
      <c r="BH429" s="201">
        <f t="shared" si="441"/>
        <v>4689816.22</v>
      </c>
      <c r="BI429" s="201">
        <f t="shared" si="469"/>
        <v>4689816.22</v>
      </c>
      <c r="BJ429" s="201">
        <f t="shared" si="470"/>
        <v>79.555838666318039</v>
      </c>
      <c r="BK429" s="210">
        <v>35</v>
      </c>
      <c r="BL429" s="210">
        <v>65</v>
      </c>
      <c r="BM429" s="211"/>
      <c r="BN429" s="211"/>
      <c r="BO429" s="212">
        <f t="shared" si="471"/>
        <v>0</v>
      </c>
      <c r="BP429" s="201">
        <f t="shared" si="472"/>
        <v>1235183.1900000004</v>
      </c>
      <c r="BQ429" s="201">
        <f t="shared" si="445"/>
        <v>1235183.1900000004</v>
      </c>
      <c r="BR429" s="201">
        <f t="shared" si="442"/>
        <v>0</v>
      </c>
      <c r="BS429" s="201">
        <f t="shared" si="442"/>
        <v>1235183.1900000004</v>
      </c>
      <c r="BT429" s="201">
        <f t="shared" si="446"/>
        <v>1235183.1900000004</v>
      </c>
      <c r="BU429" s="213">
        <f t="shared" si="474"/>
        <v>0</v>
      </c>
      <c r="BV429" s="201">
        <v>105000.59</v>
      </c>
      <c r="BW429" s="201"/>
      <c r="BX429" s="201">
        <f t="shared" si="447"/>
        <v>105000.59</v>
      </c>
      <c r="BY429" s="199">
        <v>750000</v>
      </c>
      <c r="BZ429" s="199">
        <v>750000</v>
      </c>
      <c r="CA429" s="199">
        <v>600000</v>
      </c>
      <c r="CB429" s="199">
        <v>750000</v>
      </c>
      <c r="CC429" s="199">
        <v>350000</v>
      </c>
      <c r="CD429" s="199">
        <v>480000</v>
      </c>
      <c r="CE429" s="199">
        <v>480000</v>
      </c>
      <c r="CF429" s="199">
        <v>385000</v>
      </c>
      <c r="CG429" s="199">
        <v>385000</v>
      </c>
      <c r="CH429" s="199">
        <v>385000</v>
      </c>
      <c r="CI429" s="199">
        <v>385000</v>
      </c>
      <c r="CJ429" s="199">
        <v>300000</v>
      </c>
      <c r="CK429" s="214" t="s">
        <v>1114</v>
      </c>
      <c r="CL429" s="214" t="s">
        <v>610</v>
      </c>
      <c r="CM429" s="211">
        <v>198</v>
      </c>
      <c r="CN429" s="215"/>
      <c r="CO429" s="215"/>
      <c r="CP429" s="216"/>
      <c r="CQ429" s="217"/>
      <c r="CR429" s="211"/>
      <c r="CS429" s="218"/>
      <c r="CT429" s="218"/>
      <c r="CU429" s="218"/>
      <c r="CV429" s="211"/>
      <c r="CW429" s="211"/>
      <c r="CX429" s="211"/>
      <c r="CY429" s="211"/>
      <c r="CZ429" s="211"/>
      <c r="DA429" s="211"/>
      <c r="DB429" s="211"/>
      <c r="DC429" s="219"/>
      <c r="DD429" s="219"/>
      <c r="DE429" s="219"/>
      <c r="DF429" s="211"/>
      <c r="DG429" s="211"/>
      <c r="DH429" s="211"/>
      <c r="DI429" s="211"/>
      <c r="DJ429" s="211"/>
      <c r="DK429" s="220" t="s">
        <v>32</v>
      </c>
      <c r="DT429" s="222"/>
    </row>
    <row r="430" spans="1:124" s="176" customFormat="1" ht="42" x14ac:dyDescent="0.2">
      <c r="A430" s="225" t="s">
        <v>197</v>
      </c>
      <c r="B430" s="197" t="s">
        <v>1115</v>
      </c>
      <c r="C430" s="198">
        <v>1</v>
      </c>
      <c r="D430" s="199">
        <v>1190000</v>
      </c>
      <c r="E430" s="198" t="s">
        <v>156</v>
      </c>
      <c r="F430" s="198" t="s">
        <v>150</v>
      </c>
      <c r="G430" s="198" t="s">
        <v>151</v>
      </c>
      <c r="H430" s="200">
        <v>1</v>
      </c>
      <c r="I430" s="199">
        <f t="shared" si="448"/>
        <v>0</v>
      </c>
      <c r="J430" s="199">
        <f t="shared" si="449"/>
        <v>1190000</v>
      </c>
      <c r="K430" s="199">
        <f t="shared" si="450"/>
        <v>1190000</v>
      </c>
      <c r="L430" s="199"/>
      <c r="M430" s="199">
        <v>1190000</v>
      </c>
      <c r="N430" s="199">
        <f t="shared" si="451"/>
        <v>1190000</v>
      </c>
      <c r="O430" s="199"/>
      <c r="P430" s="201">
        <v>0</v>
      </c>
      <c r="Q430" s="202">
        <v>15</v>
      </c>
      <c r="R430" s="203">
        <v>45566</v>
      </c>
      <c r="S430" s="199"/>
      <c r="T430" s="199">
        <v>1190000</v>
      </c>
      <c r="U430" s="204">
        <f t="shared" si="452"/>
        <v>1190000</v>
      </c>
      <c r="V430" s="205"/>
      <c r="W430" s="200"/>
      <c r="X430" s="201"/>
      <c r="Y430" s="201"/>
      <c r="Z430" s="201">
        <f t="shared" si="453"/>
        <v>0</v>
      </c>
      <c r="AA430" s="198"/>
      <c r="AB430" s="206"/>
      <c r="AC430" s="207"/>
      <c r="AD430" s="201"/>
      <c r="AE430" s="204">
        <f t="shared" si="454"/>
        <v>0</v>
      </c>
      <c r="AF430" s="203">
        <f t="shared" si="455"/>
        <v>45566</v>
      </c>
      <c r="AG430" s="201">
        <f t="shared" si="456"/>
        <v>0</v>
      </c>
      <c r="AH430" s="201">
        <f t="shared" si="457"/>
        <v>1190000</v>
      </c>
      <c r="AI430" s="199">
        <f t="shared" si="458"/>
        <v>1190000</v>
      </c>
      <c r="AJ430" s="201">
        <f t="shared" si="443"/>
        <v>0</v>
      </c>
      <c r="AK430" s="201">
        <f t="shared" si="443"/>
        <v>1190000</v>
      </c>
      <c r="AL430" s="201">
        <f t="shared" si="459"/>
        <v>1190000</v>
      </c>
      <c r="AM430" s="198"/>
      <c r="AN430" s="203"/>
      <c r="AO430" s="208"/>
      <c r="AP430" s="201">
        <f t="shared" si="460"/>
        <v>0</v>
      </c>
      <c r="AQ430" s="201">
        <f t="shared" si="461"/>
        <v>1187992.8</v>
      </c>
      <c r="AR430" s="201">
        <f t="shared" si="462"/>
        <v>1187992.8</v>
      </c>
      <c r="AS430" s="201">
        <f t="shared" si="463"/>
        <v>99.831327731092443</v>
      </c>
      <c r="AT430" s="201"/>
      <c r="AU430" s="209">
        <v>1187992.8</v>
      </c>
      <c r="AV430" s="201">
        <f t="shared" si="464"/>
        <v>1187992.8</v>
      </c>
      <c r="AW430" s="201">
        <f t="shared" si="473"/>
        <v>0</v>
      </c>
      <c r="AX430" s="201">
        <f t="shared" si="465"/>
        <v>99.831327731092443</v>
      </c>
      <c r="AY430" s="208"/>
      <c r="AZ430" s="201">
        <f t="shared" si="466"/>
        <v>0</v>
      </c>
      <c r="BA430" s="201">
        <f t="shared" si="467"/>
        <v>0</v>
      </c>
      <c r="BB430" s="201">
        <f t="shared" si="468"/>
        <v>0</v>
      </c>
      <c r="BC430" s="201"/>
      <c r="BD430" s="209">
        <v>0</v>
      </c>
      <c r="BE430" s="201">
        <f t="shared" si="444"/>
        <v>0</v>
      </c>
      <c r="BF430" s="208"/>
      <c r="BG430" s="201">
        <f t="shared" si="441"/>
        <v>0</v>
      </c>
      <c r="BH430" s="201">
        <f t="shared" si="441"/>
        <v>1187992.8</v>
      </c>
      <c r="BI430" s="201">
        <f t="shared" si="469"/>
        <v>1187992.8</v>
      </c>
      <c r="BJ430" s="201">
        <f t="shared" si="470"/>
        <v>99.831327731092443</v>
      </c>
      <c r="BK430" s="210">
        <v>53.97</v>
      </c>
      <c r="BL430" s="210">
        <v>100</v>
      </c>
      <c r="BM430" s="211"/>
      <c r="BN430" s="211"/>
      <c r="BO430" s="212">
        <f t="shared" si="471"/>
        <v>0</v>
      </c>
      <c r="BP430" s="201">
        <f t="shared" si="472"/>
        <v>2007.1999999999534</v>
      </c>
      <c r="BQ430" s="201">
        <f t="shared" si="445"/>
        <v>2007.1999999999534</v>
      </c>
      <c r="BR430" s="201">
        <f t="shared" si="442"/>
        <v>0</v>
      </c>
      <c r="BS430" s="201">
        <f t="shared" si="442"/>
        <v>2007.1999999999534</v>
      </c>
      <c r="BT430" s="201">
        <f t="shared" si="446"/>
        <v>2007.1999999999534</v>
      </c>
      <c r="BU430" s="213">
        <f t="shared" si="474"/>
        <v>0</v>
      </c>
      <c r="BV430" s="201"/>
      <c r="BW430" s="201"/>
      <c r="BX430" s="201">
        <f t="shared" si="447"/>
        <v>0</v>
      </c>
      <c r="BY430" s="199">
        <v>59500</v>
      </c>
      <c r="BZ430" s="199">
        <v>59500</v>
      </c>
      <c r="CA430" s="199">
        <v>238000</v>
      </c>
      <c r="CB430" s="199">
        <v>357000</v>
      </c>
      <c r="CC430" s="199">
        <v>357000</v>
      </c>
      <c r="CD430" s="199">
        <v>119000</v>
      </c>
      <c r="CE430" s="199">
        <v>0</v>
      </c>
      <c r="CF430" s="199">
        <v>0</v>
      </c>
      <c r="CG430" s="199">
        <v>0</v>
      </c>
      <c r="CH430" s="199">
        <v>0</v>
      </c>
      <c r="CI430" s="199">
        <v>0</v>
      </c>
      <c r="CJ430" s="199">
        <v>0</v>
      </c>
      <c r="CK430" s="214" t="s">
        <v>1116</v>
      </c>
      <c r="CL430" s="214" t="s">
        <v>610</v>
      </c>
      <c r="CM430" s="211">
        <v>198</v>
      </c>
      <c r="CN430" s="215"/>
      <c r="CO430" s="215"/>
      <c r="CP430" s="216"/>
      <c r="CQ430" s="217"/>
      <c r="CR430" s="211"/>
      <c r="CS430" s="218"/>
      <c r="CT430" s="218"/>
      <c r="CU430" s="218"/>
      <c r="CV430" s="211"/>
      <c r="CW430" s="211"/>
      <c r="CX430" s="211"/>
      <c r="CY430" s="211"/>
      <c r="CZ430" s="211"/>
      <c r="DA430" s="211"/>
      <c r="DB430" s="211"/>
      <c r="DC430" s="219"/>
      <c r="DD430" s="219"/>
      <c r="DE430" s="219"/>
      <c r="DF430" s="211"/>
      <c r="DG430" s="211"/>
      <c r="DH430" s="211"/>
      <c r="DI430" s="211"/>
      <c r="DJ430" s="211"/>
      <c r="DK430" s="220" t="s">
        <v>32</v>
      </c>
      <c r="DT430" s="222"/>
    </row>
    <row r="431" spans="1:124" s="176" customFormat="1" ht="42" x14ac:dyDescent="0.2">
      <c r="A431" s="225" t="s">
        <v>197</v>
      </c>
      <c r="B431" s="197" t="s">
        <v>1117</v>
      </c>
      <c r="C431" s="198">
        <v>1</v>
      </c>
      <c r="D431" s="199">
        <v>750000</v>
      </c>
      <c r="E431" s="198" t="s">
        <v>267</v>
      </c>
      <c r="F431" s="198" t="s">
        <v>150</v>
      </c>
      <c r="G431" s="198" t="s">
        <v>151</v>
      </c>
      <c r="H431" s="200">
        <v>1</v>
      </c>
      <c r="I431" s="199">
        <f t="shared" si="448"/>
        <v>0</v>
      </c>
      <c r="J431" s="199">
        <f t="shared" si="449"/>
        <v>750000</v>
      </c>
      <c r="K431" s="199">
        <f t="shared" si="450"/>
        <v>750000</v>
      </c>
      <c r="L431" s="199"/>
      <c r="M431" s="199">
        <v>750000</v>
      </c>
      <c r="N431" s="199">
        <f t="shared" si="451"/>
        <v>750000</v>
      </c>
      <c r="O431" s="199"/>
      <c r="P431" s="201">
        <v>0</v>
      </c>
      <c r="Q431" s="202">
        <v>15</v>
      </c>
      <c r="R431" s="203">
        <v>45566</v>
      </c>
      <c r="S431" s="199"/>
      <c r="T431" s="199">
        <v>750000</v>
      </c>
      <c r="U431" s="204">
        <f t="shared" si="452"/>
        <v>750000</v>
      </c>
      <c r="V431" s="205"/>
      <c r="W431" s="200"/>
      <c r="X431" s="201"/>
      <c r="Y431" s="201"/>
      <c r="Z431" s="201">
        <f t="shared" si="453"/>
        <v>0</v>
      </c>
      <c r="AA431" s="198"/>
      <c r="AB431" s="206"/>
      <c r="AC431" s="207"/>
      <c r="AD431" s="201"/>
      <c r="AE431" s="204">
        <f t="shared" si="454"/>
        <v>0</v>
      </c>
      <c r="AF431" s="203">
        <f t="shared" si="455"/>
        <v>45566</v>
      </c>
      <c r="AG431" s="201">
        <f t="shared" si="456"/>
        <v>0</v>
      </c>
      <c r="AH431" s="201">
        <f t="shared" si="457"/>
        <v>750000</v>
      </c>
      <c r="AI431" s="199">
        <f t="shared" si="458"/>
        <v>750000</v>
      </c>
      <c r="AJ431" s="201">
        <f t="shared" si="443"/>
        <v>0</v>
      </c>
      <c r="AK431" s="201">
        <f t="shared" si="443"/>
        <v>750000</v>
      </c>
      <c r="AL431" s="201">
        <f t="shared" si="459"/>
        <v>750000</v>
      </c>
      <c r="AM431" s="198"/>
      <c r="AN431" s="203"/>
      <c r="AO431" s="208"/>
      <c r="AP431" s="201">
        <f t="shared" si="460"/>
        <v>0</v>
      </c>
      <c r="AQ431" s="201">
        <f t="shared" si="461"/>
        <v>748768.19</v>
      </c>
      <c r="AR431" s="201">
        <f t="shared" si="462"/>
        <v>748768.19</v>
      </c>
      <c r="AS431" s="201">
        <f t="shared" si="463"/>
        <v>99.835758666666663</v>
      </c>
      <c r="AT431" s="201"/>
      <c r="AU431" s="209">
        <v>748768.19</v>
      </c>
      <c r="AV431" s="201">
        <f t="shared" si="464"/>
        <v>748768.19</v>
      </c>
      <c r="AW431" s="201">
        <f t="shared" si="473"/>
        <v>0</v>
      </c>
      <c r="AX431" s="201">
        <f t="shared" si="465"/>
        <v>99.835758666666663</v>
      </c>
      <c r="AY431" s="208"/>
      <c r="AZ431" s="201">
        <f t="shared" si="466"/>
        <v>0</v>
      </c>
      <c r="BA431" s="201">
        <f t="shared" si="467"/>
        <v>0</v>
      </c>
      <c r="BB431" s="201">
        <f t="shared" si="468"/>
        <v>0</v>
      </c>
      <c r="BC431" s="201"/>
      <c r="BD431" s="209">
        <v>0</v>
      </c>
      <c r="BE431" s="201">
        <f t="shared" si="444"/>
        <v>0</v>
      </c>
      <c r="BF431" s="208"/>
      <c r="BG431" s="201">
        <f t="shared" si="441"/>
        <v>0</v>
      </c>
      <c r="BH431" s="201">
        <f t="shared" si="441"/>
        <v>748768.19</v>
      </c>
      <c r="BI431" s="201">
        <f t="shared" si="469"/>
        <v>748768.19</v>
      </c>
      <c r="BJ431" s="201">
        <f t="shared" si="470"/>
        <v>99.835758666666663</v>
      </c>
      <c r="BK431" s="210">
        <v>58.54</v>
      </c>
      <c r="BL431" s="210">
        <v>100</v>
      </c>
      <c r="BM431" s="211"/>
      <c r="BN431" s="211"/>
      <c r="BO431" s="212">
        <f t="shared" si="471"/>
        <v>0</v>
      </c>
      <c r="BP431" s="201">
        <f t="shared" si="472"/>
        <v>1231.8100000000559</v>
      </c>
      <c r="BQ431" s="201">
        <f t="shared" si="445"/>
        <v>1231.8100000000559</v>
      </c>
      <c r="BR431" s="201">
        <f t="shared" si="442"/>
        <v>0</v>
      </c>
      <c r="BS431" s="201">
        <f t="shared" si="442"/>
        <v>1231.8100000000559</v>
      </c>
      <c r="BT431" s="201">
        <f t="shared" si="446"/>
        <v>1231.8100000000559</v>
      </c>
      <c r="BU431" s="213">
        <f t="shared" si="474"/>
        <v>0</v>
      </c>
      <c r="BV431" s="201"/>
      <c r="BW431" s="201"/>
      <c r="BX431" s="201">
        <f t="shared" si="447"/>
        <v>0</v>
      </c>
      <c r="BY431" s="199">
        <v>75000</v>
      </c>
      <c r="BZ431" s="199">
        <v>187500</v>
      </c>
      <c r="CA431" s="199">
        <v>187500</v>
      </c>
      <c r="CB431" s="199">
        <v>187500</v>
      </c>
      <c r="CC431" s="199">
        <v>112500</v>
      </c>
      <c r="CD431" s="199">
        <v>0</v>
      </c>
      <c r="CE431" s="199">
        <v>0</v>
      </c>
      <c r="CF431" s="199">
        <v>0</v>
      </c>
      <c r="CG431" s="199">
        <v>0</v>
      </c>
      <c r="CH431" s="199">
        <v>0</v>
      </c>
      <c r="CI431" s="199">
        <v>0</v>
      </c>
      <c r="CJ431" s="199">
        <v>0</v>
      </c>
      <c r="CK431" s="214" t="s">
        <v>1118</v>
      </c>
      <c r="CL431" s="214" t="s">
        <v>610</v>
      </c>
      <c r="CM431" s="211">
        <v>198</v>
      </c>
      <c r="CN431" s="215"/>
      <c r="CO431" s="215"/>
      <c r="CP431" s="216"/>
      <c r="CQ431" s="217"/>
      <c r="CR431" s="211"/>
      <c r="CS431" s="218"/>
      <c r="CT431" s="218"/>
      <c r="CU431" s="218"/>
      <c r="CV431" s="211"/>
      <c r="CW431" s="211"/>
      <c r="CX431" s="211"/>
      <c r="CY431" s="211"/>
      <c r="CZ431" s="211"/>
      <c r="DA431" s="211"/>
      <c r="DB431" s="211"/>
      <c r="DC431" s="219"/>
      <c r="DD431" s="219"/>
      <c r="DE431" s="219"/>
      <c r="DF431" s="211"/>
      <c r="DG431" s="211"/>
      <c r="DH431" s="211"/>
      <c r="DI431" s="211"/>
      <c r="DJ431" s="211"/>
      <c r="DK431" s="220" t="s">
        <v>32</v>
      </c>
      <c r="DT431" s="222"/>
    </row>
    <row r="432" spans="1:124" s="176" customFormat="1" ht="42" x14ac:dyDescent="0.2">
      <c r="A432" s="225" t="s">
        <v>197</v>
      </c>
      <c r="B432" s="197" t="s">
        <v>1119</v>
      </c>
      <c r="C432" s="198">
        <v>1</v>
      </c>
      <c r="D432" s="199">
        <v>500000</v>
      </c>
      <c r="E432" s="198" t="s">
        <v>267</v>
      </c>
      <c r="F432" s="198" t="s">
        <v>150</v>
      </c>
      <c r="G432" s="198" t="s">
        <v>151</v>
      </c>
      <c r="H432" s="200">
        <v>1</v>
      </c>
      <c r="I432" s="199">
        <f t="shared" si="448"/>
        <v>0</v>
      </c>
      <c r="J432" s="199">
        <f t="shared" si="449"/>
        <v>500000</v>
      </c>
      <c r="K432" s="199">
        <f t="shared" si="450"/>
        <v>500000</v>
      </c>
      <c r="L432" s="199"/>
      <c r="M432" s="199">
        <v>500000</v>
      </c>
      <c r="N432" s="199">
        <f t="shared" si="451"/>
        <v>500000</v>
      </c>
      <c r="O432" s="199"/>
      <c r="P432" s="201">
        <v>0</v>
      </c>
      <c r="Q432" s="202">
        <v>15</v>
      </c>
      <c r="R432" s="203">
        <v>45566</v>
      </c>
      <c r="S432" s="199"/>
      <c r="T432" s="199">
        <v>500000</v>
      </c>
      <c r="U432" s="204">
        <f t="shared" si="452"/>
        <v>500000</v>
      </c>
      <c r="V432" s="205"/>
      <c r="W432" s="200"/>
      <c r="X432" s="201"/>
      <c r="Y432" s="201"/>
      <c r="Z432" s="201">
        <f t="shared" si="453"/>
        <v>0</v>
      </c>
      <c r="AA432" s="198"/>
      <c r="AB432" s="206"/>
      <c r="AC432" s="207"/>
      <c r="AD432" s="201"/>
      <c r="AE432" s="204">
        <f t="shared" si="454"/>
        <v>0</v>
      </c>
      <c r="AF432" s="203">
        <f t="shared" si="455"/>
        <v>45566</v>
      </c>
      <c r="AG432" s="201">
        <f t="shared" si="456"/>
        <v>0</v>
      </c>
      <c r="AH432" s="201">
        <f t="shared" si="457"/>
        <v>500000</v>
      </c>
      <c r="AI432" s="199">
        <f t="shared" si="458"/>
        <v>500000</v>
      </c>
      <c r="AJ432" s="201">
        <f t="shared" si="443"/>
        <v>0</v>
      </c>
      <c r="AK432" s="201">
        <f t="shared" si="443"/>
        <v>500000</v>
      </c>
      <c r="AL432" s="201">
        <f t="shared" si="459"/>
        <v>500000</v>
      </c>
      <c r="AM432" s="198"/>
      <c r="AN432" s="203"/>
      <c r="AO432" s="208"/>
      <c r="AP432" s="201">
        <f t="shared" si="460"/>
        <v>0</v>
      </c>
      <c r="AQ432" s="201">
        <f t="shared" si="461"/>
        <v>498870.4</v>
      </c>
      <c r="AR432" s="201">
        <f t="shared" si="462"/>
        <v>498870.4</v>
      </c>
      <c r="AS432" s="201">
        <f t="shared" si="463"/>
        <v>99.774079999999998</v>
      </c>
      <c r="AT432" s="201"/>
      <c r="AU432" s="209">
        <v>498870.4</v>
      </c>
      <c r="AV432" s="201">
        <f t="shared" si="464"/>
        <v>498870.4</v>
      </c>
      <c r="AW432" s="201">
        <f t="shared" si="473"/>
        <v>0</v>
      </c>
      <c r="AX432" s="201">
        <f t="shared" si="465"/>
        <v>99.774079999999998</v>
      </c>
      <c r="AY432" s="208"/>
      <c r="AZ432" s="201">
        <f t="shared" si="466"/>
        <v>0</v>
      </c>
      <c r="BA432" s="201">
        <f t="shared" si="467"/>
        <v>0</v>
      </c>
      <c r="BB432" s="201">
        <f t="shared" si="468"/>
        <v>0</v>
      </c>
      <c r="BC432" s="201"/>
      <c r="BD432" s="209">
        <v>0</v>
      </c>
      <c r="BE432" s="201">
        <f t="shared" si="444"/>
        <v>0</v>
      </c>
      <c r="BF432" s="208"/>
      <c r="BG432" s="201">
        <f t="shared" si="441"/>
        <v>0</v>
      </c>
      <c r="BH432" s="201">
        <f t="shared" si="441"/>
        <v>498870.4</v>
      </c>
      <c r="BI432" s="201">
        <f t="shared" si="469"/>
        <v>498870.4</v>
      </c>
      <c r="BJ432" s="201">
        <f t="shared" si="470"/>
        <v>99.774079999999998</v>
      </c>
      <c r="BK432" s="210">
        <v>64.510000000000005</v>
      </c>
      <c r="BL432" s="210">
        <v>100</v>
      </c>
      <c r="BM432" s="211"/>
      <c r="BN432" s="211"/>
      <c r="BO432" s="212">
        <f t="shared" si="471"/>
        <v>0</v>
      </c>
      <c r="BP432" s="201">
        <f t="shared" si="472"/>
        <v>1129.5999999999767</v>
      </c>
      <c r="BQ432" s="201">
        <f t="shared" si="445"/>
        <v>1129.5999999999767</v>
      </c>
      <c r="BR432" s="201">
        <f t="shared" si="442"/>
        <v>0</v>
      </c>
      <c r="BS432" s="201">
        <f t="shared" si="442"/>
        <v>1129.5999999999767</v>
      </c>
      <c r="BT432" s="201">
        <f t="shared" si="446"/>
        <v>1129.5999999999767</v>
      </c>
      <c r="BU432" s="213">
        <f t="shared" si="474"/>
        <v>0</v>
      </c>
      <c r="BV432" s="201"/>
      <c r="BW432" s="201"/>
      <c r="BX432" s="201">
        <f t="shared" si="447"/>
        <v>0</v>
      </c>
      <c r="BY432" s="199">
        <v>75000</v>
      </c>
      <c r="BZ432" s="199">
        <v>175000</v>
      </c>
      <c r="CA432" s="199">
        <v>175000</v>
      </c>
      <c r="CB432" s="199">
        <v>75000</v>
      </c>
      <c r="CC432" s="199">
        <v>0</v>
      </c>
      <c r="CD432" s="199">
        <v>0</v>
      </c>
      <c r="CE432" s="199">
        <v>0</v>
      </c>
      <c r="CF432" s="199">
        <v>0</v>
      </c>
      <c r="CG432" s="199">
        <v>0</v>
      </c>
      <c r="CH432" s="199">
        <v>0</v>
      </c>
      <c r="CI432" s="199">
        <v>0</v>
      </c>
      <c r="CJ432" s="199">
        <v>0</v>
      </c>
      <c r="CK432" s="214" t="s">
        <v>1120</v>
      </c>
      <c r="CL432" s="214" t="s">
        <v>610</v>
      </c>
      <c r="CM432" s="211">
        <v>198</v>
      </c>
      <c r="CN432" s="215"/>
      <c r="CO432" s="215"/>
      <c r="CP432" s="216"/>
      <c r="CQ432" s="217"/>
      <c r="CR432" s="211"/>
      <c r="CS432" s="218"/>
      <c r="CT432" s="218"/>
      <c r="CU432" s="218"/>
      <c r="CV432" s="211"/>
      <c r="CW432" s="211"/>
      <c r="CX432" s="211"/>
      <c r="CY432" s="211"/>
      <c r="CZ432" s="211"/>
      <c r="DA432" s="211"/>
      <c r="DB432" s="211"/>
      <c r="DC432" s="219"/>
      <c r="DD432" s="219"/>
      <c r="DE432" s="219"/>
      <c r="DF432" s="211"/>
      <c r="DG432" s="211"/>
      <c r="DH432" s="211"/>
      <c r="DI432" s="211"/>
      <c r="DJ432" s="211"/>
      <c r="DK432" s="220" t="s">
        <v>32</v>
      </c>
      <c r="DT432" s="222"/>
    </row>
    <row r="433" spans="1:124" s="176" customFormat="1" ht="42" x14ac:dyDescent="0.2">
      <c r="A433" s="225" t="s">
        <v>197</v>
      </c>
      <c r="B433" s="197" t="s">
        <v>1121</v>
      </c>
      <c r="C433" s="198">
        <v>1</v>
      </c>
      <c r="D433" s="199">
        <v>1200000</v>
      </c>
      <c r="E433" s="198" t="s">
        <v>206</v>
      </c>
      <c r="F433" s="198" t="s">
        <v>150</v>
      </c>
      <c r="G433" s="198" t="s">
        <v>151</v>
      </c>
      <c r="H433" s="200">
        <v>1</v>
      </c>
      <c r="I433" s="199">
        <f t="shared" si="448"/>
        <v>0</v>
      </c>
      <c r="J433" s="199">
        <f t="shared" si="449"/>
        <v>1200000</v>
      </c>
      <c r="K433" s="199">
        <f t="shared" si="450"/>
        <v>1200000</v>
      </c>
      <c r="L433" s="199"/>
      <c r="M433" s="199">
        <v>1200000</v>
      </c>
      <c r="N433" s="199">
        <f t="shared" si="451"/>
        <v>1200000</v>
      </c>
      <c r="O433" s="199"/>
      <c r="P433" s="201">
        <v>0</v>
      </c>
      <c r="Q433" s="202">
        <v>15</v>
      </c>
      <c r="R433" s="203">
        <v>45566</v>
      </c>
      <c r="S433" s="199"/>
      <c r="T433" s="199">
        <v>1200000</v>
      </c>
      <c r="U433" s="204">
        <f t="shared" si="452"/>
        <v>1200000</v>
      </c>
      <c r="V433" s="205"/>
      <c r="W433" s="200"/>
      <c r="X433" s="201"/>
      <c r="Y433" s="201"/>
      <c r="Z433" s="201">
        <f t="shared" si="453"/>
        <v>0</v>
      </c>
      <c r="AA433" s="198"/>
      <c r="AB433" s="206"/>
      <c r="AC433" s="207"/>
      <c r="AD433" s="201"/>
      <c r="AE433" s="204">
        <f t="shared" si="454"/>
        <v>0</v>
      </c>
      <c r="AF433" s="203">
        <f t="shared" si="455"/>
        <v>45566</v>
      </c>
      <c r="AG433" s="201">
        <f t="shared" si="456"/>
        <v>0</v>
      </c>
      <c r="AH433" s="201">
        <f t="shared" si="457"/>
        <v>1200000</v>
      </c>
      <c r="AI433" s="199">
        <f t="shared" si="458"/>
        <v>1200000</v>
      </c>
      <c r="AJ433" s="201">
        <f t="shared" si="443"/>
        <v>0</v>
      </c>
      <c r="AK433" s="201">
        <f t="shared" si="443"/>
        <v>1200000</v>
      </c>
      <c r="AL433" s="201">
        <f t="shared" si="459"/>
        <v>1200000</v>
      </c>
      <c r="AM433" s="198"/>
      <c r="AN433" s="203"/>
      <c r="AO433" s="208"/>
      <c r="AP433" s="201">
        <f t="shared" si="460"/>
        <v>0</v>
      </c>
      <c r="AQ433" s="201">
        <f t="shared" si="461"/>
        <v>1198410.9099999999</v>
      </c>
      <c r="AR433" s="201">
        <f t="shared" si="462"/>
        <v>1198410.9099999999</v>
      </c>
      <c r="AS433" s="201">
        <f t="shared" si="463"/>
        <v>99.867575833333319</v>
      </c>
      <c r="AT433" s="201"/>
      <c r="AU433" s="209">
        <v>1198410.9099999999</v>
      </c>
      <c r="AV433" s="201">
        <f t="shared" si="464"/>
        <v>1198410.9099999999</v>
      </c>
      <c r="AW433" s="201">
        <f t="shared" si="473"/>
        <v>0</v>
      </c>
      <c r="AX433" s="201">
        <f t="shared" si="465"/>
        <v>99.867575833333319</v>
      </c>
      <c r="AY433" s="208"/>
      <c r="AZ433" s="201">
        <f t="shared" si="466"/>
        <v>0</v>
      </c>
      <c r="BA433" s="201">
        <f t="shared" si="467"/>
        <v>0</v>
      </c>
      <c r="BB433" s="201">
        <f t="shared" si="468"/>
        <v>0</v>
      </c>
      <c r="BC433" s="201"/>
      <c r="BD433" s="209">
        <v>0</v>
      </c>
      <c r="BE433" s="201">
        <f t="shared" si="444"/>
        <v>0</v>
      </c>
      <c r="BF433" s="208"/>
      <c r="BG433" s="201">
        <f t="shared" si="441"/>
        <v>0</v>
      </c>
      <c r="BH433" s="201">
        <f t="shared" si="441"/>
        <v>1198410.9099999999</v>
      </c>
      <c r="BI433" s="201">
        <f t="shared" si="469"/>
        <v>1198410.9099999999</v>
      </c>
      <c r="BJ433" s="201">
        <f t="shared" si="470"/>
        <v>99.867575833333319</v>
      </c>
      <c r="BK433" s="210">
        <v>54.1</v>
      </c>
      <c r="BL433" s="210">
        <v>100</v>
      </c>
      <c r="BM433" s="211"/>
      <c r="BN433" s="211"/>
      <c r="BO433" s="212">
        <f t="shared" si="471"/>
        <v>0</v>
      </c>
      <c r="BP433" s="201">
        <f t="shared" si="472"/>
        <v>1589.0900000000838</v>
      </c>
      <c r="BQ433" s="201">
        <f t="shared" si="445"/>
        <v>1589.0900000000838</v>
      </c>
      <c r="BR433" s="201">
        <f t="shared" si="442"/>
        <v>0</v>
      </c>
      <c r="BS433" s="201">
        <f t="shared" si="442"/>
        <v>1589.0900000000838</v>
      </c>
      <c r="BT433" s="201">
        <f t="shared" si="446"/>
        <v>1589.0900000000838</v>
      </c>
      <c r="BU433" s="213">
        <f t="shared" si="474"/>
        <v>0</v>
      </c>
      <c r="BV433" s="201"/>
      <c r="BW433" s="201"/>
      <c r="BX433" s="201">
        <f t="shared" si="447"/>
        <v>0</v>
      </c>
      <c r="BY433" s="199">
        <v>60000</v>
      </c>
      <c r="BZ433" s="199">
        <v>60000</v>
      </c>
      <c r="CA433" s="199">
        <v>240000</v>
      </c>
      <c r="CB433" s="199">
        <v>360000</v>
      </c>
      <c r="CC433" s="199">
        <v>360000</v>
      </c>
      <c r="CD433" s="199">
        <v>120000</v>
      </c>
      <c r="CE433" s="199">
        <v>0</v>
      </c>
      <c r="CF433" s="199">
        <v>0</v>
      </c>
      <c r="CG433" s="199">
        <v>0</v>
      </c>
      <c r="CH433" s="199">
        <v>0</v>
      </c>
      <c r="CI433" s="199">
        <v>0</v>
      </c>
      <c r="CJ433" s="199">
        <v>0</v>
      </c>
      <c r="CK433" s="214" t="s">
        <v>1122</v>
      </c>
      <c r="CL433" s="214" t="s">
        <v>610</v>
      </c>
      <c r="CM433" s="211">
        <v>198</v>
      </c>
      <c r="CN433" s="215"/>
      <c r="CO433" s="215"/>
      <c r="CP433" s="216"/>
      <c r="CQ433" s="217"/>
      <c r="CR433" s="211"/>
      <c r="CS433" s="218"/>
      <c r="CT433" s="218"/>
      <c r="CU433" s="218"/>
      <c r="CV433" s="211"/>
      <c r="CW433" s="211"/>
      <c r="CX433" s="211"/>
      <c r="CY433" s="211"/>
      <c r="CZ433" s="211"/>
      <c r="DA433" s="211"/>
      <c r="DB433" s="211"/>
      <c r="DC433" s="219"/>
      <c r="DD433" s="219"/>
      <c r="DE433" s="219"/>
      <c r="DF433" s="211"/>
      <c r="DG433" s="211"/>
      <c r="DH433" s="211"/>
      <c r="DI433" s="211"/>
      <c r="DJ433" s="211"/>
      <c r="DK433" s="220" t="s">
        <v>32</v>
      </c>
      <c r="DT433" s="222"/>
    </row>
    <row r="434" spans="1:124" s="176" customFormat="1" ht="63" x14ac:dyDescent="0.2">
      <c r="A434" s="225" t="s">
        <v>197</v>
      </c>
      <c r="B434" s="197" t="s">
        <v>1123</v>
      </c>
      <c r="C434" s="198">
        <v>1</v>
      </c>
      <c r="D434" s="199">
        <v>600000</v>
      </c>
      <c r="E434" s="198" t="s">
        <v>1124</v>
      </c>
      <c r="F434" s="198" t="s">
        <v>150</v>
      </c>
      <c r="G434" s="198" t="s">
        <v>151</v>
      </c>
      <c r="H434" s="200">
        <v>1</v>
      </c>
      <c r="I434" s="199">
        <f t="shared" si="448"/>
        <v>0</v>
      </c>
      <c r="J434" s="199">
        <f t="shared" si="449"/>
        <v>600000</v>
      </c>
      <c r="K434" s="199">
        <f t="shared" si="450"/>
        <v>600000</v>
      </c>
      <c r="L434" s="199"/>
      <c r="M434" s="199">
        <v>600000</v>
      </c>
      <c r="N434" s="199">
        <f t="shared" si="451"/>
        <v>600000</v>
      </c>
      <c r="O434" s="199"/>
      <c r="P434" s="201">
        <v>0</v>
      </c>
      <c r="Q434" s="202">
        <v>15</v>
      </c>
      <c r="R434" s="203">
        <v>45566</v>
      </c>
      <c r="S434" s="199"/>
      <c r="T434" s="199">
        <v>600000</v>
      </c>
      <c r="U434" s="204">
        <f t="shared" si="452"/>
        <v>600000</v>
      </c>
      <c r="V434" s="205"/>
      <c r="W434" s="200"/>
      <c r="X434" s="201"/>
      <c r="Y434" s="201"/>
      <c r="Z434" s="201">
        <f t="shared" si="453"/>
        <v>0</v>
      </c>
      <c r="AA434" s="198"/>
      <c r="AB434" s="206"/>
      <c r="AC434" s="207"/>
      <c r="AD434" s="201"/>
      <c r="AE434" s="204">
        <f t="shared" si="454"/>
        <v>0</v>
      </c>
      <c r="AF434" s="203">
        <f t="shared" si="455"/>
        <v>45566</v>
      </c>
      <c r="AG434" s="201">
        <f t="shared" si="456"/>
        <v>0</v>
      </c>
      <c r="AH434" s="201">
        <f t="shared" si="457"/>
        <v>600000</v>
      </c>
      <c r="AI434" s="199">
        <f t="shared" si="458"/>
        <v>600000</v>
      </c>
      <c r="AJ434" s="201">
        <f t="shared" si="443"/>
        <v>0</v>
      </c>
      <c r="AK434" s="201">
        <f t="shared" si="443"/>
        <v>600000</v>
      </c>
      <c r="AL434" s="201">
        <f t="shared" si="459"/>
        <v>600000</v>
      </c>
      <c r="AM434" s="198"/>
      <c r="AN434" s="203"/>
      <c r="AO434" s="208"/>
      <c r="AP434" s="201">
        <f t="shared" si="460"/>
        <v>0</v>
      </c>
      <c r="AQ434" s="201">
        <f t="shared" si="461"/>
        <v>598997.32999999996</v>
      </c>
      <c r="AR434" s="201">
        <f t="shared" si="462"/>
        <v>598997.32999999996</v>
      </c>
      <c r="AS434" s="201">
        <f t="shared" si="463"/>
        <v>99.832888333333315</v>
      </c>
      <c r="AT434" s="201"/>
      <c r="AU434" s="209">
        <v>598997.32999999996</v>
      </c>
      <c r="AV434" s="201">
        <f t="shared" si="464"/>
        <v>598997.32999999996</v>
      </c>
      <c r="AW434" s="201">
        <f t="shared" si="473"/>
        <v>0</v>
      </c>
      <c r="AX434" s="201">
        <f t="shared" si="465"/>
        <v>99.832888333333315</v>
      </c>
      <c r="AY434" s="208"/>
      <c r="AZ434" s="201">
        <f t="shared" si="466"/>
        <v>0</v>
      </c>
      <c r="BA434" s="201">
        <f t="shared" si="467"/>
        <v>0</v>
      </c>
      <c r="BB434" s="201">
        <f t="shared" si="468"/>
        <v>0</v>
      </c>
      <c r="BC434" s="201"/>
      <c r="BD434" s="209">
        <v>0</v>
      </c>
      <c r="BE434" s="201">
        <f t="shared" si="444"/>
        <v>0</v>
      </c>
      <c r="BF434" s="208"/>
      <c r="BG434" s="201">
        <f t="shared" si="441"/>
        <v>0</v>
      </c>
      <c r="BH434" s="201">
        <f t="shared" si="441"/>
        <v>598997.32999999996</v>
      </c>
      <c r="BI434" s="201">
        <f t="shared" si="469"/>
        <v>598997.32999999996</v>
      </c>
      <c r="BJ434" s="201">
        <f t="shared" si="470"/>
        <v>99.832888333333315</v>
      </c>
      <c r="BK434" s="210">
        <v>55.6</v>
      </c>
      <c r="BL434" s="210">
        <v>100</v>
      </c>
      <c r="BM434" s="211"/>
      <c r="BN434" s="211"/>
      <c r="BO434" s="212">
        <f t="shared" si="471"/>
        <v>0</v>
      </c>
      <c r="BP434" s="201">
        <f t="shared" si="472"/>
        <v>1002.6700000000419</v>
      </c>
      <c r="BQ434" s="201">
        <f t="shared" si="445"/>
        <v>1002.6700000000419</v>
      </c>
      <c r="BR434" s="201">
        <f t="shared" si="442"/>
        <v>0</v>
      </c>
      <c r="BS434" s="201">
        <f t="shared" si="442"/>
        <v>1002.6700000000419</v>
      </c>
      <c r="BT434" s="201">
        <f t="shared" si="446"/>
        <v>1002.6700000000419</v>
      </c>
      <c r="BU434" s="213">
        <f t="shared" si="474"/>
        <v>0</v>
      </c>
      <c r="BV434" s="201"/>
      <c r="BW434" s="201"/>
      <c r="BX434" s="201">
        <f t="shared" si="447"/>
        <v>0</v>
      </c>
      <c r="BY434" s="199">
        <v>30000</v>
      </c>
      <c r="BZ434" s="199">
        <v>30000</v>
      </c>
      <c r="CA434" s="199">
        <v>120000</v>
      </c>
      <c r="CB434" s="199">
        <v>180000</v>
      </c>
      <c r="CC434" s="199">
        <v>180000</v>
      </c>
      <c r="CD434" s="199">
        <v>60000</v>
      </c>
      <c r="CE434" s="199">
        <v>0</v>
      </c>
      <c r="CF434" s="199">
        <v>0</v>
      </c>
      <c r="CG434" s="199">
        <v>0</v>
      </c>
      <c r="CH434" s="199">
        <v>0</v>
      </c>
      <c r="CI434" s="199">
        <v>0</v>
      </c>
      <c r="CJ434" s="199">
        <v>0</v>
      </c>
      <c r="CK434" s="214" t="s">
        <v>1125</v>
      </c>
      <c r="CL434" s="214" t="s">
        <v>610</v>
      </c>
      <c r="CM434" s="211">
        <v>198</v>
      </c>
      <c r="CN434" s="215"/>
      <c r="CO434" s="215"/>
      <c r="CP434" s="216"/>
      <c r="CQ434" s="217"/>
      <c r="CR434" s="211"/>
      <c r="CS434" s="218"/>
      <c r="CT434" s="218"/>
      <c r="CU434" s="218"/>
      <c r="CV434" s="211"/>
      <c r="CW434" s="211"/>
      <c r="CX434" s="211"/>
      <c r="CY434" s="211"/>
      <c r="CZ434" s="211"/>
      <c r="DA434" s="211"/>
      <c r="DB434" s="211"/>
      <c r="DC434" s="219"/>
      <c r="DD434" s="219"/>
      <c r="DE434" s="219"/>
      <c r="DF434" s="211"/>
      <c r="DG434" s="211"/>
      <c r="DH434" s="211"/>
      <c r="DI434" s="211"/>
      <c r="DJ434" s="211"/>
      <c r="DK434" s="220" t="s">
        <v>32</v>
      </c>
      <c r="DT434" s="222"/>
    </row>
    <row r="435" spans="1:124" s="176" customFormat="1" ht="42" x14ac:dyDescent="0.2">
      <c r="A435" s="225" t="s">
        <v>197</v>
      </c>
      <c r="B435" s="197" t="s">
        <v>1126</v>
      </c>
      <c r="C435" s="198">
        <v>1</v>
      </c>
      <c r="D435" s="199">
        <v>800000</v>
      </c>
      <c r="E435" s="198" t="s">
        <v>259</v>
      </c>
      <c r="F435" s="198" t="s">
        <v>150</v>
      </c>
      <c r="G435" s="198" t="s">
        <v>151</v>
      </c>
      <c r="H435" s="200">
        <v>1</v>
      </c>
      <c r="I435" s="199">
        <f t="shared" si="448"/>
        <v>0</v>
      </c>
      <c r="J435" s="199">
        <f t="shared" si="449"/>
        <v>800000</v>
      </c>
      <c r="K435" s="199">
        <f t="shared" si="450"/>
        <v>800000</v>
      </c>
      <c r="L435" s="199"/>
      <c r="M435" s="199">
        <v>800000</v>
      </c>
      <c r="N435" s="199">
        <f t="shared" si="451"/>
        <v>800000</v>
      </c>
      <c r="O435" s="199"/>
      <c r="P435" s="201">
        <v>0</v>
      </c>
      <c r="Q435" s="202">
        <v>15</v>
      </c>
      <c r="R435" s="203">
        <v>45566</v>
      </c>
      <c r="S435" s="199"/>
      <c r="T435" s="199">
        <v>800000</v>
      </c>
      <c r="U435" s="204">
        <f t="shared" si="452"/>
        <v>800000</v>
      </c>
      <c r="V435" s="205"/>
      <c r="W435" s="200"/>
      <c r="X435" s="201"/>
      <c r="Y435" s="201"/>
      <c r="Z435" s="201">
        <f t="shared" si="453"/>
        <v>0</v>
      </c>
      <c r="AA435" s="198"/>
      <c r="AB435" s="206"/>
      <c r="AC435" s="207"/>
      <c r="AD435" s="201"/>
      <c r="AE435" s="204">
        <f t="shared" si="454"/>
        <v>0</v>
      </c>
      <c r="AF435" s="203">
        <f t="shared" si="455"/>
        <v>45566</v>
      </c>
      <c r="AG435" s="201">
        <f t="shared" si="456"/>
        <v>0</v>
      </c>
      <c r="AH435" s="201">
        <f t="shared" si="457"/>
        <v>800000</v>
      </c>
      <c r="AI435" s="199">
        <f t="shared" si="458"/>
        <v>800000</v>
      </c>
      <c r="AJ435" s="201">
        <f t="shared" si="443"/>
        <v>0</v>
      </c>
      <c r="AK435" s="201">
        <f t="shared" si="443"/>
        <v>800000</v>
      </c>
      <c r="AL435" s="201">
        <f t="shared" si="459"/>
        <v>800000</v>
      </c>
      <c r="AM435" s="198"/>
      <c r="AN435" s="203"/>
      <c r="AO435" s="208"/>
      <c r="AP435" s="201">
        <f t="shared" si="460"/>
        <v>0</v>
      </c>
      <c r="AQ435" s="201">
        <f t="shared" si="461"/>
        <v>797993.7</v>
      </c>
      <c r="AR435" s="201">
        <f t="shared" si="462"/>
        <v>797993.7</v>
      </c>
      <c r="AS435" s="201">
        <f t="shared" si="463"/>
        <v>99.749212499999999</v>
      </c>
      <c r="AT435" s="201"/>
      <c r="AU435" s="209">
        <v>797993.7</v>
      </c>
      <c r="AV435" s="201">
        <f t="shared" si="464"/>
        <v>797993.7</v>
      </c>
      <c r="AW435" s="201">
        <f t="shared" si="473"/>
        <v>0</v>
      </c>
      <c r="AX435" s="201">
        <f t="shared" si="465"/>
        <v>99.749212499999999</v>
      </c>
      <c r="AY435" s="208"/>
      <c r="AZ435" s="201">
        <f t="shared" si="466"/>
        <v>0</v>
      </c>
      <c r="BA435" s="201">
        <f t="shared" si="467"/>
        <v>0</v>
      </c>
      <c r="BB435" s="201">
        <f t="shared" si="468"/>
        <v>0</v>
      </c>
      <c r="BC435" s="201"/>
      <c r="BD435" s="209">
        <v>0</v>
      </c>
      <c r="BE435" s="201">
        <f t="shared" si="444"/>
        <v>0</v>
      </c>
      <c r="BF435" s="208"/>
      <c r="BG435" s="201">
        <f t="shared" si="441"/>
        <v>0</v>
      </c>
      <c r="BH435" s="201">
        <f t="shared" si="441"/>
        <v>797993.7</v>
      </c>
      <c r="BI435" s="201">
        <f t="shared" si="469"/>
        <v>797993.7</v>
      </c>
      <c r="BJ435" s="201">
        <f t="shared" si="470"/>
        <v>99.749212499999999</v>
      </c>
      <c r="BK435" s="210">
        <v>64.89</v>
      </c>
      <c r="BL435" s="210">
        <v>100</v>
      </c>
      <c r="BM435" s="211"/>
      <c r="BN435" s="211"/>
      <c r="BO435" s="212">
        <f t="shared" si="471"/>
        <v>0</v>
      </c>
      <c r="BP435" s="201">
        <f t="shared" si="472"/>
        <v>2006.3000000000466</v>
      </c>
      <c r="BQ435" s="201">
        <f t="shared" si="445"/>
        <v>2006.3000000000466</v>
      </c>
      <c r="BR435" s="201">
        <f t="shared" si="442"/>
        <v>0</v>
      </c>
      <c r="BS435" s="201">
        <f t="shared" si="442"/>
        <v>2006.3000000000466</v>
      </c>
      <c r="BT435" s="201">
        <f t="shared" si="446"/>
        <v>2006.3000000000466</v>
      </c>
      <c r="BU435" s="213">
        <f t="shared" si="474"/>
        <v>0</v>
      </c>
      <c r="BV435" s="201"/>
      <c r="BW435" s="201"/>
      <c r="BX435" s="201">
        <f t="shared" si="447"/>
        <v>0</v>
      </c>
      <c r="BY435" s="199">
        <v>120000</v>
      </c>
      <c r="BZ435" s="199">
        <v>200000</v>
      </c>
      <c r="CA435" s="199">
        <v>200000</v>
      </c>
      <c r="CB435" s="199">
        <v>160000</v>
      </c>
      <c r="CC435" s="199">
        <v>120000</v>
      </c>
      <c r="CD435" s="199">
        <v>0</v>
      </c>
      <c r="CE435" s="199">
        <v>0</v>
      </c>
      <c r="CF435" s="199">
        <v>0</v>
      </c>
      <c r="CG435" s="199">
        <v>0</v>
      </c>
      <c r="CH435" s="199">
        <v>0</v>
      </c>
      <c r="CI435" s="199">
        <v>0</v>
      </c>
      <c r="CJ435" s="199">
        <v>0</v>
      </c>
      <c r="CK435" s="214" t="s">
        <v>1127</v>
      </c>
      <c r="CL435" s="214" t="s">
        <v>610</v>
      </c>
      <c r="CM435" s="211">
        <v>198</v>
      </c>
      <c r="CN435" s="215"/>
      <c r="CO435" s="215"/>
      <c r="CP435" s="216"/>
      <c r="CQ435" s="217"/>
      <c r="CR435" s="211"/>
      <c r="CS435" s="218"/>
      <c r="CT435" s="218"/>
      <c r="CU435" s="218"/>
      <c r="CV435" s="211"/>
      <c r="CW435" s="211"/>
      <c r="CX435" s="211"/>
      <c r="CY435" s="211"/>
      <c r="CZ435" s="211"/>
      <c r="DA435" s="211"/>
      <c r="DB435" s="211"/>
      <c r="DC435" s="219"/>
      <c r="DD435" s="219"/>
      <c r="DE435" s="219"/>
      <c r="DF435" s="211"/>
      <c r="DG435" s="211"/>
      <c r="DH435" s="211"/>
      <c r="DI435" s="211"/>
      <c r="DJ435" s="211"/>
      <c r="DK435" s="220" t="s">
        <v>32</v>
      </c>
      <c r="DT435" s="222"/>
    </row>
    <row r="436" spans="1:124" s="176" customFormat="1" ht="42" x14ac:dyDescent="0.2">
      <c r="A436" s="225" t="s">
        <v>197</v>
      </c>
      <c r="B436" s="197" t="s">
        <v>1128</v>
      </c>
      <c r="C436" s="198">
        <v>1</v>
      </c>
      <c r="D436" s="199">
        <v>900000</v>
      </c>
      <c r="E436" s="198" t="s">
        <v>259</v>
      </c>
      <c r="F436" s="198" t="s">
        <v>150</v>
      </c>
      <c r="G436" s="198" t="s">
        <v>151</v>
      </c>
      <c r="H436" s="200">
        <v>1</v>
      </c>
      <c r="I436" s="199">
        <f t="shared" si="448"/>
        <v>0</v>
      </c>
      <c r="J436" s="199">
        <f t="shared" si="449"/>
        <v>900000</v>
      </c>
      <c r="K436" s="199">
        <f t="shared" si="450"/>
        <v>900000</v>
      </c>
      <c r="L436" s="199"/>
      <c r="M436" s="199">
        <v>900000</v>
      </c>
      <c r="N436" s="199">
        <f t="shared" si="451"/>
        <v>900000</v>
      </c>
      <c r="O436" s="199"/>
      <c r="P436" s="201">
        <v>0</v>
      </c>
      <c r="Q436" s="202">
        <v>15</v>
      </c>
      <c r="R436" s="203">
        <v>45566</v>
      </c>
      <c r="S436" s="199"/>
      <c r="T436" s="199">
        <v>900000</v>
      </c>
      <c r="U436" s="204">
        <f t="shared" si="452"/>
        <v>900000</v>
      </c>
      <c r="V436" s="205"/>
      <c r="W436" s="200"/>
      <c r="X436" s="201"/>
      <c r="Y436" s="201"/>
      <c r="Z436" s="201">
        <f t="shared" si="453"/>
        <v>0</v>
      </c>
      <c r="AA436" s="198"/>
      <c r="AB436" s="206"/>
      <c r="AC436" s="207"/>
      <c r="AD436" s="201"/>
      <c r="AE436" s="204">
        <f t="shared" si="454"/>
        <v>0</v>
      </c>
      <c r="AF436" s="203">
        <f t="shared" si="455"/>
        <v>45566</v>
      </c>
      <c r="AG436" s="201">
        <f t="shared" si="456"/>
        <v>0</v>
      </c>
      <c r="AH436" s="201">
        <f t="shared" si="457"/>
        <v>900000</v>
      </c>
      <c r="AI436" s="199">
        <f t="shared" si="458"/>
        <v>900000</v>
      </c>
      <c r="AJ436" s="201">
        <f t="shared" si="443"/>
        <v>0</v>
      </c>
      <c r="AK436" s="201">
        <f t="shared" si="443"/>
        <v>900000</v>
      </c>
      <c r="AL436" s="201">
        <f t="shared" si="459"/>
        <v>900000</v>
      </c>
      <c r="AM436" s="198"/>
      <c r="AN436" s="203"/>
      <c r="AO436" s="208"/>
      <c r="AP436" s="201">
        <f t="shared" si="460"/>
        <v>0</v>
      </c>
      <c r="AQ436" s="201">
        <f t="shared" si="461"/>
        <v>898453.4</v>
      </c>
      <c r="AR436" s="201">
        <f t="shared" si="462"/>
        <v>898453.4</v>
      </c>
      <c r="AS436" s="201">
        <f t="shared" si="463"/>
        <v>99.828155555555554</v>
      </c>
      <c r="AT436" s="201"/>
      <c r="AU436" s="209">
        <v>898453.4</v>
      </c>
      <c r="AV436" s="201">
        <f t="shared" si="464"/>
        <v>898453.4</v>
      </c>
      <c r="AW436" s="201">
        <f t="shared" si="473"/>
        <v>0</v>
      </c>
      <c r="AX436" s="201">
        <f t="shared" si="465"/>
        <v>99.828155555555554</v>
      </c>
      <c r="AY436" s="208"/>
      <c r="AZ436" s="201">
        <f t="shared" si="466"/>
        <v>0</v>
      </c>
      <c r="BA436" s="201">
        <f t="shared" si="467"/>
        <v>0</v>
      </c>
      <c r="BB436" s="201">
        <f t="shared" si="468"/>
        <v>0</v>
      </c>
      <c r="BC436" s="201"/>
      <c r="BD436" s="209">
        <v>0</v>
      </c>
      <c r="BE436" s="201">
        <f t="shared" si="444"/>
        <v>0</v>
      </c>
      <c r="BF436" s="208"/>
      <c r="BG436" s="201">
        <f t="shared" si="441"/>
        <v>0</v>
      </c>
      <c r="BH436" s="201">
        <f t="shared" si="441"/>
        <v>898453.4</v>
      </c>
      <c r="BI436" s="201">
        <f t="shared" si="469"/>
        <v>898453.4</v>
      </c>
      <c r="BJ436" s="201">
        <f t="shared" si="470"/>
        <v>99.828155555555554</v>
      </c>
      <c r="BK436" s="210">
        <v>64.98</v>
      </c>
      <c r="BL436" s="210">
        <v>100</v>
      </c>
      <c r="BM436" s="211"/>
      <c r="BN436" s="211"/>
      <c r="BO436" s="212">
        <f t="shared" si="471"/>
        <v>0</v>
      </c>
      <c r="BP436" s="201">
        <f t="shared" si="472"/>
        <v>1546.5999999999767</v>
      </c>
      <c r="BQ436" s="201">
        <f t="shared" si="445"/>
        <v>1546.5999999999767</v>
      </c>
      <c r="BR436" s="201">
        <f t="shared" si="442"/>
        <v>0</v>
      </c>
      <c r="BS436" s="201">
        <f t="shared" si="442"/>
        <v>1546.5999999999767</v>
      </c>
      <c r="BT436" s="201">
        <f t="shared" si="446"/>
        <v>1546.5999999999767</v>
      </c>
      <c r="BU436" s="213">
        <f t="shared" si="474"/>
        <v>0</v>
      </c>
      <c r="BV436" s="201"/>
      <c r="BW436" s="201"/>
      <c r="BX436" s="201">
        <f t="shared" si="447"/>
        <v>0</v>
      </c>
      <c r="BY436" s="199">
        <v>90000</v>
      </c>
      <c r="BZ436" s="199">
        <v>135000</v>
      </c>
      <c r="CA436" s="199">
        <v>225000</v>
      </c>
      <c r="CB436" s="199">
        <v>225000</v>
      </c>
      <c r="CC436" s="199">
        <v>135000</v>
      </c>
      <c r="CD436" s="199">
        <v>90000</v>
      </c>
      <c r="CE436" s="199">
        <v>0</v>
      </c>
      <c r="CF436" s="199">
        <v>0</v>
      </c>
      <c r="CG436" s="199">
        <v>0</v>
      </c>
      <c r="CH436" s="199">
        <v>0</v>
      </c>
      <c r="CI436" s="199">
        <v>0</v>
      </c>
      <c r="CJ436" s="199">
        <v>0</v>
      </c>
      <c r="CK436" s="214" t="s">
        <v>1129</v>
      </c>
      <c r="CL436" s="214" t="s">
        <v>610</v>
      </c>
      <c r="CM436" s="211">
        <v>198</v>
      </c>
      <c r="CN436" s="215"/>
      <c r="CO436" s="215"/>
      <c r="CP436" s="216"/>
      <c r="CQ436" s="217"/>
      <c r="CR436" s="211"/>
      <c r="CS436" s="218"/>
      <c r="CT436" s="218"/>
      <c r="CU436" s="218"/>
      <c r="CV436" s="211"/>
      <c r="CW436" s="211"/>
      <c r="CX436" s="211"/>
      <c r="CY436" s="211"/>
      <c r="CZ436" s="211"/>
      <c r="DA436" s="211"/>
      <c r="DB436" s="211"/>
      <c r="DC436" s="219"/>
      <c r="DD436" s="219"/>
      <c r="DE436" s="219"/>
      <c r="DF436" s="211"/>
      <c r="DG436" s="211"/>
      <c r="DH436" s="211"/>
      <c r="DI436" s="211"/>
      <c r="DJ436" s="211"/>
      <c r="DK436" s="220" t="s">
        <v>32</v>
      </c>
      <c r="DT436" s="222"/>
    </row>
    <row r="437" spans="1:124" s="176" customFormat="1" ht="42" x14ac:dyDescent="0.2">
      <c r="A437" s="225" t="s">
        <v>197</v>
      </c>
      <c r="B437" s="197" t="s">
        <v>1130</v>
      </c>
      <c r="C437" s="198">
        <v>1</v>
      </c>
      <c r="D437" s="199">
        <v>980000</v>
      </c>
      <c r="E437" s="198" t="s">
        <v>1124</v>
      </c>
      <c r="F437" s="198" t="s">
        <v>150</v>
      </c>
      <c r="G437" s="198" t="s">
        <v>151</v>
      </c>
      <c r="H437" s="200">
        <v>1</v>
      </c>
      <c r="I437" s="199">
        <f t="shared" si="448"/>
        <v>0</v>
      </c>
      <c r="J437" s="199">
        <f t="shared" si="449"/>
        <v>980000</v>
      </c>
      <c r="K437" s="199">
        <f t="shared" si="450"/>
        <v>980000</v>
      </c>
      <c r="L437" s="199"/>
      <c r="M437" s="199">
        <v>980000</v>
      </c>
      <c r="N437" s="199">
        <f t="shared" si="451"/>
        <v>980000</v>
      </c>
      <c r="O437" s="199"/>
      <c r="P437" s="201">
        <v>0</v>
      </c>
      <c r="Q437" s="202">
        <v>15</v>
      </c>
      <c r="R437" s="203">
        <v>45566</v>
      </c>
      <c r="S437" s="199"/>
      <c r="T437" s="199">
        <v>980000</v>
      </c>
      <c r="U437" s="204">
        <f t="shared" si="452"/>
        <v>980000</v>
      </c>
      <c r="V437" s="205"/>
      <c r="W437" s="200"/>
      <c r="X437" s="201"/>
      <c r="Y437" s="201"/>
      <c r="Z437" s="201">
        <f t="shared" si="453"/>
        <v>0</v>
      </c>
      <c r="AA437" s="198"/>
      <c r="AB437" s="206"/>
      <c r="AC437" s="207"/>
      <c r="AD437" s="201"/>
      <c r="AE437" s="204">
        <f t="shared" si="454"/>
        <v>0</v>
      </c>
      <c r="AF437" s="203">
        <f t="shared" si="455"/>
        <v>45566</v>
      </c>
      <c r="AG437" s="201">
        <f t="shared" si="456"/>
        <v>0</v>
      </c>
      <c r="AH437" s="201">
        <f t="shared" si="457"/>
        <v>980000</v>
      </c>
      <c r="AI437" s="199">
        <f t="shared" si="458"/>
        <v>980000</v>
      </c>
      <c r="AJ437" s="201">
        <f t="shared" si="443"/>
        <v>0</v>
      </c>
      <c r="AK437" s="201">
        <f t="shared" si="443"/>
        <v>980000</v>
      </c>
      <c r="AL437" s="201">
        <f t="shared" si="459"/>
        <v>980000</v>
      </c>
      <c r="AM437" s="198"/>
      <c r="AN437" s="203"/>
      <c r="AO437" s="208"/>
      <c r="AP437" s="201">
        <f t="shared" si="460"/>
        <v>0</v>
      </c>
      <c r="AQ437" s="201">
        <f t="shared" si="461"/>
        <v>978527.12</v>
      </c>
      <c r="AR437" s="201">
        <f t="shared" si="462"/>
        <v>978527.12</v>
      </c>
      <c r="AS437" s="201">
        <f t="shared" si="463"/>
        <v>99.849706122448978</v>
      </c>
      <c r="AT437" s="201"/>
      <c r="AU437" s="209">
        <v>978527.12</v>
      </c>
      <c r="AV437" s="201">
        <f t="shared" si="464"/>
        <v>978527.12</v>
      </c>
      <c r="AW437" s="201">
        <f t="shared" si="473"/>
        <v>0</v>
      </c>
      <c r="AX437" s="201">
        <f t="shared" si="465"/>
        <v>99.849706122448978</v>
      </c>
      <c r="AY437" s="208"/>
      <c r="AZ437" s="201">
        <f t="shared" si="466"/>
        <v>0</v>
      </c>
      <c r="BA437" s="201">
        <f t="shared" si="467"/>
        <v>0</v>
      </c>
      <c r="BB437" s="201">
        <f t="shared" si="468"/>
        <v>0</v>
      </c>
      <c r="BC437" s="201"/>
      <c r="BD437" s="209">
        <v>0</v>
      </c>
      <c r="BE437" s="201">
        <f t="shared" si="444"/>
        <v>0</v>
      </c>
      <c r="BF437" s="208"/>
      <c r="BG437" s="201">
        <f t="shared" si="441"/>
        <v>0</v>
      </c>
      <c r="BH437" s="201">
        <f t="shared" si="441"/>
        <v>978527.12</v>
      </c>
      <c r="BI437" s="201">
        <f t="shared" si="469"/>
        <v>978527.12</v>
      </c>
      <c r="BJ437" s="201">
        <f t="shared" si="470"/>
        <v>99.849706122448978</v>
      </c>
      <c r="BK437" s="210">
        <v>53.58</v>
      </c>
      <c r="BL437" s="210">
        <v>100</v>
      </c>
      <c r="BM437" s="211"/>
      <c r="BN437" s="211"/>
      <c r="BO437" s="212">
        <f t="shared" si="471"/>
        <v>0</v>
      </c>
      <c r="BP437" s="201">
        <f t="shared" si="472"/>
        <v>1472.8800000000047</v>
      </c>
      <c r="BQ437" s="201">
        <f t="shared" si="445"/>
        <v>1472.8800000000047</v>
      </c>
      <c r="BR437" s="201">
        <f t="shared" si="442"/>
        <v>0</v>
      </c>
      <c r="BS437" s="201">
        <f t="shared" si="442"/>
        <v>1472.8800000000047</v>
      </c>
      <c r="BT437" s="201">
        <f t="shared" si="446"/>
        <v>1472.8800000000047</v>
      </c>
      <c r="BU437" s="213">
        <f t="shared" si="474"/>
        <v>0</v>
      </c>
      <c r="BV437" s="201"/>
      <c r="BW437" s="201"/>
      <c r="BX437" s="201">
        <f t="shared" si="447"/>
        <v>0</v>
      </c>
      <c r="BY437" s="199">
        <v>49000</v>
      </c>
      <c r="BZ437" s="199">
        <v>49000</v>
      </c>
      <c r="CA437" s="199">
        <v>196000</v>
      </c>
      <c r="CB437" s="199">
        <v>294000</v>
      </c>
      <c r="CC437" s="199">
        <v>294000</v>
      </c>
      <c r="CD437" s="199">
        <v>98000</v>
      </c>
      <c r="CE437" s="199">
        <v>0</v>
      </c>
      <c r="CF437" s="199">
        <v>0</v>
      </c>
      <c r="CG437" s="199">
        <v>0</v>
      </c>
      <c r="CH437" s="199">
        <v>0</v>
      </c>
      <c r="CI437" s="199">
        <v>0</v>
      </c>
      <c r="CJ437" s="199">
        <v>0</v>
      </c>
      <c r="CK437" s="214" t="s">
        <v>1131</v>
      </c>
      <c r="CL437" s="214" t="s">
        <v>610</v>
      </c>
      <c r="CM437" s="211">
        <v>198</v>
      </c>
      <c r="CN437" s="215"/>
      <c r="CO437" s="215"/>
      <c r="CP437" s="216"/>
      <c r="CQ437" s="217"/>
      <c r="CR437" s="211"/>
      <c r="CS437" s="218"/>
      <c r="CT437" s="218"/>
      <c r="CU437" s="218"/>
      <c r="CV437" s="211"/>
      <c r="CW437" s="211"/>
      <c r="CX437" s="211"/>
      <c r="CY437" s="211"/>
      <c r="CZ437" s="211"/>
      <c r="DA437" s="211"/>
      <c r="DB437" s="211"/>
      <c r="DC437" s="219"/>
      <c r="DD437" s="219"/>
      <c r="DE437" s="219"/>
      <c r="DF437" s="211"/>
      <c r="DG437" s="211"/>
      <c r="DH437" s="211"/>
      <c r="DI437" s="211"/>
      <c r="DJ437" s="211"/>
      <c r="DK437" s="220" t="s">
        <v>32</v>
      </c>
      <c r="DT437" s="222"/>
    </row>
    <row r="438" spans="1:124" s="176" customFormat="1" ht="42" x14ac:dyDescent="0.2">
      <c r="A438" s="225" t="s">
        <v>197</v>
      </c>
      <c r="B438" s="197" t="s">
        <v>1132</v>
      </c>
      <c r="C438" s="198">
        <v>1</v>
      </c>
      <c r="D438" s="199">
        <v>1000000</v>
      </c>
      <c r="E438" s="198" t="s">
        <v>199</v>
      </c>
      <c r="F438" s="198" t="s">
        <v>150</v>
      </c>
      <c r="G438" s="198" t="s">
        <v>151</v>
      </c>
      <c r="H438" s="200">
        <v>1</v>
      </c>
      <c r="I438" s="199">
        <f t="shared" si="448"/>
        <v>0</v>
      </c>
      <c r="J438" s="199">
        <f t="shared" si="449"/>
        <v>1000000</v>
      </c>
      <c r="K438" s="199">
        <f t="shared" si="450"/>
        <v>1000000</v>
      </c>
      <c r="L438" s="199"/>
      <c r="M438" s="199">
        <v>1000000</v>
      </c>
      <c r="N438" s="199">
        <f t="shared" si="451"/>
        <v>1000000</v>
      </c>
      <c r="O438" s="199"/>
      <c r="P438" s="201">
        <v>0</v>
      </c>
      <c r="Q438" s="202">
        <v>15</v>
      </c>
      <c r="R438" s="203">
        <v>45566</v>
      </c>
      <c r="S438" s="199"/>
      <c r="T438" s="199">
        <v>1000000</v>
      </c>
      <c r="U438" s="204">
        <f t="shared" si="452"/>
        <v>1000000</v>
      </c>
      <c r="V438" s="205"/>
      <c r="W438" s="200"/>
      <c r="X438" s="201"/>
      <c r="Y438" s="201"/>
      <c r="Z438" s="201">
        <f t="shared" si="453"/>
        <v>0</v>
      </c>
      <c r="AA438" s="198"/>
      <c r="AB438" s="206"/>
      <c r="AC438" s="207"/>
      <c r="AD438" s="201"/>
      <c r="AE438" s="204">
        <f t="shared" si="454"/>
        <v>0</v>
      </c>
      <c r="AF438" s="203">
        <f t="shared" si="455"/>
        <v>45566</v>
      </c>
      <c r="AG438" s="201">
        <f t="shared" si="456"/>
        <v>0</v>
      </c>
      <c r="AH438" s="201">
        <f t="shared" si="457"/>
        <v>1000000</v>
      </c>
      <c r="AI438" s="199">
        <f t="shared" si="458"/>
        <v>1000000</v>
      </c>
      <c r="AJ438" s="201">
        <f t="shared" si="443"/>
        <v>0</v>
      </c>
      <c r="AK438" s="201">
        <f t="shared" si="443"/>
        <v>1000000</v>
      </c>
      <c r="AL438" s="201">
        <f t="shared" si="459"/>
        <v>1000000</v>
      </c>
      <c r="AM438" s="198"/>
      <c r="AN438" s="203"/>
      <c r="AO438" s="208"/>
      <c r="AP438" s="201">
        <f t="shared" si="460"/>
        <v>0</v>
      </c>
      <c r="AQ438" s="201">
        <f t="shared" si="461"/>
        <v>998450.7</v>
      </c>
      <c r="AR438" s="201">
        <f t="shared" si="462"/>
        <v>998450.7</v>
      </c>
      <c r="AS438" s="201">
        <f t="shared" si="463"/>
        <v>99.845070000000007</v>
      </c>
      <c r="AT438" s="201"/>
      <c r="AU438" s="209">
        <v>998450.7</v>
      </c>
      <c r="AV438" s="201">
        <f t="shared" si="464"/>
        <v>998450.7</v>
      </c>
      <c r="AW438" s="201">
        <f t="shared" si="473"/>
        <v>0</v>
      </c>
      <c r="AX438" s="201">
        <f t="shared" si="465"/>
        <v>99.845070000000007</v>
      </c>
      <c r="AY438" s="208"/>
      <c r="AZ438" s="201">
        <f t="shared" si="466"/>
        <v>0</v>
      </c>
      <c r="BA438" s="201">
        <f t="shared" si="467"/>
        <v>0</v>
      </c>
      <c r="BB438" s="201">
        <f t="shared" si="468"/>
        <v>0</v>
      </c>
      <c r="BC438" s="201"/>
      <c r="BD438" s="209">
        <v>0</v>
      </c>
      <c r="BE438" s="201">
        <f t="shared" si="444"/>
        <v>0</v>
      </c>
      <c r="BF438" s="208"/>
      <c r="BG438" s="201">
        <f t="shared" si="441"/>
        <v>0</v>
      </c>
      <c r="BH438" s="201">
        <f t="shared" si="441"/>
        <v>998450.7</v>
      </c>
      <c r="BI438" s="201">
        <f t="shared" si="469"/>
        <v>998450.7</v>
      </c>
      <c r="BJ438" s="201">
        <f t="shared" si="470"/>
        <v>99.845070000000007</v>
      </c>
      <c r="BK438" s="210">
        <v>71.92</v>
      </c>
      <c r="BL438" s="210">
        <v>100</v>
      </c>
      <c r="BM438" s="211"/>
      <c r="BN438" s="211"/>
      <c r="BO438" s="212">
        <f t="shared" si="471"/>
        <v>0</v>
      </c>
      <c r="BP438" s="201">
        <f t="shared" si="472"/>
        <v>1549.3000000000466</v>
      </c>
      <c r="BQ438" s="201">
        <f t="shared" si="445"/>
        <v>1549.3000000000466</v>
      </c>
      <c r="BR438" s="201">
        <f t="shared" si="442"/>
        <v>0</v>
      </c>
      <c r="BS438" s="201">
        <f t="shared" si="442"/>
        <v>1549.3000000000466</v>
      </c>
      <c r="BT438" s="201">
        <f t="shared" si="446"/>
        <v>1549.3000000000466</v>
      </c>
      <c r="BU438" s="213">
        <f t="shared" si="474"/>
        <v>0</v>
      </c>
      <c r="BV438" s="201"/>
      <c r="BW438" s="201"/>
      <c r="BX438" s="201">
        <f t="shared" si="447"/>
        <v>0</v>
      </c>
      <c r="BY438" s="199">
        <v>100000</v>
      </c>
      <c r="BZ438" s="199">
        <v>150000</v>
      </c>
      <c r="CA438" s="199">
        <v>250000</v>
      </c>
      <c r="CB438" s="199">
        <v>250000</v>
      </c>
      <c r="CC438" s="199">
        <v>150000</v>
      </c>
      <c r="CD438" s="199">
        <v>100000</v>
      </c>
      <c r="CE438" s="199">
        <v>0</v>
      </c>
      <c r="CF438" s="199">
        <v>0</v>
      </c>
      <c r="CG438" s="199">
        <v>0</v>
      </c>
      <c r="CH438" s="199">
        <v>0</v>
      </c>
      <c r="CI438" s="199">
        <v>0</v>
      </c>
      <c r="CJ438" s="199">
        <v>0</v>
      </c>
      <c r="CK438" s="214" t="s">
        <v>1133</v>
      </c>
      <c r="CL438" s="214" t="s">
        <v>610</v>
      </c>
      <c r="CM438" s="211">
        <v>198</v>
      </c>
      <c r="CN438" s="215"/>
      <c r="CO438" s="215"/>
      <c r="CP438" s="216"/>
      <c r="CQ438" s="217"/>
      <c r="CR438" s="211"/>
      <c r="CS438" s="218"/>
      <c r="CT438" s="218"/>
      <c r="CU438" s="218"/>
      <c r="CV438" s="211"/>
      <c r="CW438" s="211"/>
      <c r="CX438" s="211"/>
      <c r="CY438" s="211"/>
      <c r="CZ438" s="211"/>
      <c r="DA438" s="211"/>
      <c r="DB438" s="211"/>
      <c r="DC438" s="219"/>
      <c r="DD438" s="219"/>
      <c r="DE438" s="219"/>
      <c r="DF438" s="211"/>
      <c r="DG438" s="211"/>
      <c r="DH438" s="211"/>
      <c r="DI438" s="211"/>
      <c r="DJ438" s="211"/>
      <c r="DK438" s="220" t="s">
        <v>32</v>
      </c>
      <c r="DT438" s="222"/>
    </row>
    <row r="439" spans="1:124" s="176" customFormat="1" ht="63" x14ac:dyDescent="0.2">
      <c r="A439" s="225" t="s">
        <v>208</v>
      </c>
      <c r="B439" s="197" t="s">
        <v>1134</v>
      </c>
      <c r="C439" s="198">
        <v>1</v>
      </c>
      <c r="D439" s="199">
        <v>3000000</v>
      </c>
      <c r="E439" s="198" t="s">
        <v>206</v>
      </c>
      <c r="F439" s="198" t="s">
        <v>150</v>
      </c>
      <c r="G439" s="198" t="s">
        <v>151</v>
      </c>
      <c r="H439" s="200">
        <v>1</v>
      </c>
      <c r="I439" s="199">
        <f t="shared" si="448"/>
        <v>0</v>
      </c>
      <c r="J439" s="199">
        <f t="shared" si="449"/>
        <v>3000000</v>
      </c>
      <c r="K439" s="199">
        <f t="shared" si="450"/>
        <v>3000000</v>
      </c>
      <c r="L439" s="199"/>
      <c r="M439" s="199">
        <v>3000000</v>
      </c>
      <c r="N439" s="199">
        <f t="shared" si="451"/>
        <v>3000000</v>
      </c>
      <c r="O439" s="199"/>
      <c r="P439" s="201">
        <v>0</v>
      </c>
      <c r="Q439" s="202">
        <v>15</v>
      </c>
      <c r="R439" s="203">
        <v>45566</v>
      </c>
      <c r="S439" s="199"/>
      <c r="T439" s="199">
        <v>3000000</v>
      </c>
      <c r="U439" s="204">
        <f t="shared" si="452"/>
        <v>3000000</v>
      </c>
      <c r="V439" s="205">
        <v>2242</v>
      </c>
      <c r="W439" s="200">
        <v>45791</v>
      </c>
      <c r="X439" s="201"/>
      <c r="Y439" s="201">
        <v>-4624.1899999999996</v>
      </c>
      <c r="Z439" s="201">
        <f t="shared" si="453"/>
        <v>-4624.1899999999996</v>
      </c>
      <c r="AA439" s="198"/>
      <c r="AB439" s="206"/>
      <c r="AC439" s="207"/>
      <c r="AD439" s="201"/>
      <c r="AE439" s="204">
        <f t="shared" si="454"/>
        <v>0</v>
      </c>
      <c r="AF439" s="203">
        <f t="shared" si="455"/>
        <v>45566</v>
      </c>
      <c r="AG439" s="201">
        <f t="shared" si="456"/>
        <v>0</v>
      </c>
      <c r="AH439" s="201">
        <f t="shared" si="457"/>
        <v>2995375.81</v>
      </c>
      <c r="AI439" s="199">
        <f t="shared" si="458"/>
        <v>2995375.81</v>
      </c>
      <c r="AJ439" s="201">
        <f t="shared" si="443"/>
        <v>0</v>
      </c>
      <c r="AK439" s="201">
        <f t="shared" si="443"/>
        <v>2995375.81</v>
      </c>
      <c r="AL439" s="201">
        <f t="shared" si="459"/>
        <v>2995375.81</v>
      </c>
      <c r="AM439" s="198"/>
      <c r="AN439" s="203"/>
      <c r="AO439" s="208"/>
      <c r="AP439" s="201">
        <f t="shared" si="460"/>
        <v>0</v>
      </c>
      <c r="AQ439" s="201">
        <f t="shared" si="461"/>
        <v>2991338.81</v>
      </c>
      <c r="AR439" s="201">
        <f t="shared" si="462"/>
        <v>2991338.81</v>
      </c>
      <c r="AS439" s="201">
        <f t="shared" si="463"/>
        <v>99.865225592510882</v>
      </c>
      <c r="AT439" s="201"/>
      <c r="AU439" s="209">
        <v>2991338.81</v>
      </c>
      <c r="AV439" s="201">
        <f t="shared" si="464"/>
        <v>2991338.81</v>
      </c>
      <c r="AW439" s="201">
        <f t="shared" si="473"/>
        <v>10.015437762382144</v>
      </c>
      <c r="AX439" s="201">
        <f t="shared" si="465"/>
        <v>99.865225592510882</v>
      </c>
      <c r="AY439" s="208"/>
      <c r="AZ439" s="201">
        <f t="shared" si="466"/>
        <v>0</v>
      </c>
      <c r="BA439" s="201">
        <f t="shared" si="467"/>
        <v>0</v>
      </c>
      <c r="BB439" s="201">
        <f t="shared" si="468"/>
        <v>0</v>
      </c>
      <c r="BC439" s="201"/>
      <c r="BD439" s="209">
        <v>0</v>
      </c>
      <c r="BE439" s="201">
        <f t="shared" si="444"/>
        <v>0</v>
      </c>
      <c r="BF439" s="208"/>
      <c r="BG439" s="201">
        <f t="shared" si="441"/>
        <v>0</v>
      </c>
      <c r="BH439" s="201">
        <f t="shared" si="441"/>
        <v>2991338.81</v>
      </c>
      <c r="BI439" s="201">
        <f t="shared" si="469"/>
        <v>2991338.81</v>
      </c>
      <c r="BJ439" s="201">
        <f t="shared" si="470"/>
        <v>99.865225592510882</v>
      </c>
      <c r="BK439" s="210">
        <v>34</v>
      </c>
      <c r="BL439" s="210">
        <v>95</v>
      </c>
      <c r="BM439" s="211"/>
      <c r="BN439" s="211"/>
      <c r="BO439" s="212">
        <f t="shared" si="471"/>
        <v>0</v>
      </c>
      <c r="BP439" s="201">
        <f t="shared" si="472"/>
        <v>4037</v>
      </c>
      <c r="BQ439" s="201">
        <f t="shared" si="445"/>
        <v>4037</v>
      </c>
      <c r="BR439" s="201">
        <f t="shared" si="442"/>
        <v>0</v>
      </c>
      <c r="BS439" s="201">
        <f t="shared" si="442"/>
        <v>4037</v>
      </c>
      <c r="BT439" s="201">
        <f t="shared" si="446"/>
        <v>4037</v>
      </c>
      <c r="BU439" s="213">
        <f t="shared" si="474"/>
        <v>0</v>
      </c>
      <c r="BV439" s="201">
        <v>4624.1899999999996</v>
      </c>
      <c r="BW439" s="201"/>
      <c r="BX439" s="201">
        <f t="shared" si="447"/>
        <v>4624.1899999999996</v>
      </c>
      <c r="BY439" s="199">
        <v>300000</v>
      </c>
      <c r="BZ439" s="199">
        <v>360000</v>
      </c>
      <c r="CA439" s="199">
        <v>360000</v>
      </c>
      <c r="CB439" s="199">
        <v>300000</v>
      </c>
      <c r="CC439" s="199">
        <v>300000</v>
      </c>
      <c r="CD439" s="199">
        <v>300000</v>
      </c>
      <c r="CE439" s="199">
        <v>300000</v>
      </c>
      <c r="CF439" s="199">
        <v>300000</v>
      </c>
      <c r="CG439" s="199">
        <v>300000</v>
      </c>
      <c r="CH439" s="199">
        <v>90000</v>
      </c>
      <c r="CI439" s="199">
        <v>90000</v>
      </c>
      <c r="CJ439" s="199"/>
      <c r="CK439" s="214" t="s">
        <v>1135</v>
      </c>
      <c r="CL439" s="214" t="s">
        <v>610</v>
      </c>
      <c r="CM439" s="211">
        <v>198</v>
      </c>
      <c r="CN439" s="215"/>
      <c r="CO439" s="215"/>
      <c r="CP439" s="216"/>
      <c r="CQ439" s="217"/>
      <c r="CR439" s="211"/>
      <c r="CS439" s="218"/>
      <c r="CT439" s="218"/>
      <c r="CU439" s="218"/>
      <c r="CV439" s="211"/>
      <c r="CW439" s="211"/>
      <c r="CX439" s="211"/>
      <c r="CY439" s="211"/>
      <c r="CZ439" s="211"/>
      <c r="DA439" s="211"/>
      <c r="DB439" s="211"/>
      <c r="DC439" s="219"/>
      <c r="DD439" s="219"/>
      <c r="DE439" s="219"/>
      <c r="DF439" s="211"/>
      <c r="DG439" s="211"/>
      <c r="DH439" s="211"/>
      <c r="DI439" s="211"/>
      <c r="DJ439" s="211"/>
      <c r="DK439" s="220" t="s">
        <v>32</v>
      </c>
      <c r="DT439" s="222"/>
    </row>
    <row r="440" spans="1:124" s="176" customFormat="1" ht="63" x14ac:dyDescent="0.2">
      <c r="A440" s="225" t="s">
        <v>197</v>
      </c>
      <c r="B440" s="197" t="s">
        <v>1136</v>
      </c>
      <c r="C440" s="198">
        <v>1</v>
      </c>
      <c r="D440" s="199">
        <v>1200000</v>
      </c>
      <c r="E440" s="198" t="s">
        <v>156</v>
      </c>
      <c r="F440" s="198" t="s">
        <v>150</v>
      </c>
      <c r="G440" s="198" t="s">
        <v>151</v>
      </c>
      <c r="H440" s="200">
        <v>1</v>
      </c>
      <c r="I440" s="199">
        <f t="shared" si="448"/>
        <v>0</v>
      </c>
      <c r="J440" s="199">
        <f t="shared" si="449"/>
        <v>1200000</v>
      </c>
      <c r="K440" s="199">
        <f t="shared" si="450"/>
        <v>1200000</v>
      </c>
      <c r="L440" s="199"/>
      <c r="M440" s="199">
        <v>1200000</v>
      </c>
      <c r="N440" s="199">
        <f t="shared" si="451"/>
        <v>1200000</v>
      </c>
      <c r="O440" s="199"/>
      <c r="P440" s="201">
        <v>0</v>
      </c>
      <c r="Q440" s="202">
        <v>15</v>
      </c>
      <c r="R440" s="203">
        <v>45566</v>
      </c>
      <c r="S440" s="199"/>
      <c r="T440" s="199">
        <v>1200000</v>
      </c>
      <c r="U440" s="204">
        <f t="shared" si="452"/>
        <v>1200000</v>
      </c>
      <c r="V440" s="205"/>
      <c r="W440" s="200"/>
      <c r="X440" s="201"/>
      <c r="Y440" s="201"/>
      <c r="Z440" s="201">
        <f t="shared" si="453"/>
        <v>0</v>
      </c>
      <c r="AA440" s="198"/>
      <c r="AB440" s="206"/>
      <c r="AC440" s="207"/>
      <c r="AD440" s="201"/>
      <c r="AE440" s="204">
        <f t="shared" si="454"/>
        <v>0</v>
      </c>
      <c r="AF440" s="203">
        <f t="shared" si="455"/>
        <v>45566</v>
      </c>
      <c r="AG440" s="201">
        <f t="shared" si="456"/>
        <v>0</v>
      </c>
      <c r="AH440" s="201">
        <f t="shared" si="457"/>
        <v>1200000</v>
      </c>
      <c r="AI440" s="199">
        <f t="shared" si="458"/>
        <v>1200000</v>
      </c>
      <c r="AJ440" s="201">
        <f t="shared" si="443"/>
        <v>0</v>
      </c>
      <c r="AK440" s="201">
        <f t="shared" si="443"/>
        <v>1200000</v>
      </c>
      <c r="AL440" s="201">
        <f t="shared" si="459"/>
        <v>1200000</v>
      </c>
      <c r="AM440" s="198"/>
      <c r="AN440" s="203"/>
      <c r="AO440" s="208"/>
      <c r="AP440" s="201">
        <f t="shared" si="460"/>
        <v>0</v>
      </c>
      <c r="AQ440" s="201">
        <f t="shared" si="461"/>
        <v>1198486.8500000001</v>
      </c>
      <c r="AR440" s="201">
        <f t="shared" si="462"/>
        <v>1198486.8500000001</v>
      </c>
      <c r="AS440" s="201">
        <f t="shared" si="463"/>
        <v>99.873904166666676</v>
      </c>
      <c r="AT440" s="201"/>
      <c r="AU440" s="209">
        <v>1198486.8500000001</v>
      </c>
      <c r="AV440" s="201">
        <f t="shared" si="464"/>
        <v>1198486.8500000001</v>
      </c>
      <c r="AW440" s="201">
        <f t="shared" si="473"/>
        <v>0</v>
      </c>
      <c r="AX440" s="201">
        <f t="shared" si="465"/>
        <v>99.873904166666676</v>
      </c>
      <c r="AY440" s="208"/>
      <c r="AZ440" s="201">
        <f t="shared" si="466"/>
        <v>0</v>
      </c>
      <c r="BA440" s="201">
        <f t="shared" si="467"/>
        <v>0</v>
      </c>
      <c r="BB440" s="201">
        <f t="shared" si="468"/>
        <v>0</v>
      </c>
      <c r="BC440" s="201"/>
      <c r="BD440" s="209">
        <v>0</v>
      </c>
      <c r="BE440" s="201">
        <f t="shared" si="444"/>
        <v>0</v>
      </c>
      <c r="BF440" s="208"/>
      <c r="BG440" s="201">
        <f t="shared" ref="BG440:BH503" si="475">+AP440+AZ440</f>
        <v>0</v>
      </c>
      <c r="BH440" s="201">
        <f t="shared" si="475"/>
        <v>1198486.8500000001</v>
      </c>
      <c r="BI440" s="201">
        <f t="shared" si="469"/>
        <v>1198486.8500000001</v>
      </c>
      <c r="BJ440" s="201">
        <f t="shared" si="470"/>
        <v>99.873904166666676</v>
      </c>
      <c r="BK440" s="210">
        <v>50.11</v>
      </c>
      <c r="BL440" s="210">
        <v>100</v>
      </c>
      <c r="BM440" s="211"/>
      <c r="BN440" s="211"/>
      <c r="BO440" s="212">
        <f t="shared" si="471"/>
        <v>0</v>
      </c>
      <c r="BP440" s="201">
        <f t="shared" si="472"/>
        <v>1513.1499999999069</v>
      </c>
      <c r="BQ440" s="201">
        <f t="shared" si="445"/>
        <v>1513.1499999999069</v>
      </c>
      <c r="BR440" s="201">
        <f t="shared" si="442"/>
        <v>0</v>
      </c>
      <c r="BS440" s="201">
        <f t="shared" si="442"/>
        <v>1513.1499999999069</v>
      </c>
      <c r="BT440" s="201">
        <f t="shared" si="446"/>
        <v>1513.1499999999069</v>
      </c>
      <c r="BU440" s="213">
        <f t="shared" si="474"/>
        <v>0</v>
      </c>
      <c r="BV440" s="201"/>
      <c r="BW440" s="201"/>
      <c r="BX440" s="201">
        <f t="shared" si="447"/>
        <v>0</v>
      </c>
      <c r="BY440" s="199">
        <v>60000</v>
      </c>
      <c r="BZ440" s="199">
        <v>60000</v>
      </c>
      <c r="CA440" s="199">
        <v>240000</v>
      </c>
      <c r="CB440" s="199">
        <v>360000</v>
      </c>
      <c r="CC440" s="199">
        <v>360000</v>
      </c>
      <c r="CD440" s="199">
        <v>120000</v>
      </c>
      <c r="CE440" s="199">
        <v>0</v>
      </c>
      <c r="CF440" s="199">
        <v>0</v>
      </c>
      <c r="CG440" s="199">
        <v>0</v>
      </c>
      <c r="CH440" s="199">
        <v>0</v>
      </c>
      <c r="CI440" s="199">
        <v>0</v>
      </c>
      <c r="CJ440" s="199">
        <v>0</v>
      </c>
      <c r="CK440" s="214" t="s">
        <v>1137</v>
      </c>
      <c r="CL440" s="214" t="s">
        <v>610</v>
      </c>
      <c r="CM440" s="211">
        <v>198</v>
      </c>
      <c r="CN440" s="215"/>
      <c r="CO440" s="215"/>
      <c r="CP440" s="216"/>
      <c r="CQ440" s="217"/>
      <c r="CR440" s="211"/>
      <c r="CS440" s="218"/>
      <c r="CT440" s="218"/>
      <c r="CU440" s="218"/>
      <c r="CV440" s="211"/>
      <c r="CW440" s="211"/>
      <c r="CX440" s="211"/>
      <c r="CY440" s="211"/>
      <c r="CZ440" s="211"/>
      <c r="DA440" s="211"/>
      <c r="DB440" s="211"/>
      <c r="DC440" s="219"/>
      <c r="DD440" s="219"/>
      <c r="DE440" s="219"/>
      <c r="DF440" s="211"/>
      <c r="DG440" s="211"/>
      <c r="DH440" s="211"/>
      <c r="DI440" s="211"/>
      <c r="DJ440" s="211"/>
      <c r="DK440" s="220" t="s">
        <v>32</v>
      </c>
      <c r="DT440" s="222"/>
    </row>
    <row r="441" spans="1:124" s="176" customFormat="1" ht="42" x14ac:dyDescent="0.2">
      <c r="A441" s="225" t="s">
        <v>197</v>
      </c>
      <c r="B441" s="197" t="s">
        <v>1138</v>
      </c>
      <c r="C441" s="198">
        <v>1</v>
      </c>
      <c r="D441" s="199">
        <v>1800000</v>
      </c>
      <c r="E441" s="198" t="s">
        <v>270</v>
      </c>
      <c r="F441" s="198" t="s">
        <v>271</v>
      </c>
      <c r="G441" s="198" t="s">
        <v>151</v>
      </c>
      <c r="H441" s="200">
        <v>1</v>
      </c>
      <c r="I441" s="199">
        <f t="shared" si="448"/>
        <v>0</v>
      </c>
      <c r="J441" s="199">
        <f t="shared" si="449"/>
        <v>1800000</v>
      </c>
      <c r="K441" s="199">
        <f t="shared" si="450"/>
        <v>1800000</v>
      </c>
      <c r="L441" s="199"/>
      <c r="M441" s="199">
        <v>1800000</v>
      </c>
      <c r="N441" s="199">
        <f t="shared" si="451"/>
        <v>1800000</v>
      </c>
      <c r="O441" s="199"/>
      <c r="P441" s="201">
        <v>0</v>
      </c>
      <c r="Q441" s="202">
        <v>15</v>
      </c>
      <c r="R441" s="203">
        <v>45566</v>
      </c>
      <c r="S441" s="199"/>
      <c r="T441" s="199">
        <v>1800000</v>
      </c>
      <c r="U441" s="204">
        <f t="shared" si="452"/>
        <v>1800000</v>
      </c>
      <c r="V441" s="205"/>
      <c r="W441" s="200"/>
      <c r="X441" s="201"/>
      <c r="Y441" s="201"/>
      <c r="Z441" s="201">
        <f t="shared" si="453"/>
        <v>0</v>
      </c>
      <c r="AA441" s="198"/>
      <c r="AB441" s="206"/>
      <c r="AC441" s="207"/>
      <c r="AD441" s="201"/>
      <c r="AE441" s="204">
        <f t="shared" si="454"/>
        <v>0</v>
      </c>
      <c r="AF441" s="203">
        <f t="shared" si="455"/>
        <v>45566</v>
      </c>
      <c r="AG441" s="201">
        <f t="shared" si="456"/>
        <v>0</v>
      </c>
      <c r="AH441" s="201">
        <f t="shared" si="457"/>
        <v>1800000</v>
      </c>
      <c r="AI441" s="199">
        <f t="shared" si="458"/>
        <v>1800000</v>
      </c>
      <c r="AJ441" s="201">
        <f t="shared" si="443"/>
        <v>0</v>
      </c>
      <c r="AK441" s="201">
        <f t="shared" si="443"/>
        <v>1800000</v>
      </c>
      <c r="AL441" s="201">
        <f t="shared" si="459"/>
        <v>1800000</v>
      </c>
      <c r="AM441" s="198"/>
      <c r="AN441" s="203"/>
      <c r="AO441" s="208"/>
      <c r="AP441" s="201">
        <f t="shared" si="460"/>
        <v>0</v>
      </c>
      <c r="AQ441" s="201">
        <f t="shared" si="461"/>
        <v>1798366.56</v>
      </c>
      <c r="AR441" s="201">
        <f t="shared" si="462"/>
        <v>1798366.56</v>
      </c>
      <c r="AS441" s="201">
        <f t="shared" si="463"/>
        <v>99.909253333333339</v>
      </c>
      <c r="AT441" s="201"/>
      <c r="AU441" s="209">
        <v>1798366.56</v>
      </c>
      <c r="AV441" s="201">
        <f t="shared" si="464"/>
        <v>1798366.56</v>
      </c>
      <c r="AW441" s="201">
        <f t="shared" si="473"/>
        <v>10</v>
      </c>
      <c r="AX441" s="201">
        <f t="shared" si="465"/>
        <v>99.909253333333339</v>
      </c>
      <c r="AY441" s="208"/>
      <c r="AZ441" s="201">
        <f t="shared" si="466"/>
        <v>0</v>
      </c>
      <c r="BA441" s="201">
        <f t="shared" si="467"/>
        <v>0</v>
      </c>
      <c r="BB441" s="201">
        <f t="shared" si="468"/>
        <v>0</v>
      </c>
      <c r="BC441" s="201"/>
      <c r="BD441" s="209">
        <v>0</v>
      </c>
      <c r="BE441" s="201">
        <f t="shared" si="444"/>
        <v>0</v>
      </c>
      <c r="BF441" s="208"/>
      <c r="BG441" s="201">
        <f t="shared" si="475"/>
        <v>0</v>
      </c>
      <c r="BH441" s="201">
        <f t="shared" si="475"/>
        <v>1798366.56</v>
      </c>
      <c r="BI441" s="201">
        <f t="shared" si="469"/>
        <v>1798366.56</v>
      </c>
      <c r="BJ441" s="201">
        <f t="shared" si="470"/>
        <v>99.909253333333339</v>
      </c>
      <c r="BK441" s="210">
        <v>44.9</v>
      </c>
      <c r="BL441" s="210">
        <v>100</v>
      </c>
      <c r="BM441" s="211"/>
      <c r="BN441" s="211"/>
      <c r="BO441" s="212">
        <f t="shared" si="471"/>
        <v>0</v>
      </c>
      <c r="BP441" s="201">
        <f t="shared" si="472"/>
        <v>1633.4399999999441</v>
      </c>
      <c r="BQ441" s="201">
        <f t="shared" si="445"/>
        <v>1633.4399999999441</v>
      </c>
      <c r="BR441" s="201">
        <f t="shared" ref="BR441:BS504" si="476">+AJ441-AT441</f>
        <v>0</v>
      </c>
      <c r="BS441" s="201">
        <f t="shared" si="476"/>
        <v>1633.4399999999441</v>
      </c>
      <c r="BT441" s="201">
        <f t="shared" si="446"/>
        <v>1633.4399999999441</v>
      </c>
      <c r="BU441" s="213">
        <f t="shared" si="474"/>
        <v>0</v>
      </c>
      <c r="BV441" s="201"/>
      <c r="BW441" s="201"/>
      <c r="BX441" s="201">
        <f t="shared" si="447"/>
        <v>0</v>
      </c>
      <c r="BY441" s="199">
        <v>90000</v>
      </c>
      <c r="BZ441" s="199">
        <v>180000</v>
      </c>
      <c r="CA441" s="199">
        <v>180000</v>
      </c>
      <c r="CB441" s="199">
        <v>270000</v>
      </c>
      <c r="CC441" s="199">
        <v>270000</v>
      </c>
      <c r="CD441" s="199">
        <v>270000</v>
      </c>
      <c r="CE441" s="199">
        <v>270000</v>
      </c>
      <c r="CF441" s="199">
        <v>180000</v>
      </c>
      <c r="CG441" s="199">
        <v>90000</v>
      </c>
      <c r="CH441" s="199">
        <v>0</v>
      </c>
      <c r="CI441" s="199">
        <v>0</v>
      </c>
      <c r="CJ441" s="199">
        <v>0</v>
      </c>
      <c r="CK441" s="214" t="s">
        <v>1139</v>
      </c>
      <c r="CL441" s="214" t="s">
        <v>610</v>
      </c>
      <c r="CM441" s="211">
        <v>198</v>
      </c>
      <c r="CN441" s="215"/>
      <c r="CO441" s="215"/>
      <c r="CP441" s="216"/>
      <c r="CQ441" s="217"/>
      <c r="CR441" s="211"/>
      <c r="CS441" s="218"/>
      <c r="CT441" s="218"/>
      <c r="CU441" s="218"/>
      <c r="CV441" s="211"/>
      <c r="CW441" s="211"/>
      <c r="CX441" s="211"/>
      <c r="CY441" s="211"/>
      <c r="CZ441" s="211"/>
      <c r="DA441" s="211"/>
      <c r="DB441" s="211"/>
      <c r="DC441" s="219"/>
      <c r="DD441" s="219"/>
      <c r="DE441" s="219"/>
      <c r="DF441" s="211"/>
      <c r="DG441" s="211"/>
      <c r="DH441" s="211"/>
      <c r="DI441" s="211"/>
      <c r="DJ441" s="211"/>
      <c r="DK441" s="220" t="s">
        <v>32</v>
      </c>
      <c r="DT441" s="222"/>
    </row>
    <row r="442" spans="1:124" s="176" customFormat="1" ht="42" x14ac:dyDescent="0.2">
      <c r="A442" s="225" t="s">
        <v>197</v>
      </c>
      <c r="B442" s="197" t="s">
        <v>1140</v>
      </c>
      <c r="C442" s="198">
        <v>1</v>
      </c>
      <c r="D442" s="199">
        <v>1900000</v>
      </c>
      <c r="E442" s="198" t="s">
        <v>1141</v>
      </c>
      <c r="F442" s="198" t="s">
        <v>1097</v>
      </c>
      <c r="G442" s="198" t="s">
        <v>151</v>
      </c>
      <c r="H442" s="200">
        <v>1</v>
      </c>
      <c r="I442" s="199">
        <f t="shared" si="448"/>
        <v>0</v>
      </c>
      <c r="J442" s="199">
        <f t="shared" si="449"/>
        <v>1900000</v>
      </c>
      <c r="K442" s="199">
        <f t="shared" si="450"/>
        <v>1900000</v>
      </c>
      <c r="L442" s="199"/>
      <c r="M442" s="199">
        <v>1900000</v>
      </c>
      <c r="N442" s="199">
        <f t="shared" si="451"/>
        <v>1900000</v>
      </c>
      <c r="O442" s="199"/>
      <c r="P442" s="201">
        <v>0</v>
      </c>
      <c r="Q442" s="202">
        <v>15</v>
      </c>
      <c r="R442" s="203">
        <v>45566</v>
      </c>
      <c r="S442" s="199"/>
      <c r="T442" s="199">
        <v>1900000</v>
      </c>
      <c r="U442" s="204">
        <f t="shared" si="452"/>
        <v>1900000</v>
      </c>
      <c r="V442" s="205"/>
      <c r="W442" s="200"/>
      <c r="X442" s="201"/>
      <c r="Y442" s="201"/>
      <c r="Z442" s="201">
        <f t="shared" si="453"/>
        <v>0</v>
      </c>
      <c r="AA442" s="198"/>
      <c r="AB442" s="206"/>
      <c r="AC442" s="207"/>
      <c r="AD442" s="201"/>
      <c r="AE442" s="204">
        <f t="shared" si="454"/>
        <v>0</v>
      </c>
      <c r="AF442" s="203">
        <f t="shared" si="455"/>
        <v>45566</v>
      </c>
      <c r="AG442" s="201">
        <f t="shared" si="456"/>
        <v>0</v>
      </c>
      <c r="AH442" s="201">
        <f t="shared" si="457"/>
        <v>1900000</v>
      </c>
      <c r="AI442" s="199">
        <f t="shared" si="458"/>
        <v>1900000</v>
      </c>
      <c r="AJ442" s="201">
        <f t="shared" si="443"/>
        <v>0</v>
      </c>
      <c r="AK442" s="201">
        <f t="shared" si="443"/>
        <v>1900000</v>
      </c>
      <c r="AL442" s="201">
        <f t="shared" si="459"/>
        <v>1900000</v>
      </c>
      <c r="AM442" s="198"/>
      <c r="AN442" s="203"/>
      <c r="AO442" s="208"/>
      <c r="AP442" s="201">
        <f t="shared" si="460"/>
        <v>0</v>
      </c>
      <c r="AQ442" s="201">
        <f t="shared" si="461"/>
        <v>1895951.22</v>
      </c>
      <c r="AR442" s="201">
        <f t="shared" si="462"/>
        <v>1895951.22</v>
      </c>
      <c r="AS442" s="201">
        <f t="shared" si="463"/>
        <v>99.78690631578948</v>
      </c>
      <c r="AT442" s="201"/>
      <c r="AU442" s="209">
        <v>1895951.22</v>
      </c>
      <c r="AV442" s="201">
        <f t="shared" si="464"/>
        <v>1895951.22</v>
      </c>
      <c r="AW442" s="201">
        <f t="shared" si="473"/>
        <v>10</v>
      </c>
      <c r="AX442" s="201">
        <f t="shared" si="465"/>
        <v>99.78690631578948</v>
      </c>
      <c r="AY442" s="208"/>
      <c r="AZ442" s="201">
        <f t="shared" si="466"/>
        <v>0</v>
      </c>
      <c r="BA442" s="201">
        <f t="shared" si="467"/>
        <v>0</v>
      </c>
      <c r="BB442" s="201">
        <f t="shared" si="468"/>
        <v>0</v>
      </c>
      <c r="BC442" s="201"/>
      <c r="BD442" s="209">
        <v>0</v>
      </c>
      <c r="BE442" s="201">
        <f t="shared" si="444"/>
        <v>0</v>
      </c>
      <c r="BF442" s="208"/>
      <c r="BG442" s="201">
        <f t="shared" si="475"/>
        <v>0</v>
      </c>
      <c r="BH442" s="201">
        <f t="shared" si="475"/>
        <v>1895951.22</v>
      </c>
      <c r="BI442" s="201">
        <f t="shared" si="469"/>
        <v>1895951.22</v>
      </c>
      <c r="BJ442" s="201">
        <f t="shared" si="470"/>
        <v>99.78690631578948</v>
      </c>
      <c r="BK442" s="210">
        <v>42.2</v>
      </c>
      <c r="BL442" s="210">
        <v>100</v>
      </c>
      <c r="BM442" s="211"/>
      <c r="BN442" s="211"/>
      <c r="BO442" s="212">
        <f t="shared" si="471"/>
        <v>0</v>
      </c>
      <c r="BP442" s="201">
        <f t="shared" si="472"/>
        <v>4048.7800000000279</v>
      </c>
      <c r="BQ442" s="201">
        <f t="shared" si="445"/>
        <v>4048.7800000000279</v>
      </c>
      <c r="BR442" s="201">
        <f t="shared" si="476"/>
        <v>0</v>
      </c>
      <c r="BS442" s="201">
        <f t="shared" si="476"/>
        <v>4048.7800000000279</v>
      </c>
      <c r="BT442" s="201">
        <f t="shared" si="446"/>
        <v>4048.7800000000279</v>
      </c>
      <c r="BU442" s="213">
        <f t="shared" si="474"/>
        <v>0</v>
      </c>
      <c r="BV442" s="201"/>
      <c r="BW442" s="201"/>
      <c r="BX442" s="201">
        <f t="shared" si="447"/>
        <v>0</v>
      </c>
      <c r="BY442" s="199">
        <v>95000</v>
      </c>
      <c r="BZ442" s="199">
        <v>190000</v>
      </c>
      <c r="CA442" s="199">
        <v>190000</v>
      </c>
      <c r="CB442" s="199">
        <v>285000</v>
      </c>
      <c r="CC442" s="199">
        <v>285000</v>
      </c>
      <c r="CD442" s="199">
        <v>285000</v>
      </c>
      <c r="CE442" s="199">
        <v>285000</v>
      </c>
      <c r="CF442" s="199">
        <v>190000</v>
      </c>
      <c r="CG442" s="199">
        <v>95000</v>
      </c>
      <c r="CH442" s="199">
        <v>0</v>
      </c>
      <c r="CI442" s="199">
        <v>0</v>
      </c>
      <c r="CJ442" s="199">
        <v>0</v>
      </c>
      <c r="CK442" s="214" t="s">
        <v>1142</v>
      </c>
      <c r="CL442" s="214" t="s">
        <v>610</v>
      </c>
      <c r="CM442" s="211">
        <v>198</v>
      </c>
      <c r="CN442" s="215"/>
      <c r="CO442" s="215"/>
      <c r="CP442" s="216"/>
      <c r="CQ442" s="217"/>
      <c r="CR442" s="211"/>
      <c r="CS442" s="218"/>
      <c r="CT442" s="218"/>
      <c r="CU442" s="218"/>
      <c r="CV442" s="211"/>
      <c r="CW442" s="211"/>
      <c r="CX442" s="211"/>
      <c r="CY442" s="211"/>
      <c r="CZ442" s="211"/>
      <c r="DA442" s="211"/>
      <c r="DB442" s="211"/>
      <c r="DC442" s="219"/>
      <c r="DD442" s="219"/>
      <c r="DE442" s="219"/>
      <c r="DF442" s="211"/>
      <c r="DG442" s="211"/>
      <c r="DH442" s="211"/>
      <c r="DI442" s="211"/>
      <c r="DJ442" s="211"/>
      <c r="DK442" s="220" t="s">
        <v>32</v>
      </c>
      <c r="DT442" s="222"/>
    </row>
    <row r="443" spans="1:124" s="176" customFormat="1" ht="42" x14ac:dyDescent="0.2">
      <c r="A443" s="225" t="s">
        <v>197</v>
      </c>
      <c r="B443" s="197" t="s">
        <v>1143</v>
      </c>
      <c r="C443" s="198">
        <v>1</v>
      </c>
      <c r="D443" s="199">
        <v>800000</v>
      </c>
      <c r="E443" s="198" t="s">
        <v>1141</v>
      </c>
      <c r="F443" s="198" t="s">
        <v>1097</v>
      </c>
      <c r="G443" s="198" t="s">
        <v>151</v>
      </c>
      <c r="H443" s="200">
        <v>1</v>
      </c>
      <c r="I443" s="199">
        <f t="shared" si="448"/>
        <v>0</v>
      </c>
      <c r="J443" s="199">
        <f t="shared" si="449"/>
        <v>800000</v>
      </c>
      <c r="K443" s="199">
        <f t="shared" si="450"/>
        <v>800000</v>
      </c>
      <c r="L443" s="199"/>
      <c r="M443" s="199">
        <v>800000</v>
      </c>
      <c r="N443" s="199">
        <f t="shared" si="451"/>
        <v>800000</v>
      </c>
      <c r="O443" s="199"/>
      <c r="P443" s="201">
        <v>0</v>
      </c>
      <c r="Q443" s="202">
        <v>15</v>
      </c>
      <c r="R443" s="203">
        <v>45566</v>
      </c>
      <c r="S443" s="199"/>
      <c r="T443" s="199">
        <v>800000</v>
      </c>
      <c r="U443" s="204">
        <f t="shared" si="452"/>
        <v>800000</v>
      </c>
      <c r="V443" s="205"/>
      <c r="W443" s="200"/>
      <c r="X443" s="201"/>
      <c r="Y443" s="201"/>
      <c r="Z443" s="201">
        <f t="shared" si="453"/>
        <v>0</v>
      </c>
      <c r="AA443" s="198"/>
      <c r="AB443" s="206"/>
      <c r="AC443" s="207"/>
      <c r="AD443" s="201"/>
      <c r="AE443" s="204">
        <f t="shared" si="454"/>
        <v>0</v>
      </c>
      <c r="AF443" s="203">
        <f t="shared" si="455"/>
        <v>45566</v>
      </c>
      <c r="AG443" s="201">
        <f t="shared" si="456"/>
        <v>0</v>
      </c>
      <c r="AH443" s="201">
        <f t="shared" si="457"/>
        <v>800000</v>
      </c>
      <c r="AI443" s="199">
        <f t="shared" si="458"/>
        <v>800000</v>
      </c>
      <c r="AJ443" s="201">
        <f t="shared" si="443"/>
        <v>0</v>
      </c>
      <c r="AK443" s="201">
        <f t="shared" si="443"/>
        <v>800000</v>
      </c>
      <c r="AL443" s="201">
        <f t="shared" si="459"/>
        <v>800000</v>
      </c>
      <c r="AM443" s="198"/>
      <c r="AN443" s="203"/>
      <c r="AO443" s="208"/>
      <c r="AP443" s="201">
        <f t="shared" si="460"/>
        <v>0</v>
      </c>
      <c r="AQ443" s="201">
        <f t="shared" si="461"/>
        <v>798067.03</v>
      </c>
      <c r="AR443" s="201">
        <f t="shared" si="462"/>
        <v>798067.03</v>
      </c>
      <c r="AS443" s="201">
        <f t="shared" si="463"/>
        <v>99.758378750000006</v>
      </c>
      <c r="AT443" s="201"/>
      <c r="AU443" s="209">
        <v>798067.03</v>
      </c>
      <c r="AV443" s="201">
        <f t="shared" si="464"/>
        <v>798067.03</v>
      </c>
      <c r="AW443" s="201">
        <f t="shared" si="473"/>
        <v>0</v>
      </c>
      <c r="AX443" s="201">
        <f t="shared" si="465"/>
        <v>99.758378750000006</v>
      </c>
      <c r="AY443" s="208"/>
      <c r="AZ443" s="201">
        <f t="shared" si="466"/>
        <v>0</v>
      </c>
      <c r="BA443" s="201">
        <f t="shared" si="467"/>
        <v>0</v>
      </c>
      <c r="BB443" s="201">
        <f t="shared" si="468"/>
        <v>0</v>
      </c>
      <c r="BC443" s="201"/>
      <c r="BD443" s="209">
        <v>0</v>
      </c>
      <c r="BE443" s="201">
        <f t="shared" si="444"/>
        <v>0</v>
      </c>
      <c r="BF443" s="208"/>
      <c r="BG443" s="201">
        <f t="shared" si="475"/>
        <v>0</v>
      </c>
      <c r="BH443" s="201">
        <f t="shared" si="475"/>
        <v>798067.03</v>
      </c>
      <c r="BI443" s="201">
        <f t="shared" si="469"/>
        <v>798067.03</v>
      </c>
      <c r="BJ443" s="201">
        <f t="shared" si="470"/>
        <v>99.758378750000006</v>
      </c>
      <c r="BK443" s="210">
        <v>52.77</v>
      </c>
      <c r="BL443" s="210">
        <v>100</v>
      </c>
      <c r="BM443" s="211"/>
      <c r="BN443" s="211"/>
      <c r="BO443" s="212">
        <f t="shared" si="471"/>
        <v>0</v>
      </c>
      <c r="BP443" s="201">
        <f t="shared" si="472"/>
        <v>1932.9699999999721</v>
      </c>
      <c r="BQ443" s="201">
        <f t="shared" si="445"/>
        <v>1932.9699999999721</v>
      </c>
      <c r="BR443" s="201">
        <f t="shared" si="476"/>
        <v>0</v>
      </c>
      <c r="BS443" s="201">
        <f t="shared" si="476"/>
        <v>1932.9699999999721</v>
      </c>
      <c r="BT443" s="201">
        <f t="shared" si="446"/>
        <v>1932.9699999999721</v>
      </c>
      <c r="BU443" s="213">
        <f t="shared" si="474"/>
        <v>0</v>
      </c>
      <c r="BV443" s="201"/>
      <c r="BW443" s="201"/>
      <c r="BX443" s="201">
        <f t="shared" si="447"/>
        <v>0</v>
      </c>
      <c r="BY443" s="199">
        <v>80000</v>
      </c>
      <c r="BZ443" s="199">
        <v>120000</v>
      </c>
      <c r="CA443" s="199">
        <v>200000</v>
      </c>
      <c r="CB443" s="199">
        <v>200000</v>
      </c>
      <c r="CC443" s="199">
        <v>120000</v>
      </c>
      <c r="CD443" s="199">
        <v>80000</v>
      </c>
      <c r="CE443" s="199">
        <v>0</v>
      </c>
      <c r="CF443" s="199">
        <v>0</v>
      </c>
      <c r="CG443" s="199">
        <v>0</v>
      </c>
      <c r="CH443" s="199">
        <v>0</v>
      </c>
      <c r="CI443" s="199">
        <v>0</v>
      </c>
      <c r="CJ443" s="199">
        <v>0</v>
      </c>
      <c r="CK443" s="214" t="s">
        <v>1144</v>
      </c>
      <c r="CL443" s="214" t="s">
        <v>610</v>
      </c>
      <c r="CM443" s="211">
        <v>198</v>
      </c>
      <c r="CN443" s="215"/>
      <c r="CO443" s="215"/>
      <c r="CP443" s="216"/>
      <c r="CQ443" s="217"/>
      <c r="CR443" s="211"/>
      <c r="CS443" s="218"/>
      <c r="CT443" s="218"/>
      <c r="CU443" s="218"/>
      <c r="CV443" s="211"/>
      <c r="CW443" s="211"/>
      <c r="CX443" s="211"/>
      <c r="CY443" s="211"/>
      <c r="CZ443" s="211"/>
      <c r="DA443" s="211"/>
      <c r="DB443" s="211"/>
      <c r="DC443" s="219"/>
      <c r="DD443" s="219"/>
      <c r="DE443" s="219"/>
      <c r="DF443" s="211"/>
      <c r="DG443" s="211"/>
      <c r="DH443" s="211"/>
      <c r="DI443" s="211"/>
      <c r="DJ443" s="211"/>
      <c r="DK443" s="220" t="s">
        <v>32</v>
      </c>
      <c r="DT443" s="222"/>
    </row>
    <row r="444" spans="1:124" s="176" customFormat="1" ht="42" x14ac:dyDescent="0.2">
      <c r="A444" s="225" t="s">
        <v>197</v>
      </c>
      <c r="B444" s="197" t="s">
        <v>1145</v>
      </c>
      <c r="C444" s="198">
        <v>1</v>
      </c>
      <c r="D444" s="199">
        <v>1000000</v>
      </c>
      <c r="E444" s="198" t="s">
        <v>1141</v>
      </c>
      <c r="F444" s="198" t="s">
        <v>1097</v>
      </c>
      <c r="G444" s="198" t="s">
        <v>151</v>
      </c>
      <c r="H444" s="200">
        <v>1</v>
      </c>
      <c r="I444" s="199">
        <f t="shared" si="448"/>
        <v>0</v>
      </c>
      <c r="J444" s="199">
        <f t="shared" si="449"/>
        <v>1000000</v>
      </c>
      <c r="K444" s="199">
        <f t="shared" si="450"/>
        <v>1000000</v>
      </c>
      <c r="L444" s="199"/>
      <c r="M444" s="199">
        <v>1000000</v>
      </c>
      <c r="N444" s="199">
        <f t="shared" si="451"/>
        <v>1000000</v>
      </c>
      <c r="O444" s="199"/>
      <c r="P444" s="201">
        <v>0</v>
      </c>
      <c r="Q444" s="202">
        <v>15</v>
      </c>
      <c r="R444" s="203">
        <v>45566</v>
      </c>
      <c r="S444" s="199"/>
      <c r="T444" s="199">
        <v>1000000</v>
      </c>
      <c r="U444" s="204">
        <f t="shared" si="452"/>
        <v>1000000</v>
      </c>
      <c r="V444" s="205"/>
      <c r="W444" s="200"/>
      <c r="X444" s="201"/>
      <c r="Y444" s="201"/>
      <c r="Z444" s="201">
        <f t="shared" si="453"/>
        <v>0</v>
      </c>
      <c r="AA444" s="198"/>
      <c r="AB444" s="206"/>
      <c r="AC444" s="207"/>
      <c r="AD444" s="201"/>
      <c r="AE444" s="204">
        <f t="shared" si="454"/>
        <v>0</v>
      </c>
      <c r="AF444" s="203">
        <f t="shared" si="455"/>
        <v>45566</v>
      </c>
      <c r="AG444" s="201">
        <f t="shared" si="456"/>
        <v>0</v>
      </c>
      <c r="AH444" s="201">
        <f t="shared" si="457"/>
        <v>1000000</v>
      </c>
      <c r="AI444" s="199">
        <f t="shared" si="458"/>
        <v>1000000</v>
      </c>
      <c r="AJ444" s="201">
        <f t="shared" si="443"/>
        <v>0</v>
      </c>
      <c r="AK444" s="201">
        <f t="shared" si="443"/>
        <v>1000000</v>
      </c>
      <c r="AL444" s="201">
        <f t="shared" si="459"/>
        <v>1000000</v>
      </c>
      <c r="AM444" s="198"/>
      <c r="AN444" s="203"/>
      <c r="AO444" s="208"/>
      <c r="AP444" s="201">
        <f t="shared" si="460"/>
        <v>0</v>
      </c>
      <c r="AQ444" s="201">
        <f t="shared" si="461"/>
        <v>996989.91</v>
      </c>
      <c r="AR444" s="201">
        <f t="shared" si="462"/>
        <v>996989.91</v>
      </c>
      <c r="AS444" s="201">
        <f t="shared" si="463"/>
        <v>99.698991000000007</v>
      </c>
      <c r="AT444" s="201"/>
      <c r="AU444" s="209">
        <v>996989.91</v>
      </c>
      <c r="AV444" s="201">
        <f t="shared" si="464"/>
        <v>996989.91</v>
      </c>
      <c r="AW444" s="201">
        <f t="shared" si="473"/>
        <v>0</v>
      </c>
      <c r="AX444" s="201">
        <f t="shared" si="465"/>
        <v>99.698991000000007</v>
      </c>
      <c r="AY444" s="208"/>
      <c r="AZ444" s="201">
        <f t="shared" si="466"/>
        <v>0</v>
      </c>
      <c r="BA444" s="201">
        <f t="shared" si="467"/>
        <v>0</v>
      </c>
      <c r="BB444" s="201">
        <f t="shared" si="468"/>
        <v>0</v>
      </c>
      <c r="BC444" s="201"/>
      <c r="BD444" s="209">
        <v>0</v>
      </c>
      <c r="BE444" s="201">
        <f t="shared" si="444"/>
        <v>0</v>
      </c>
      <c r="BF444" s="208"/>
      <c r="BG444" s="201">
        <f t="shared" si="475"/>
        <v>0</v>
      </c>
      <c r="BH444" s="201">
        <f t="shared" si="475"/>
        <v>996989.91</v>
      </c>
      <c r="BI444" s="201">
        <f t="shared" si="469"/>
        <v>996989.91</v>
      </c>
      <c r="BJ444" s="201">
        <f t="shared" si="470"/>
        <v>99.698991000000007</v>
      </c>
      <c r="BK444" s="210">
        <v>54.23</v>
      </c>
      <c r="BL444" s="210">
        <v>100</v>
      </c>
      <c r="BM444" s="211"/>
      <c r="BN444" s="211"/>
      <c r="BO444" s="212">
        <f t="shared" si="471"/>
        <v>0</v>
      </c>
      <c r="BP444" s="201">
        <f t="shared" si="472"/>
        <v>3010.0899999999674</v>
      </c>
      <c r="BQ444" s="201">
        <f t="shared" si="445"/>
        <v>3010.0899999999674</v>
      </c>
      <c r="BR444" s="201">
        <f t="shared" si="476"/>
        <v>0</v>
      </c>
      <c r="BS444" s="201">
        <f t="shared" si="476"/>
        <v>3010.0899999999674</v>
      </c>
      <c r="BT444" s="201">
        <f t="shared" si="446"/>
        <v>3010.0899999999674</v>
      </c>
      <c r="BU444" s="213">
        <f t="shared" si="474"/>
        <v>0</v>
      </c>
      <c r="BV444" s="201"/>
      <c r="BW444" s="201"/>
      <c r="BX444" s="201">
        <f t="shared" si="447"/>
        <v>0</v>
      </c>
      <c r="BY444" s="199">
        <v>100000</v>
      </c>
      <c r="BZ444" s="199">
        <v>150000</v>
      </c>
      <c r="CA444" s="199">
        <v>250000</v>
      </c>
      <c r="CB444" s="199">
        <v>250000</v>
      </c>
      <c r="CC444" s="199">
        <v>150000</v>
      </c>
      <c r="CD444" s="199">
        <v>100000</v>
      </c>
      <c r="CE444" s="199">
        <v>0</v>
      </c>
      <c r="CF444" s="199">
        <v>0</v>
      </c>
      <c r="CG444" s="199">
        <v>0</v>
      </c>
      <c r="CH444" s="199">
        <v>0</v>
      </c>
      <c r="CI444" s="199">
        <v>0</v>
      </c>
      <c r="CJ444" s="199">
        <v>0</v>
      </c>
      <c r="CK444" s="214" t="s">
        <v>1146</v>
      </c>
      <c r="CL444" s="214" t="s">
        <v>610</v>
      </c>
      <c r="CM444" s="211">
        <v>198</v>
      </c>
      <c r="CN444" s="215"/>
      <c r="CO444" s="215"/>
      <c r="CP444" s="216"/>
      <c r="CQ444" s="217"/>
      <c r="CR444" s="211"/>
      <c r="CS444" s="218"/>
      <c r="CT444" s="218"/>
      <c r="CU444" s="218"/>
      <c r="CV444" s="211"/>
      <c r="CW444" s="211"/>
      <c r="CX444" s="211"/>
      <c r="CY444" s="211"/>
      <c r="CZ444" s="211"/>
      <c r="DA444" s="211"/>
      <c r="DB444" s="211"/>
      <c r="DC444" s="219"/>
      <c r="DD444" s="219"/>
      <c r="DE444" s="219"/>
      <c r="DF444" s="211"/>
      <c r="DG444" s="211"/>
      <c r="DH444" s="211"/>
      <c r="DI444" s="211"/>
      <c r="DJ444" s="211"/>
      <c r="DK444" s="220" t="s">
        <v>32</v>
      </c>
      <c r="DT444" s="222"/>
    </row>
    <row r="445" spans="1:124" s="176" customFormat="1" ht="42" x14ac:dyDescent="0.2">
      <c r="A445" s="225" t="s">
        <v>197</v>
      </c>
      <c r="B445" s="197" t="s">
        <v>1147</v>
      </c>
      <c r="C445" s="198">
        <v>1</v>
      </c>
      <c r="D445" s="199">
        <v>1300000</v>
      </c>
      <c r="E445" s="198" t="s">
        <v>1141</v>
      </c>
      <c r="F445" s="198" t="s">
        <v>1097</v>
      </c>
      <c r="G445" s="198" t="s">
        <v>151</v>
      </c>
      <c r="H445" s="200">
        <v>1</v>
      </c>
      <c r="I445" s="199">
        <f t="shared" si="448"/>
        <v>0</v>
      </c>
      <c r="J445" s="199">
        <f t="shared" si="449"/>
        <v>1300000</v>
      </c>
      <c r="K445" s="199">
        <f t="shared" si="450"/>
        <v>1300000</v>
      </c>
      <c r="L445" s="199"/>
      <c r="M445" s="199">
        <v>1300000</v>
      </c>
      <c r="N445" s="199">
        <f t="shared" si="451"/>
        <v>1300000</v>
      </c>
      <c r="O445" s="199"/>
      <c r="P445" s="201">
        <v>0</v>
      </c>
      <c r="Q445" s="202">
        <v>15</v>
      </c>
      <c r="R445" s="203">
        <v>45566</v>
      </c>
      <c r="S445" s="199"/>
      <c r="T445" s="199">
        <v>1300000</v>
      </c>
      <c r="U445" s="204">
        <f t="shared" si="452"/>
        <v>1300000</v>
      </c>
      <c r="V445" s="205"/>
      <c r="W445" s="200"/>
      <c r="X445" s="201"/>
      <c r="Y445" s="201"/>
      <c r="Z445" s="201">
        <f t="shared" si="453"/>
        <v>0</v>
      </c>
      <c r="AA445" s="198"/>
      <c r="AB445" s="206"/>
      <c r="AC445" s="207"/>
      <c r="AD445" s="201"/>
      <c r="AE445" s="204">
        <f t="shared" si="454"/>
        <v>0</v>
      </c>
      <c r="AF445" s="203">
        <f t="shared" si="455"/>
        <v>45566</v>
      </c>
      <c r="AG445" s="201">
        <f t="shared" si="456"/>
        <v>0</v>
      </c>
      <c r="AH445" s="201">
        <f t="shared" si="457"/>
        <v>1300000</v>
      </c>
      <c r="AI445" s="199">
        <f t="shared" si="458"/>
        <v>1300000</v>
      </c>
      <c r="AJ445" s="201">
        <f t="shared" si="443"/>
        <v>0</v>
      </c>
      <c r="AK445" s="201">
        <f t="shared" si="443"/>
        <v>1300000</v>
      </c>
      <c r="AL445" s="201">
        <f t="shared" si="459"/>
        <v>1300000</v>
      </c>
      <c r="AM445" s="198"/>
      <c r="AN445" s="203"/>
      <c r="AO445" s="208"/>
      <c r="AP445" s="201">
        <f t="shared" si="460"/>
        <v>0</v>
      </c>
      <c r="AQ445" s="201">
        <f t="shared" si="461"/>
        <v>1296811.31</v>
      </c>
      <c r="AR445" s="201">
        <f t="shared" si="462"/>
        <v>1296811.31</v>
      </c>
      <c r="AS445" s="201">
        <f t="shared" si="463"/>
        <v>99.754716153846161</v>
      </c>
      <c r="AT445" s="201"/>
      <c r="AU445" s="209">
        <v>1296811.31</v>
      </c>
      <c r="AV445" s="201">
        <f t="shared" si="464"/>
        <v>1296811.31</v>
      </c>
      <c r="AW445" s="201">
        <f t="shared" si="473"/>
        <v>10</v>
      </c>
      <c r="AX445" s="201">
        <f t="shared" si="465"/>
        <v>99.754716153846161</v>
      </c>
      <c r="AY445" s="208"/>
      <c r="AZ445" s="201">
        <f t="shared" si="466"/>
        <v>0</v>
      </c>
      <c r="BA445" s="201">
        <f t="shared" si="467"/>
        <v>0</v>
      </c>
      <c r="BB445" s="201">
        <f t="shared" si="468"/>
        <v>0</v>
      </c>
      <c r="BC445" s="201"/>
      <c r="BD445" s="209">
        <v>0</v>
      </c>
      <c r="BE445" s="201">
        <f t="shared" si="444"/>
        <v>0</v>
      </c>
      <c r="BF445" s="208"/>
      <c r="BG445" s="201">
        <f t="shared" si="475"/>
        <v>0</v>
      </c>
      <c r="BH445" s="201">
        <f t="shared" si="475"/>
        <v>1296811.31</v>
      </c>
      <c r="BI445" s="201">
        <f t="shared" si="469"/>
        <v>1296811.31</v>
      </c>
      <c r="BJ445" s="201">
        <f t="shared" si="470"/>
        <v>99.754716153846161</v>
      </c>
      <c r="BK445" s="210">
        <v>50.29</v>
      </c>
      <c r="BL445" s="210">
        <v>100</v>
      </c>
      <c r="BM445" s="211"/>
      <c r="BN445" s="211"/>
      <c r="BO445" s="212">
        <f t="shared" si="471"/>
        <v>0</v>
      </c>
      <c r="BP445" s="201">
        <f t="shared" si="472"/>
        <v>3188.6899999999441</v>
      </c>
      <c r="BQ445" s="201">
        <f t="shared" si="445"/>
        <v>3188.6899999999441</v>
      </c>
      <c r="BR445" s="201">
        <f t="shared" si="476"/>
        <v>0</v>
      </c>
      <c r="BS445" s="201">
        <f t="shared" si="476"/>
        <v>3188.6899999999441</v>
      </c>
      <c r="BT445" s="201">
        <f t="shared" si="446"/>
        <v>3188.6899999999441</v>
      </c>
      <c r="BU445" s="213">
        <f t="shared" si="474"/>
        <v>0</v>
      </c>
      <c r="BV445" s="201"/>
      <c r="BW445" s="201"/>
      <c r="BX445" s="201">
        <f t="shared" si="447"/>
        <v>0</v>
      </c>
      <c r="BY445" s="199">
        <v>65000</v>
      </c>
      <c r="BZ445" s="199">
        <v>130000</v>
      </c>
      <c r="CA445" s="199">
        <v>130000</v>
      </c>
      <c r="CB445" s="199">
        <v>195000</v>
      </c>
      <c r="CC445" s="199">
        <v>195000</v>
      </c>
      <c r="CD445" s="199">
        <v>195000</v>
      </c>
      <c r="CE445" s="199">
        <v>195000</v>
      </c>
      <c r="CF445" s="199">
        <v>130000</v>
      </c>
      <c r="CG445" s="199">
        <v>65000</v>
      </c>
      <c r="CH445" s="199">
        <v>0</v>
      </c>
      <c r="CI445" s="199">
        <v>0</v>
      </c>
      <c r="CJ445" s="199">
        <v>0</v>
      </c>
      <c r="CK445" s="214" t="s">
        <v>1148</v>
      </c>
      <c r="CL445" s="214" t="s">
        <v>610</v>
      </c>
      <c r="CM445" s="211">
        <v>198</v>
      </c>
      <c r="CN445" s="215"/>
      <c r="CO445" s="215"/>
      <c r="CP445" s="216"/>
      <c r="CQ445" s="217"/>
      <c r="CR445" s="211"/>
      <c r="CS445" s="218"/>
      <c r="CT445" s="218"/>
      <c r="CU445" s="218"/>
      <c r="CV445" s="211"/>
      <c r="CW445" s="211"/>
      <c r="CX445" s="211"/>
      <c r="CY445" s="211"/>
      <c r="CZ445" s="211"/>
      <c r="DA445" s="211"/>
      <c r="DB445" s="211"/>
      <c r="DC445" s="219"/>
      <c r="DD445" s="219"/>
      <c r="DE445" s="219"/>
      <c r="DF445" s="211"/>
      <c r="DG445" s="211"/>
      <c r="DH445" s="211"/>
      <c r="DI445" s="211"/>
      <c r="DJ445" s="211"/>
      <c r="DK445" s="220" t="s">
        <v>32</v>
      </c>
      <c r="DT445" s="222"/>
    </row>
    <row r="446" spans="1:124" s="176" customFormat="1" ht="42" x14ac:dyDescent="0.2">
      <c r="A446" s="225" t="s">
        <v>197</v>
      </c>
      <c r="B446" s="197" t="s">
        <v>1149</v>
      </c>
      <c r="C446" s="198">
        <v>1</v>
      </c>
      <c r="D446" s="199">
        <v>600000</v>
      </c>
      <c r="E446" s="198" t="s">
        <v>1141</v>
      </c>
      <c r="F446" s="198" t="s">
        <v>1097</v>
      </c>
      <c r="G446" s="198" t="s">
        <v>151</v>
      </c>
      <c r="H446" s="200">
        <v>1</v>
      </c>
      <c r="I446" s="199">
        <f t="shared" si="448"/>
        <v>0</v>
      </c>
      <c r="J446" s="199">
        <f t="shared" si="449"/>
        <v>600000</v>
      </c>
      <c r="K446" s="199">
        <f t="shared" si="450"/>
        <v>600000</v>
      </c>
      <c r="L446" s="199"/>
      <c r="M446" s="199">
        <v>600000</v>
      </c>
      <c r="N446" s="199">
        <f t="shared" si="451"/>
        <v>600000</v>
      </c>
      <c r="O446" s="199"/>
      <c r="P446" s="201">
        <v>0</v>
      </c>
      <c r="Q446" s="202">
        <v>15</v>
      </c>
      <c r="R446" s="203">
        <v>45566</v>
      </c>
      <c r="S446" s="199"/>
      <c r="T446" s="199">
        <v>600000</v>
      </c>
      <c r="U446" s="204">
        <f t="shared" si="452"/>
        <v>600000</v>
      </c>
      <c r="V446" s="205"/>
      <c r="W446" s="200"/>
      <c r="X446" s="201"/>
      <c r="Y446" s="201"/>
      <c r="Z446" s="201">
        <f t="shared" si="453"/>
        <v>0</v>
      </c>
      <c r="AA446" s="198"/>
      <c r="AB446" s="206"/>
      <c r="AC446" s="207"/>
      <c r="AD446" s="201"/>
      <c r="AE446" s="204">
        <f t="shared" si="454"/>
        <v>0</v>
      </c>
      <c r="AF446" s="203">
        <f t="shared" si="455"/>
        <v>45566</v>
      </c>
      <c r="AG446" s="201">
        <f t="shared" si="456"/>
        <v>0</v>
      </c>
      <c r="AH446" s="201">
        <f t="shared" si="457"/>
        <v>600000</v>
      </c>
      <c r="AI446" s="199">
        <f t="shared" si="458"/>
        <v>600000</v>
      </c>
      <c r="AJ446" s="201">
        <f t="shared" si="443"/>
        <v>0</v>
      </c>
      <c r="AK446" s="201">
        <f t="shared" si="443"/>
        <v>600000</v>
      </c>
      <c r="AL446" s="201">
        <f t="shared" si="459"/>
        <v>600000</v>
      </c>
      <c r="AM446" s="198"/>
      <c r="AN446" s="203"/>
      <c r="AO446" s="208"/>
      <c r="AP446" s="201">
        <f t="shared" si="460"/>
        <v>0</v>
      </c>
      <c r="AQ446" s="201">
        <f t="shared" si="461"/>
        <v>597810.88</v>
      </c>
      <c r="AR446" s="201">
        <f t="shared" si="462"/>
        <v>597810.88</v>
      </c>
      <c r="AS446" s="201">
        <f t="shared" si="463"/>
        <v>99.635146666666671</v>
      </c>
      <c r="AT446" s="201"/>
      <c r="AU446" s="209">
        <v>597810.88</v>
      </c>
      <c r="AV446" s="201">
        <f t="shared" si="464"/>
        <v>597810.88</v>
      </c>
      <c r="AW446" s="201">
        <f t="shared" si="473"/>
        <v>0</v>
      </c>
      <c r="AX446" s="201">
        <f t="shared" si="465"/>
        <v>99.635146666666671</v>
      </c>
      <c r="AY446" s="208"/>
      <c r="AZ446" s="201">
        <f t="shared" si="466"/>
        <v>0</v>
      </c>
      <c r="BA446" s="201">
        <f t="shared" si="467"/>
        <v>0</v>
      </c>
      <c r="BB446" s="201">
        <f t="shared" si="468"/>
        <v>0</v>
      </c>
      <c r="BC446" s="201"/>
      <c r="BD446" s="209">
        <v>0</v>
      </c>
      <c r="BE446" s="201">
        <f t="shared" si="444"/>
        <v>0</v>
      </c>
      <c r="BF446" s="208"/>
      <c r="BG446" s="201">
        <f t="shared" si="475"/>
        <v>0</v>
      </c>
      <c r="BH446" s="201">
        <f t="shared" si="475"/>
        <v>597810.88</v>
      </c>
      <c r="BI446" s="201">
        <f t="shared" si="469"/>
        <v>597810.88</v>
      </c>
      <c r="BJ446" s="201">
        <f t="shared" si="470"/>
        <v>99.635146666666671</v>
      </c>
      <c r="BK446" s="210">
        <v>54.65</v>
      </c>
      <c r="BL446" s="210">
        <v>100</v>
      </c>
      <c r="BM446" s="211"/>
      <c r="BN446" s="211"/>
      <c r="BO446" s="212">
        <f t="shared" si="471"/>
        <v>0</v>
      </c>
      <c r="BP446" s="201">
        <f t="shared" si="472"/>
        <v>2189.1199999999953</v>
      </c>
      <c r="BQ446" s="201">
        <f t="shared" si="445"/>
        <v>2189.1199999999953</v>
      </c>
      <c r="BR446" s="201">
        <f t="shared" si="476"/>
        <v>0</v>
      </c>
      <c r="BS446" s="201">
        <f t="shared" si="476"/>
        <v>2189.1199999999953</v>
      </c>
      <c r="BT446" s="201">
        <f t="shared" si="446"/>
        <v>2189.1199999999953</v>
      </c>
      <c r="BU446" s="213">
        <f t="shared" si="474"/>
        <v>0</v>
      </c>
      <c r="BV446" s="201"/>
      <c r="BW446" s="201"/>
      <c r="BX446" s="201">
        <f t="shared" si="447"/>
        <v>0</v>
      </c>
      <c r="BY446" s="199">
        <v>60000</v>
      </c>
      <c r="BZ446" s="199">
        <v>90000</v>
      </c>
      <c r="CA446" s="199">
        <v>150000</v>
      </c>
      <c r="CB446" s="199">
        <v>150000</v>
      </c>
      <c r="CC446" s="199">
        <v>90000</v>
      </c>
      <c r="CD446" s="199">
        <v>60000</v>
      </c>
      <c r="CE446" s="199">
        <v>0</v>
      </c>
      <c r="CF446" s="199">
        <v>0</v>
      </c>
      <c r="CG446" s="199">
        <v>0</v>
      </c>
      <c r="CH446" s="199">
        <v>0</v>
      </c>
      <c r="CI446" s="199">
        <v>0</v>
      </c>
      <c r="CJ446" s="199">
        <v>0</v>
      </c>
      <c r="CK446" s="214" t="s">
        <v>1150</v>
      </c>
      <c r="CL446" s="214" t="s">
        <v>610</v>
      </c>
      <c r="CM446" s="211">
        <v>198</v>
      </c>
      <c r="CN446" s="215"/>
      <c r="CO446" s="215"/>
      <c r="CP446" s="216"/>
      <c r="CQ446" s="217"/>
      <c r="CR446" s="211"/>
      <c r="CS446" s="218"/>
      <c r="CT446" s="218"/>
      <c r="CU446" s="218"/>
      <c r="CV446" s="211"/>
      <c r="CW446" s="211"/>
      <c r="CX446" s="211"/>
      <c r="CY446" s="211"/>
      <c r="CZ446" s="211"/>
      <c r="DA446" s="211"/>
      <c r="DB446" s="211"/>
      <c r="DC446" s="219"/>
      <c r="DD446" s="219"/>
      <c r="DE446" s="219"/>
      <c r="DF446" s="211"/>
      <c r="DG446" s="211"/>
      <c r="DH446" s="211"/>
      <c r="DI446" s="211"/>
      <c r="DJ446" s="211"/>
      <c r="DK446" s="220" t="s">
        <v>32</v>
      </c>
      <c r="DT446" s="222"/>
    </row>
    <row r="447" spans="1:124" s="176" customFormat="1" ht="42" x14ac:dyDescent="0.2">
      <c r="A447" s="225" t="s">
        <v>197</v>
      </c>
      <c r="B447" s="197" t="s">
        <v>1151</v>
      </c>
      <c r="C447" s="198">
        <v>1</v>
      </c>
      <c r="D447" s="199">
        <v>900000</v>
      </c>
      <c r="E447" s="198" t="s">
        <v>149</v>
      </c>
      <c r="F447" s="198" t="s">
        <v>150</v>
      </c>
      <c r="G447" s="198" t="s">
        <v>151</v>
      </c>
      <c r="H447" s="200">
        <v>1</v>
      </c>
      <c r="I447" s="199">
        <f t="shared" si="448"/>
        <v>0</v>
      </c>
      <c r="J447" s="199">
        <f t="shared" si="449"/>
        <v>900000</v>
      </c>
      <c r="K447" s="199">
        <f t="shared" si="450"/>
        <v>900000</v>
      </c>
      <c r="L447" s="199"/>
      <c r="M447" s="199">
        <v>900000</v>
      </c>
      <c r="N447" s="199">
        <f t="shared" si="451"/>
        <v>900000</v>
      </c>
      <c r="O447" s="199"/>
      <c r="P447" s="201">
        <v>0</v>
      </c>
      <c r="Q447" s="202">
        <v>15</v>
      </c>
      <c r="R447" s="203">
        <v>45566</v>
      </c>
      <c r="S447" s="199"/>
      <c r="T447" s="199">
        <v>900000</v>
      </c>
      <c r="U447" s="204">
        <f t="shared" si="452"/>
        <v>900000</v>
      </c>
      <c r="V447" s="205"/>
      <c r="W447" s="200"/>
      <c r="X447" s="201"/>
      <c r="Y447" s="201"/>
      <c r="Z447" s="201">
        <f t="shared" si="453"/>
        <v>0</v>
      </c>
      <c r="AA447" s="198"/>
      <c r="AB447" s="206"/>
      <c r="AC447" s="207"/>
      <c r="AD447" s="201"/>
      <c r="AE447" s="204">
        <f t="shared" si="454"/>
        <v>0</v>
      </c>
      <c r="AF447" s="203">
        <f t="shared" si="455"/>
        <v>45566</v>
      </c>
      <c r="AG447" s="201">
        <f t="shared" si="456"/>
        <v>0</v>
      </c>
      <c r="AH447" s="201">
        <f t="shared" si="457"/>
        <v>900000</v>
      </c>
      <c r="AI447" s="199">
        <f t="shared" si="458"/>
        <v>900000</v>
      </c>
      <c r="AJ447" s="201">
        <f t="shared" si="443"/>
        <v>0</v>
      </c>
      <c r="AK447" s="201">
        <f t="shared" si="443"/>
        <v>900000</v>
      </c>
      <c r="AL447" s="201">
        <f t="shared" si="459"/>
        <v>900000</v>
      </c>
      <c r="AM447" s="198"/>
      <c r="AN447" s="203"/>
      <c r="AO447" s="208"/>
      <c r="AP447" s="201">
        <f t="shared" si="460"/>
        <v>0</v>
      </c>
      <c r="AQ447" s="201">
        <f t="shared" si="461"/>
        <v>897964.47</v>
      </c>
      <c r="AR447" s="201">
        <f t="shared" si="462"/>
        <v>897964.47</v>
      </c>
      <c r="AS447" s="201">
        <f t="shared" si="463"/>
        <v>99.773830000000004</v>
      </c>
      <c r="AT447" s="201"/>
      <c r="AU447" s="209">
        <v>897964.47</v>
      </c>
      <c r="AV447" s="201">
        <f t="shared" si="464"/>
        <v>897964.47</v>
      </c>
      <c r="AW447" s="201">
        <f t="shared" si="473"/>
        <v>0</v>
      </c>
      <c r="AX447" s="201">
        <f t="shared" si="465"/>
        <v>99.773830000000004</v>
      </c>
      <c r="AY447" s="208"/>
      <c r="AZ447" s="201">
        <f t="shared" si="466"/>
        <v>0</v>
      </c>
      <c r="BA447" s="201">
        <f t="shared" si="467"/>
        <v>0</v>
      </c>
      <c r="BB447" s="201">
        <f t="shared" si="468"/>
        <v>0</v>
      </c>
      <c r="BC447" s="201"/>
      <c r="BD447" s="209">
        <v>0</v>
      </c>
      <c r="BE447" s="201">
        <f t="shared" si="444"/>
        <v>0</v>
      </c>
      <c r="BF447" s="208"/>
      <c r="BG447" s="201">
        <f t="shared" si="475"/>
        <v>0</v>
      </c>
      <c r="BH447" s="201">
        <f t="shared" si="475"/>
        <v>897964.47</v>
      </c>
      <c r="BI447" s="201">
        <f t="shared" si="469"/>
        <v>897964.47</v>
      </c>
      <c r="BJ447" s="201">
        <f t="shared" si="470"/>
        <v>99.773830000000004</v>
      </c>
      <c r="BK447" s="210">
        <v>52.57</v>
      </c>
      <c r="BL447" s="210">
        <v>100</v>
      </c>
      <c r="BM447" s="211"/>
      <c r="BN447" s="211"/>
      <c r="BO447" s="212">
        <f t="shared" si="471"/>
        <v>0</v>
      </c>
      <c r="BP447" s="201">
        <f t="shared" si="472"/>
        <v>2035.5300000000279</v>
      </c>
      <c r="BQ447" s="201">
        <f t="shared" si="445"/>
        <v>2035.5300000000279</v>
      </c>
      <c r="BR447" s="201">
        <f t="shared" si="476"/>
        <v>0</v>
      </c>
      <c r="BS447" s="201">
        <f t="shared" si="476"/>
        <v>2035.5300000000279</v>
      </c>
      <c r="BT447" s="201">
        <f t="shared" si="446"/>
        <v>2035.5300000000279</v>
      </c>
      <c r="BU447" s="213">
        <f t="shared" si="474"/>
        <v>0</v>
      </c>
      <c r="BV447" s="201"/>
      <c r="BW447" s="201"/>
      <c r="BX447" s="201">
        <f t="shared" si="447"/>
        <v>0</v>
      </c>
      <c r="BY447" s="199">
        <v>90000</v>
      </c>
      <c r="BZ447" s="199">
        <v>135000</v>
      </c>
      <c r="CA447" s="199">
        <v>225000</v>
      </c>
      <c r="CB447" s="199">
        <v>225000</v>
      </c>
      <c r="CC447" s="199">
        <v>135000</v>
      </c>
      <c r="CD447" s="199">
        <v>90000</v>
      </c>
      <c r="CE447" s="199">
        <v>0</v>
      </c>
      <c r="CF447" s="199">
        <v>0</v>
      </c>
      <c r="CG447" s="199">
        <v>0</v>
      </c>
      <c r="CH447" s="199">
        <v>0</v>
      </c>
      <c r="CI447" s="199">
        <v>0</v>
      </c>
      <c r="CJ447" s="199">
        <v>0</v>
      </c>
      <c r="CK447" s="214" t="s">
        <v>1152</v>
      </c>
      <c r="CL447" s="214" t="s">
        <v>610</v>
      </c>
      <c r="CM447" s="211">
        <v>198</v>
      </c>
      <c r="CN447" s="215"/>
      <c r="CO447" s="215"/>
      <c r="CP447" s="216"/>
      <c r="CQ447" s="217"/>
      <c r="CR447" s="211"/>
      <c r="CS447" s="218"/>
      <c r="CT447" s="218"/>
      <c r="CU447" s="218"/>
      <c r="CV447" s="211"/>
      <c r="CW447" s="211"/>
      <c r="CX447" s="211"/>
      <c r="CY447" s="211"/>
      <c r="CZ447" s="211"/>
      <c r="DA447" s="211"/>
      <c r="DB447" s="211"/>
      <c r="DC447" s="219"/>
      <c r="DD447" s="219"/>
      <c r="DE447" s="219"/>
      <c r="DF447" s="211"/>
      <c r="DG447" s="211"/>
      <c r="DH447" s="211"/>
      <c r="DI447" s="211"/>
      <c r="DJ447" s="211"/>
      <c r="DK447" s="220" t="s">
        <v>32</v>
      </c>
      <c r="DT447" s="222"/>
    </row>
    <row r="448" spans="1:124" s="176" customFormat="1" ht="42" x14ac:dyDescent="0.2">
      <c r="A448" s="225" t="s">
        <v>197</v>
      </c>
      <c r="B448" s="197" t="s">
        <v>1153</v>
      </c>
      <c r="C448" s="198">
        <v>1</v>
      </c>
      <c r="D448" s="199">
        <v>1100000</v>
      </c>
      <c r="E448" s="198" t="s">
        <v>1154</v>
      </c>
      <c r="F448" s="198" t="s">
        <v>150</v>
      </c>
      <c r="G448" s="198" t="s">
        <v>151</v>
      </c>
      <c r="H448" s="200">
        <v>1</v>
      </c>
      <c r="I448" s="199">
        <f t="shared" si="448"/>
        <v>0</v>
      </c>
      <c r="J448" s="199">
        <f t="shared" si="449"/>
        <v>1100000</v>
      </c>
      <c r="K448" s="199">
        <f t="shared" si="450"/>
        <v>1100000</v>
      </c>
      <c r="L448" s="199"/>
      <c r="M448" s="199">
        <v>1100000</v>
      </c>
      <c r="N448" s="199">
        <f t="shared" si="451"/>
        <v>1100000</v>
      </c>
      <c r="O448" s="199"/>
      <c r="P448" s="201">
        <v>0</v>
      </c>
      <c r="Q448" s="202">
        <v>15</v>
      </c>
      <c r="R448" s="203">
        <v>45566</v>
      </c>
      <c r="S448" s="199"/>
      <c r="T448" s="199">
        <v>1100000</v>
      </c>
      <c r="U448" s="204">
        <f t="shared" si="452"/>
        <v>1100000</v>
      </c>
      <c r="V448" s="205"/>
      <c r="W448" s="200"/>
      <c r="X448" s="201"/>
      <c r="Y448" s="201"/>
      <c r="Z448" s="201">
        <f t="shared" si="453"/>
        <v>0</v>
      </c>
      <c r="AA448" s="198"/>
      <c r="AB448" s="206"/>
      <c r="AC448" s="207"/>
      <c r="AD448" s="201"/>
      <c r="AE448" s="204">
        <f t="shared" si="454"/>
        <v>0</v>
      </c>
      <c r="AF448" s="203">
        <f t="shared" si="455"/>
        <v>45566</v>
      </c>
      <c r="AG448" s="201">
        <f t="shared" si="456"/>
        <v>0</v>
      </c>
      <c r="AH448" s="201">
        <f t="shared" si="457"/>
        <v>1100000</v>
      </c>
      <c r="AI448" s="199">
        <f t="shared" si="458"/>
        <v>1100000</v>
      </c>
      <c r="AJ448" s="201">
        <f t="shared" si="443"/>
        <v>0</v>
      </c>
      <c r="AK448" s="201">
        <f t="shared" si="443"/>
        <v>1100000</v>
      </c>
      <c r="AL448" s="201">
        <f t="shared" si="459"/>
        <v>1100000</v>
      </c>
      <c r="AM448" s="198"/>
      <c r="AN448" s="203"/>
      <c r="AO448" s="208"/>
      <c r="AP448" s="201">
        <f t="shared" si="460"/>
        <v>0</v>
      </c>
      <c r="AQ448" s="201">
        <f t="shared" si="461"/>
        <v>1098544.42</v>
      </c>
      <c r="AR448" s="201">
        <f t="shared" si="462"/>
        <v>1098544.42</v>
      </c>
      <c r="AS448" s="201">
        <f t="shared" si="463"/>
        <v>99.867674545454548</v>
      </c>
      <c r="AT448" s="201"/>
      <c r="AU448" s="209">
        <v>1098544.42</v>
      </c>
      <c r="AV448" s="201">
        <f t="shared" si="464"/>
        <v>1098544.42</v>
      </c>
      <c r="AW448" s="201">
        <f t="shared" si="473"/>
        <v>0</v>
      </c>
      <c r="AX448" s="201">
        <f t="shared" si="465"/>
        <v>99.867674545454548</v>
      </c>
      <c r="AY448" s="208"/>
      <c r="AZ448" s="201">
        <f t="shared" si="466"/>
        <v>0</v>
      </c>
      <c r="BA448" s="201">
        <f t="shared" si="467"/>
        <v>0</v>
      </c>
      <c r="BB448" s="201">
        <f t="shared" si="468"/>
        <v>0</v>
      </c>
      <c r="BC448" s="201"/>
      <c r="BD448" s="209">
        <v>0</v>
      </c>
      <c r="BE448" s="201">
        <f t="shared" si="444"/>
        <v>0</v>
      </c>
      <c r="BF448" s="208"/>
      <c r="BG448" s="201">
        <f t="shared" si="475"/>
        <v>0</v>
      </c>
      <c r="BH448" s="201">
        <f t="shared" si="475"/>
        <v>1098544.42</v>
      </c>
      <c r="BI448" s="201">
        <f t="shared" si="469"/>
        <v>1098544.42</v>
      </c>
      <c r="BJ448" s="201">
        <f t="shared" si="470"/>
        <v>99.867674545454548</v>
      </c>
      <c r="BK448" s="210">
        <v>46.85</v>
      </c>
      <c r="BL448" s="210">
        <v>100</v>
      </c>
      <c r="BM448" s="211"/>
      <c r="BN448" s="211"/>
      <c r="BO448" s="212">
        <f t="shared" si="471"/>
        <v>0</v>
      </c>
      <c r="BP448" s="201">
        <f t="shared" si="472"/>
        <v>1455.5800000000745</v>
      </c>
      <c r="BQ448" s="201">
        <f t="shared" si="445"/>
        <v>1455.5800000000745</v>
      </c>
      <c r="BR448" s="201">
        <f t="shared" si="476"/>
        <v>0</v>
      </c>
      <c r="BS448" s="201">
        <f t="shared" si="476"/>
        <v>1455.5800000000745</v>
      </c>
      <c r="BT448" s="201">
        <f t="shared" si="446"/>
        <v>1455.5800000000745</v>
      </c>
      <c r="BU448" s="213">
        <f t="shared" si="474"/>
        <v>0</v>
      </c>
      <c r="BV448" s="201"/>
      <c r="BW448" s="201"/>
      <c r="BX448" s="201">
        <f t="shared" si="447"/>
        <v>0</v>
      </c>
      <c r="BY448" s="199">
        <v>110000</v>
      </c>
      <c r="BZ448" s="199">
        <v>165000</v>
      </c>
      <c r="CA448" s="199">
        <v>275000</v>
      </c>
      <c r="CB448" s="199">
        <v>275000</v>
      </c>
      <c r="CC448" s="199">
        <v>165000</v>
      </c>
      <c r="CD448" s="199">
        <v>110000</v>
      </c>
      <c r="CE448" s="199">
        <v>0</v>
      </c>
      <c r="CF448" s="199">
        <v>0</v>
      </c>
      <c r="CG448" s="199">
        <v>0</v>
      </c>
      <c r="CH448" s="199">
        <v>0</v>
      </c>
      <c r="CI448" s="199">
        <v>0</v>
      </c>
      <c r="CJ448" s="199">
        <v>0</v>
      </c>
      <c r="CK448" s="214" t="s">
        <v>1155</v>
      </c>
      <c r="CL448" s="214" t="s">
        <v>610</v>
      </c>
      <c r="CM448" s="211">
        <v>198</v>
      </c>
      <c r="CN448" s="215"/>
      <c r="CO448" s="215"/>
      <c r="CP448" s="216"/>
      <c r="CQ448" s="217"/>
      <c r="CR448" s="211"/>
      <c r="CS448" s="218"/>
      <c r="CT448" s="218"/>
      <c r="CU448" s="218"/>
      <c r="CV448" s="211"/>
      <c r="CW448" s="211"/>
      <c r="CX448" s="211"/>
      <c r="CY448" s="211"/>
      <c r="CZ448" s="211"/>
      <c r="DA448" s="211"/>
      <c r="DB448" s="211"/>
      <c r="DC448" s="219"/>
      <c r="DD448" s="219"/>
      <c r="DE448" s="219"/>
      <c r="DF448" s="211"/>
      <c r="DG448" s="211"/>
      <c r="DH448" s="211"/>
      <c r="DI448" s="211"/>
      <c r="DJ448" s="211"/>
      <c r="DK448" s="220" t="s">
        <v>32</v>
      </c>
      <c r="DT448" s="222"/>
    </row>
    <row r="449" spans="1:124" s="176" customFormat="1" ht="42" x14ac:dyDescent="0.2">
      <c r="A449" s="225" t="s">
        <v>197</v>
      </c>
      <c r="B449" s="197" t="s">
        <v>1156</v>
      </c>
      <c r="C449" s="198">
        <v>1</v>
      </c>
      <c r="D449" s="199">
        <v>1900000</v>
      </c>
      <c r="E449" s="198" t="s">
        <v>149</v>
      </c>
      <c r="F449" s="198" t="s">
        <v>150</v>
      </c>
      <c r="G449" s="198" t="s">
        <v>151</v>
      </c>
      <c r="H449" s="200">
        <v>1</v>
      </c>
      <c r="I449" s="199">
        <f t="shared" si="448"/>
        <v>0</v>
      </c>
      <c r="J449" s="199">
        <f t="shared" si="449"/>
        <v>1900000</v>
      </c>
      <c r="K449" s="199">
        <f t="shared" si="450"/>
        <v>1900000</v>
      </c>
      <c r="L449" s="199"/>
      <c r="M449" s="199">
        <v>1900000</v>
      </c>
      <c r="N449" s="199">
        <f t="shared" si="451"/>
        <v>1900000</v>
      </c>
      <c r="O449" s="199"/>
      <c r="P449" s="201">
        <v>0</v>
      </c>
      <c r="Q449" s="202">
        <v>15</v>
      </c>
      <c r="R449" s="203">
        <v>45566</v>
      </c>
      <c r="S449" s="199"/>
      <c r="T449" s="199">
        <v>1900000</v>
      </c>
      <c r="U449" s="204">
        <f t="shared" si="452"/>
        <v>1900000</v>
      </c>
      <c r="V449" s="205"/>
      <c r="W449" s="200"/>
      <c r="X449" s="201"/>
      <c r="Y449" s="201"/>
      <c r="Z449" s="201">
        <f t="shared" si="453"/>
        <v>0</v>
      </c>
      <c r="AA449" s="198"/>
      <c r="AB449" s="206"/>
      <c r="AC449" s="207"/>
      <c r="AD449" s="201"/>
      <c r="AE449" s="204">
        <f t="shared" si="454"/>
        <v>0</v>
      </c>
      <c r="AF449" s="203">
        <f t="shared" si="455"/>
        <v>45566</v>
      </c>
      <c r="AG449" s="201">
        <f t="shared" si="456"/>
        <v>0</v>
      </c>
      <c r="AH449" s="201">
        <f t="shared" si="457"/>
        <v>1900000</v>
      </c>
      <c r="AI449" s="199">
        <f t="shared" si="458"/>
        <v>1900000</v>
      </c>
      <c r="AJ449" s="201">
        <f t="shared" si="443"/>
        <v>0</v>
      </c>
      <c r="AK449" s="201">
        <f t="shared" si="443"/>
        <v>1900000</v>
      </c>
      <c r="AL449" s="201">
        <f t="shared" si="459"/>
        <v>1900000</v>
      </c>
      <c r="AM449" s="198"/>
      <c r="AN449" s="203"/>
      <c r="AO449" s="208"/>
      <c r="AP449" s="201">
        <f t="shared" si="460"/>
        <v>0</v>
      </c>
      <c r="AQ449" s="201">
        <f t="shared" si="461"/>
        <v>1898096.56</v>
      </c>
      <c r="AR449" s="201">
        <f t="shared" si="462"/>
        <v>1898096.56</v>
      </c>
      <c r="AS449" s="201">
        <f t="shared" si="463"/>
        <v>99.899818947368416</v>
      </c>
      <c r="AT449" s="201"/>
      <c r="AU449" s="209">
        <v>1898096.56</v>
      </c>
      <c r="AV449" s="201">
        <f t="shared" si="464"/>
        <v>1898096.56</v>
      </c>
      <c r="AW449" s="201">
        <f t="shared" si="473"/>
        <v>10</v>
      </c>
      <c r="AX449" s="201">
        <f t="shared" si="465"/>
        <v>99.899818947368416</v>
      </c>
      <c r="AY449" s="208"/>
      <c r="AZ449" s="201">
        <f t="shared" si="466"/>
        <v>0</v>
      </c>
      <c r="BA449" s="201">
        <f t="shared" si="467"/>
        <v>0</v>
      </c>
      <c r="BB449" s="201">
        <f t="shared" si="468"/>
        <v>0</v>
      </c>
      <c r="BC449" s="201"/>
      <c r="BD449" s="209">
        <v>0</v>
      </c>
      <c r="BE449" s="201">
        <f t="shared" si="444"/>
        <v>0</v>
      </c>
      <c r="BF449" s="208"/>
      <c r="BG449" s="201">
        <f t="shared" si="475"/>
        <v>0</v>
      </c>
      <c r="BH449" s="201">
        <f t="shared" si="475"/>
        <v>1898096.56</v>
      </c>
      <c r="BI449" s="201">
        <f t="shared" si="469"/>
        <v>1898096.56</v>
      </c>
      <c r="BJ449" s="201">
        <f t="shared" si="470"/>
        <v>99.899818947368416</v>
      </c>
      <c r="BK449" s="210">
        <v>47.25</v>
      </c>
      <c r="BL449" s="210">
        <v>95</v>
      </c>
      <c r="BM449" s="211"/>
      <c r="BN449" s="211"/>
      <c r="BO449" s="212">
        <f t="shared" si="471"/>
        <v>0</v>
      </c>
      <c r="BP449" s="201">
        <f t="shared" si="472"/>
        <v>1903.4399999999441</v>
      </c>
      <c r="BQ449" s="201">
        <f t="shared" si="445"/>
        <v>1903.4399999999441</v>
      </c>
      <c r="BR449" s="201">
        <f t="shared" si="476"/>
        <v>0</v>
      </c>
      <c r="BS449" s="201">
        <f t="shared" si="476"/>
        <v>1903.4399999999441</v>
      </c>
      <c r="BT449" s="201">
        <f t="shared" si="446"/>
        <v>1903.4399999999441</v>
      </c>
      <c r="BU449" s="213">
        <f t="shared" si="474"/>
        <v>0</v>
      </c>
      <c r="BV449" s="201"/>
      <c r="BW449" s="201"/>
      <c r="BX449" s="201">
        <f t="shared" si="447"/>
        <v>0</v>
      </c>
      <c r="BY449" s="199">
        <v>95000</v>
      </c>
      <c r="BZ449" s="199">
        <v>190000</v>
      </c>
      <c r="CA449" s="199">
        <v>190000</v>
      </c>
      <c r="CB449" s="199">
        <v>285000</v>
      </c>
      <c r="CC449" s="199">
        <v>285000</v>
      </c>
      <c r="CD449" s="199">
        <v>285000</v>
      </c>
      <c r="CE449" s="199">
        <v>285000</v>
      </c>
      <c r="CF449" s="199">
        <v>190000</v>
      </c>
      <c r="CG449" s="199">
        <v>95000</v>
      </c>
      <c r="CH449" s="199">
        <v>0</v>
      </c>
      <c r="CI449" s="199">
        <v>0</v>
      </c>
      <c r="CJ449" s="199">
        <v>0</v>
      </c>
      <c r="CK449" s="214" t="s">
        <v>1157</v>
      </c>
      <c r="CL449" s="214" t="s">
        <v>610</v>
      </c>
      <c r="CM449" s="211">
        <v>198</v>
      </c>
      <c r="CN449" s="215"/>
      <c r="CO449" s="215"/>
      <c r="CP449" s="216"/>
      <c r="CQ449" s="217"/>
      <c r="CR449" s="211"/>
      <c r="CS449" s="218"/>
      <c r="CT449" s="218"/>
      <c r="CU449" s="218"/>
      <c r="CV449" s="211"/>
      <c r="CW449" s="211"/>
      <c r="CX449" s="211"/>
      <c r="CY449" s="211"/>
      <c r="CZ449" s="211"/>
      <c r="DA449" s="211"/>
      <c r="DB449" s="211"/>
      <c r="DC449" s="219"/>
      <c r="DD449" s="219"/>
      <c r="DE449" s="219"/>
      <c r="DF449" s="211"/>
      <c r="DG449" s="211"/>
      <c r="DH449" s="211"/>
      <c r="DI449" s="211"/>
      <c r="DJ449" s="211"/>
      <c r="DK449" s="220" t="s">
        <v>32</v>
      </c>
      <c r="DT449" s="222"/>
    </row>
    <row r="450" spans="1:124" s="176" customFormat="1" ht="42" x14ac:dyDescent="0.2">
      <c r="A450" s="225" t="s">
        <v>197</v>
      </c>
      <c r="B450" s="197" t="s">
        <v>1158</v>
      </c>
      <c r="C450" s="198">
        <v>1</v>
      </c>
      <c r="D450" s="199">
        <v>1000000</v>
      </c>
      <c r="E450" s="198" t="s">
        <v>149</v>
      </c>
      <c r="F450" s="198" t="s">
        <v>150</v>
      </c>
      <c r="G450" s="198" t="s">
        <v>151</v>
      </c>
      <c r="H450" s="200">
        <v>1</v>
      </c>
      <c r="I450" s="199">
        <f t="shared" si="448"/>
        <v>0</v>
      </c>
      <c r="J450" s="199">
        <f t="shared" si="449"/>
        <v>1000000</v>
      </c>
      <c r="K450" s="199">
        <f t="shared" si="450"/>
        <v>1000000</v>
      </c>
      <c r="L450" s="199"/>
      <c r="M450" s="199">
        <v>1000000</v>
      </c>
      <c r="N450" s="199">
        <f t="shared" si="451"/>
        <v>1000000</v>
      </c>
      <c r="O450" s="199"/>
      <c r="P450" s="201">
        <v>0</v>
      </c>
      <c r="Q450" s="202">
        <v>15</v>
      </c>
      <c r="R450" s="203">
        <v>45566</v>
      </c>
      <c r="S450" s="199"/>
      <c r="T450" s="199">
        <v>1000000</v>
      </c>
      <c r="U450" s="204">
        <f t="shared" si="452"/>
        <v>1000000</v>
      </c>
      <c r="V450" s="205"/>
      <c r="W450" s="200"/>
      <c r="X450" s="201"/>
      <c r="Y450" s="201"/>
      <c r="Z450" s="201">
        <f t="shared" si="453"/>
        <v>0</v>
      </c>
      <c r="AA450" s="198"/>
      <c r="AB450" s="206"/>
      <c r="AC450" s="207"/>
      <c r="AD450" s="201"/>
      <c r="AE450" s="204">
        <f t="shared" si="454"/>
        <v>0</v>
      </c>
      <c r="AF450" s="203">
        <f t="shared" si="455"/>
        <v>45566</v>
      </c>
      <c r="AG450" s="201">
        <f t="shared" si="456"/>
        <v>0</v>
      </c>
      <c r="AH450" s="201">
        <f t="shared" si="457"/>
        <v>1000000</v>
      </c>
      <c r="AI450" s="199">
        <f t="shared" si="458"/>
        <v>1000000</v>
      </c>
      <c r="AJ450" s="201">
        <f t="shared" si="443"/>
        <v>0</v>
      </c>
      <c r="AK450" s="201">
        <f t="shared" si="443"/>
        <v>1000000</v>
      </c>
      <c r="AL450" s="201">
        <f t="shared" si="459"/>
        <v>1000000</v>
      </c>
      <c r="AM450" s="198"/>
      <c r="AN450" s="203"/>
      <c r="AO450" s="208"/>
      <c r="AP450" s="201">
        <f t="shared" si="460"/>
        <v>0</v>
      </c>
      <c r="AQ450" s="201">
        <f t="shared" si="461"/>
        <v>997727.57</v>
      </c>
      <c r="AR450" s="201">
        <f t="shared" si="462"/>
        <v>997727.57</v>
      </c>
      <c r="AS450" s="201">
        <f t="shared" si="463"/>
        <v>99.772756999999999</v>
      </c>
      <c r="AT450" s="201"/>
      <c r="AU450" s="209">
        <v>997727.57</v>
      </c>
      <c r="AV450" s="201">
        <f t="shared" si="464"/>
        <v>997727.57</v>
      </c>
      <c r="AW450" s="201">
        <f t="shared" si="473"/>
        <v>0</v>
      </c>
      <c r="AX450" s="201">
        <f t="shared" si="465"/>
        <v>99.772756999999999</v>
      </c>
      <c r="AY450" s="208"/>
      <c r="AZ450" s="201">
        <f t="shared" si="466"/>
        <v>0</v>
      </c>
      <c r="BA450" s="201">
        <f t="shared" si="467"/>
        <v>0</v>
      </c>
      <c r="BB450" s="201">
        <f t="shared" si="468"/>
        <v>0</v>
      </c>
      <c r="BC450" s="201"/>
      <c r="BD450" s="209">
        <v>0</v>
      </c>
      <c r="BE450" s="201">
        <f t="shared" si="444"/>
        <v>0</v>
      </c>
      <c r="BF450" s="208"/>
      <c r="BG450" s="201">
        <f t="shared" si="475"/>
        <v>0</v>
      </c>
      <c r="BH450" s="201">
        <f t="shared" si="475"/>
        <v>997727.57</v>
      </c>
      <c r="BI450" s="201">
        <f t="shared" si="469"/>
        <v>997727.57</v>
      </c>
      <c r="BJ450" s="201">
        <f t="shared" si="470"/>
        <v>99.772756999999999</v>
      </c>
      <c r="BK450" s="210">
        <v>47.11</v>
      </c>
      <c r="BL450" s="210">
        <v>100</v>
      </c>
      <c r="BM450" s="211"/>
      <c r="BN450" s="211"/>
      <c r="BO450" s="212">
        <f t="shared" si="471"/>
        <v>0</v>
      </c>
      <c r="BP450" s="201">
        <f t="shared" si="472"/>
        <v>2272.4300000000512</v>
      </c>
      <c r="BQ450" s="201">
        <f t="shared" si="445"/>
        <v>2272.4300000000512</v>
      </c>
      <c r="BR450" s="201">
        <f t="shared" si="476"/>
        <v>0</v>
      </c>
      <c r="BS450" s="201">
        <f t="shared" si="476"/>
        <v>2272.4300000000512</v>
      </c>
      <c r="BT450" s="201">
        <f t="shared" si="446"/>
        <v>2272.4300000000512</v>
      </c>
      <c r="BU450" s="213">
        <f t="shared" si="474"/>
        <v>0</v>
      </c>
      <c r="BV450" s="201"/>
      <c r="BW450" s="201"/>
      <c r="BX450" s="201">
        <f t="shared" si="447"/>
        <v>0</v>
      </c>
      <c r="BY450" s="199">
        <v>100000</v>
      </c>
      <c r="BZ450" s="199">
        <v>150000</v>
      </c>
      <c r="CA450" s="199">
        <v>250000</v>
      </c>
      <c r="CB450" s="199">
        <v>250000</v>
      </c>
      <c r="CC450" s="199">
        <v>150000</v>
      </c>
      <c r="CD450" s="199">
        <v>100000</v>
      </c>
      <c r="CE450" s="199">
        <v>0</v>
      </c>
      <c r="CF450" s="199">
        <v>0</v>
      </c>
      <c r="CG450" s="199">
        <v>0</v>
      </c>
      <c r="CH450" s="199">
        <v>0</v>
      </c>
      <c r="CI450" s="199">
        <v>0</v>
      </c>
      <c r="CJ450" s="199">
        <v>0</v>
      </c>
      <c r="CK450" s="214" t="s">
        <v>1159</v>
      </c>
      <c r="CL450" s="214" t="s">
        <v>610</v>
      </c>
      <c r="CM450" s="211">
        <v>198</v>
      </c>
      <c r="CN450" s="215"/>
      <c r="CO450" s="215"/>
      <c r="CP450" s="216"/>
      <c r="CQ450" s="217"/>
      <c r="CR450" s="211"/>
      <c r="CS450" s="218"/>
      <c r="CT450" s="218"/>
      <c r="CU450" s="218"/>
      <c r="CV450" s="211"/>
      <c r="CW450" s="211"/>
      <c r="CX450" s="211"/>
      <c r="CY450" s="211"/>
      <c r="CZ450" s="211"/>
      <c r="DA450" s="211"/>
      <c r="DB450" s="211"/>
      <c r="DC450" s="219"/>
      <c r="DD450" s="219"/>
      <c r="DE450" s="219"/>
      <c r="DF450" s="211"/>
      <c r="DG450" s="211"/>
      <c r="DH450" s="211"/>
      <c r="DI450" s="211"/>
      <c r="DJ450" s="211"/>
      <c r="DK450" s="220" t="s">
        <v>32</v>
      </c>
      <c r="DT450" s="222"/>
    </row>
    <row r="451" spans="1:124" s="176" customFormat="1" ht="42" x14ac:dyDescent="0.2">
      <c r="A451" s="225" t="s">
        <v>197</v>
      </c>
      <c r="B451" s="197" t="s">
        <v>1160</v>
      </c>
      <c r="C451" s="198">
        <v>1</v>
      </c>
      <c r="D451" s="199">
        <v>1000000</v>
      </c>
      <c r="E451" s="198" t="s">
        <v>1141</v>
      </c>
      <c r="F451" s="198" t="s">
        <v>1097</v>
      </c>
      <c r="G451" s="198" t="s">
        <v>151</v>
      </c>
      <c r="H451" s="200">
        <v>1</v>
      </c>
      <c r="I451" s="199">
        <f t="shared" si="448"/>
        <v>0</v>
      </c>
      <c r="J451" s="199">
        <f t="shared" si="449"/>
        <v>1000000</v>
      </c>
      <c r="K451" s="199">
        <f t="shared" si="450"/>
        <v>1000000</v>
      </c>
      <c r="L451" s="199"/>
      <c r="M451" s="199">
        <v>1000000</v>
      </c>
      <c r="N451" s="199">
        <f t="shared" si="451"/>
        <v>1000000</v>
      </c>
      <c r="O451" s="199"/>
      <c r="P451" s="201">
        <v>0</v>
      </c>
      <c r="Q451" s="202">
        <v>15</v>
      </c>
      <c r="R451" s="203">
        <v>45566</v>
      </c>
      <c r="S451" s="199"/>
      <c r="T451" s="199">
        <v>1000000</v>
      </c>
      <c r="U451" s="204">
        <f t="shared" si="452"/>
        <v>1000000</v>
      </c>
      <c r="V451" s="205"/>
      <c r="W451" s="200"/>
      <c r="X451" s="201"/>
      <c r="Y451" s="201"/>
      <c r="Z451" s="201">
        <f t="shared" si="453"/>
        <v>0</v>
      </c>
      <c r="AA451" s="198"/>
      <c r="AB451" s="206"/>
      <c r="AC451" s="207"/>
      <c r="AD451" s="201"/>
      <c r="AE451" s="204">
        <f t="shared" si="454"/>
        <v>0</v>
      </c>
      <c r="AF451" s="203">
        <f t="shared" si="455"/>
        <v>45566</v>
      </c>
      <c r="AG451" s="201">
        <f t="shared" si="456"/>
        <v>0</v>
      </c>
      <c r="AH451" s="201">
        <f t="shared" si="457"/>
        <v>1000000</v>
      </c>
      <c r="AI451" s="199">
        <f t="shared" si="458"/>
        <v>1000000</v>
      </c>
      <c r="AJ451" s="201">
        <f t="shared" si="443"/>
        <v>0</v>
      </c>
      <c r="AK451" s="201">
        <f t="shared" si="443"/>
        <v>1000000</v>
      </c>
      <c r="AL451" s="201">
        <f t="shared" si="459"/>
        <v>1000000</v>
      </c>
      <c r="AM451" s="198"/>
      <c r="AN451" s="203"/>
      <c r="AO451" s="208"/>
      <c r="AP451" s="201">
        <f t="shared" si="460"/>
        <v>0</v>
      </c>
      <c r="AQ451" s="201">
        <f t="shared" si="461"/>
        <v>996621.62</v>
      </c>
      <c r="AR451" s="201">
        <f t="shared" si="462"/>
        <v>996621.62</v>
      </c>
      <c r="AS451" s="201">
        <f t="shared" si="463"/>
        <v>99.662161999999995</v>
      </c>
      <c r="AT451" s="201"/>
      <c r="AU451" s="209">
        <v>996621.62</v>
      </c>
      <c r="AV451" s="201">
        <f t="shared" si="464"/>
        <v>996621.62</v>
      </c>
      <c r="AW451" s="201">
        <f t="shared" si="473"/>
        <v>0</v>
      </c>
      <c r="AX451" s="201">
        <f t="shared" si="465"/>
        <v>99.662161999999995</v>
      </c>
      <c r="AY451" s="208"/>
      <c r="AZ451" s="201">
        <f t="shared" si="466"/>
        <v>0</v>
      </c>
      <c r="BA451" s="201">
        <f t="shared" si="467"/>
        <v>0</v>
      </c>
      <c r="BB451" s="201">
        <f t="shared" si="468"/>
        <v>0</v>
      </c>
      <c r="BC451" s="201"/>
      <c r="BD451" s="209">
        <v>0</v>
      </c>
      <c r="BE451" s="201">
        <f t="shared" si="444"/>
        <v>0</v>
      </c>
      <c r="BF451" s="208"/>
      <c r="BG451" s="201">
        <f t="shared" si="475"/>
        <v>0</v>
      </c>
      <c r="BH451" s="201">
        <f t="shared" si="475"/>
        <v>996621.62</v>
      </c>
      <c r="BI451" s="201">
        <f t="shared" si="469"/>
        <v>996621.62</v>
      </c>
      <c r="BJ451" s="201">
        <f t="shared" si="470"/>
        <v>99.662161999999995</v>
      </c>
      <c r="BK451" s="210">
        <v>46.13</v>
      </c>
      <c r="BL451" s="210">
        <v>100</v>
      </c>
      <c r="BM451" s="211"/>
      <c r="BN451" s="211"/>
      <c r="BO451" s="212">
        <f t="shared" si="471"/>
        <v>0</v>
      </c>
      <c r="BP451" s="201">
        <f t="shared" si="472"/>
        <v>3378.3800000000047</v>
      </c>
      <c r="BQ451" s="201">
        <f t="shared" si="445"/>
        <v>3378.3800000000047</v>
      </c>
      <c r="BR451" s="201">
        <f t="shared" si="476"/>
        <v>0</v>
      </c>
      <c r="BS451" s="201">
        <f t="shared" si="476"/>
        <v>3378.3800000000047</v>
      </c>
      <c r="BT451" s="201">
        <f t="shared" si="446"/>
        <v>3378.3800000000047</v>
      </c>
      <c r="BU451" s="213">
        <f t="shared" si="474"/>
        <v>0</v>
      </c>
      <c r="BV451" s="201"/>
      <c r="BW451" s="201"/>
      <c r="BX451" s="201">
        <f t="shared" si="447"/>
        <v>0</v>
      </c>
      <c r="BY451" s="199">
        <v>100000</v>
      </c>
      <c r="BZ451" s="199">
        <v>150000</v>
      </c>
      <c r="CA451" s="199">
        <v>250000</v>
      </c>
      <c r="CB451" s="199">
        <v>250000</v>
      </c>
      <c r="CC451" s="199">
        <v>150000</v>
      </c>
      <c r="CD451" s="199">
        <v>100000</v>
      </c>
      <c r="CE451" s="199">
        <v>0</v>
      </c>
      <c r="CF451" s="199">
        <v>0</v>
      </c>
      <c r="CG451" s="199">
        <v>0</v>
      </c>
      <c r="CH451" s="199">
        <v>0</v>
      </c>
      <c r="CI451" s="199">
        <v>0</v>
      </c>
      <c r="CJ451" s="199">
        <v>0</v>
      </c>
      <c r="CK451" s="214" t="s">
        <v>1161</v>
      </c>
      <c r="CL451" s="214" t="s">
        <v>610</v>
      </c>
      <c r="CM451" s="211">
        <v>198</v>
      </c>
      <c r="CN451" s="215"/>
      <c r="CO451" s="215"/>
      <c r="CP451" s="216"/>
      <c r="CQ451" s="217"/>
      <c r="CR451" s="211"/>
      <c r="CS451" s="218"/>
      <c r="CT451" s="218"/>
      <c r="CU451" s="218"/>
      <c r="CV451" s="211"/>
      <c r="CW451" s="211"/>
      <c r="CX451" s="211"/>
      <c r="CY451" s="211"/>
      <c r="CZ451" s="211"/>
      <c r="DA451" s="211"/>
      <c r="DB451" s="211"/>
      <c r="DC451" s="219"/>
      <c r="DD451" s="219"/>
      <c r="DE451" s="219"/>
      <c r="DF451" s="211"/>
      <c r="DG451" s="211"/>
      <c r="DH451" s="211"/>
      <c r="DI451" s="211"/>
      <c r="DJ451" s="211"/>
      <c r="DK451" s="220" t="s">
        <v>32</v>
      </c>
      <c r="DT451" s="222"/>
    </row>
    <row r="452" spans="1:124" s="176" customFormat="1" ht="42" x14ac:dyDescent="0.2">
      <c r="A452" s="225" t="s">
        <v>197</v>
      </c>
      <c r="B452" s="197" t="s">
        <v>1162</v>
      </c>
      <c r="C452" s="198">
        <v>1</v>
      </c>
      <c r="D452" s="199">
        <v>1300000</v>
      </c>
      <c r="E452" s="198" t="s">
        <v>1141</v>
      </c>
      <c r="F452" s="198" t="s">
        <v>1097</v>
      </c>
      <c r="G452" s="198" t="s">
        <v>151</v>
      </c>
      <c r="H452" s="200">
        <v>1</v>
      </c>
      <c r="I452" s="199">
        <f t="shared" si="448"/>
        <v>0</v>
      </c>
      <c r="J452" s="199">
        <f t="shared" si="449"/>
        <v>1300000</v>
      </c>
      <c r="K452" s="199">
        <f t="shared" si="450"/>
        <v>1300000</v>
      </c>
      <c r="L452" s="199"/>
      <c r="M452" s="199">
        <v>1300000</v>
      </c>
      <c r="N452" s="199">
        <f t="shared" si="451"/>
        <v>1300000</v>
      </c>
      <c r="O452" s="199"/>
      <c r="P452" s="201">
        <v>0</v>
      </c>
      <c r="Q452" s="202">
        <v>15</v>
      </c>
      <c r="R452" s="203">
        <v>45566</v>
      </c>
      <c r="S452" s="199"/>
      <c r="T452" s="199">
        <v>1300000</v>
      </c>
      <c r="U452" s="204">
        <f t="shared" si="452"/>
        <v>1300000</v>
      </c>
      <c r="V452" s="205"/>
      <c r="W452" s="200"/>
      <c r="X452" s="201"/>
      <c r="Y452" s="201"/>
      <c r="Z452" s="201">
        <f t="shared" si="453"/>
        <v>0</v>
      </c>
      <c r="AA452" s="198"/>
      <c r="AB452" s="206"/>
      <c r="AC452" s="207"/>
      <c r="AD452" s="201"/>
      <c r="AE452" s="204">
        <f t="shared" si="454"/>
        <v>0</v>
      </c>
      <c r="AF452" s="203">
        <f t="shared" si="455"/>
        <v>45566</v>
      </c>
      <c r="AG452" s="201">
        <f t="shared" si="456"/>
        <v>0</v>
      </c>
      <c r="AH452" s="201">
        <f t="shared" si="457"/>
        <v>1300000</v>
      </c>
      <c r="AI452" s="199">
        <f t="shared" si="458"/>
        <v>1300000</v>
      </c>
      <c r="AJ452" s="201">
        <f t="shared" si="443"/>
        <v>0</v>
      </c>
      <c r="AK452" s="201">
        <f t="shared" si="443"/>
        <v>1300000</v>
      </c>
      <c r="AL452" s="201">
        <f t="shared" si="459"/>
        <v>1300000</v>
      </c>
      <c r="AM452" s="198"/>
      <c r="AN452" s="203"/>
      <c r="AO452" s="208"/>
      <c r="AP452" s="201">
        <f t="shared" si="460"/>
        <v>0</v>
      </c>
      <c r="AQ452" s="201">
        <f t="shared" si="461"/>
        <v>1296811.07</v>
      </c>
      <c r="AR452" s="201">
        <f t="shared" si="462"/>
        <v>1296811.07</v>
      </c>
      <c r="AS452" s="201">
        <f t="shared" si="463"/>
        <v>99.754697692307687</v>
      </c>
      <c r="AT452" s="201"/>
      <c r="AU452" s="209">
        <v>1296811.07</v>
      </c>
      <c r="AV452" s="201">
        <f t="shared" si="464"/>
        <v>1296811.07</v>
      </c>
      <c r="AW452" s="201">
        <f t="shared" si="473"/>
        <v>10</v>
      </c>
      <c r="AX452" s="201">
        <f t="shared" si="465"/>
        <v>99.754697692307687</v>
      </c>
      <c r="AY452" s="208"/>
      <c r="AZ452" s="201">
        <f t="shared" si="466"/>
        <v>0</v>
      </c>
      <c r="BA452" s="201">
        <f t="shared" si="467"/>
        <v>0</v>
      </c>
      <c r="BB452" s="201">
        <f t="shared" si="468"/>
        <v>0</v>
      </c>
      <c r="BC452" s="201"/>
      <c r="BD452" s="209">
        <v>0</v>
      </c>
      <c r="BE452" s="201">
        <f t="shared" si="444"/>
        <v>0</v>
      </c>
      <c r="BF452" s="208"/>
      <c r="BG452" s="201">
        <f t="shared" si="475"/>
        <v>0</v>
      </c>
      <c r="BH452" s="201">
        <f t="shared" si="475"/>
        <v>1296811.07</v>
      </c>
      <c r="BI452" s="201">
        <f t="shared" si="469"/>
        <v>1296811.07</v>
      </c>
      <c r="BJ452" s="201">
        <f t="shared" si="470"/>
        <v>99.754697692307687</v>
      </c>
      <c r="BK452" s="210">
        <v>51.43</v>
      </c>
      <c r="BL452" s="210">
        <v>100</v>
      </c>
      <c r="BM452" s="211"/>
      <c r="BN452" s="211"/>
      <c r="BO452" s="212">
        <f t="shared" si="471"/>
        <v>0</v>
      </c>
      <c r="BP452" s="201">
        <f t="shared" si="472"/>
        <v>3188.9299999999348</v>
      </c>
      <c r="BQ452" s="201">
        <f t="shared" si="445"/>
        <v>3188.9299999999348</v>
      </c>
      <c r="BR452" s="201">
        <f t="shared" si="476"/>
        <v>0</v>
      </c>
      <c r="BS452" s="201">
        <f t="shared" si="476"/>
        <v>3188.9299999999348</v>
      </c>
      <c r="BT452" s="201">
        <f t="shared" si="446"/>
        <v>3188.9299999999348</v>
      </c>
      <c r="BU452" s="213">
        <f t="shared" si="474"/>
        <v>0</v>
      </c>
      <c r="BV452" s="201"/>
      <c r="BW452" s="201"/>
      <c r="BX452" s="201">
        <f t="shared" si="447"/>
        <v>0</v>
      </c>
      <c r="BY452" s="199">
        <v>65000</v>
      </c>
      <c r="BZ452" s="199">
        <v>130000</v>
      </c>
      <c r="CA452" s="199">
        <v>130000</v>
      </c>
      <c r="CB452" s="199">
        <v>195000</v>
      </c>
      <c r="CC452" s="199">
        <v>195000</v>
      </c>
      <c r="CD452" s="199">
        <v>195000</v>
      </c>
      <c r="CE452" s="199">
        <v>195000</v>
      </c>
      <c r="CF452" s="199">
        <v>130000</v>
      </c>
      <c r="CG452" s="199">
        <v>65000</v>
      </c>
      <c r="CH452" s="199">
        <v>0</v>
      </c>
      <c r="CI452" s="199">
        <v>0</v>
      </c>
      <c r="CJ452" s="199">
        <v>0</v>
      </c>
      <c r="CK452" s="214" t="s">
        <v>1163</v>
      </c>
      <c r="CL452" s="214" t="s">
        <v>610</v>
      </c>
      <c r="CM452" s="211">
        <v>198</v>
      </c>
      <c r="CN452" s="215"/>
      <c r="CO452" s="215"/>
      <c r="CP452" s="216"/>
      <c r="CQ452" s="217"/>
      <c r="CR452" s="211"/>
      <c r="CS452" s="218"/>
      <c r="CT452" s="218"/>
      <c r="CU452" s="218"/>
      <c r="CV452" s="211"/>
      <c r="CW452" s="211"/>
      <c r="CX452" s="211"/>
      <c r="CY452" s="211"/>
      <c r="CZ452" s="211"/>
      <c r="DA452" s="211"/>
      <c r="DB452" s="211"/>
      <c r="DC452" s="219"/>
      <c r="DD452" s="219"/>
      <c r="DE452" s="219"/>
      <c r="DF452" s="211"/>
      <c r="DG452" s="211"/>
      <c r="DH452" s="211"/>
      <c r="DI452" s="211"/>
      <c r="DJ452" s="211"/>
      <c r="DK452" s="220" t="s">
        <v>32</v>
      </c>
      <c r="DT452" s="222"/>
    </row>
    <row r="453" spans="1:124" s="176" customFormat="1" ht="42" x14ac:dyDescent="0.2">
      <c r="A453" s="225" t="s">
        <v>197</v>
      </c>
      <c r="B453" s="197" t="s">
        <v>1164</v>
      </c>
      <c r="C453" s="198">
        <v>1</v>
      </c>
      <c r="D453" s="199">
        <v>1900000</v>
      </c>
      <c r="E453" s="198" t="s">
        <v>1141</v>
      </c>
      <c r="F453" s="198" t="s">
        <v>1097</v>
      </c>
      <c r="G453" s="198" t="s">
        <v>151</v>
      </c>
      <c r="H453" s="200">
        <v>1</v>
      </c>
      <c r="I453" s="199">
        <f t="shared" si="448"/>
        <v>0</v>
      </c>
      <c r="J453" s="199">
        <f t="shared" si="449"/>
        <v>1900000</v>
      </c>
      <c r="K453" s="199">
        <f t="shared" si="450"/>
        <v>1900000</v>
      </c>
      <c r="L453" s="199"/>
      <c r="M453" s="199">
        <v>1900000</v>
      </c>
      <c r="N453" s="199">
        <f t="shared" si="451"/>
        <v>1900000</v>
      </c>
      <c r="O453" s="199"/>
      <c r="P453" s="201">
        <v>0</v>
      </c>
      <c r="Q453" s="202">
        <v>15</v>
      </c>
      <c r="R453" s="203">
        <v>45566</v>
      </c>
      <c r="S453" s="199"/>
      <c r="T453" s="199">
        <v>1900000</v>
      </c>
      <c r="U453" s="204">
        <f t="shared" si="452"/>
        <v>1900000</v>
      </c>
      <c r="V453" s="205"/>
      <c r="W453" s="200"/>
      <c r="X453" s="201"/>
      <c r="Y453" s="201"/>
      <c r="Z453" s="201">
        <f t="shared" si="453"/>
        <v>0</v>
      </c>
      <c r="AA453" s="198"/>
      <c r="AB453" s="206"/>
      <c r="AC453" s="207"/>
      <c r="AD453" s="201"/>
      <c r="AE453" s="204">
        <f t="shared" si="454"/>
        <v>0</v>
      </c>
      <c r="AF453" s="203">
        <f t="shared" si="455"/>
        <v>45566</v>
      </c>
      <c r="AG453" s="201">
        <f t="shared" si="456"/>
        <v>0</v>
      </c>
      <c r="AH453" s="201">
        <f t="shared" si="457"/>
        <v>1900000</v>
      </c>
      <c r="AI453" s="199">
        <f t="shared" si="458"/>
        <v>1900000</v>
      </c>
      <c r="AJ453" s="201">
        <f t="shared" ref="AJ453:AK516" si="477">+S453+X453+AC453</f>
        <v>0</v>
      </c>
      <c r="AK453" s="201">
        <f t="shared" si="477"/>
        <v>1900000</v>
      </c>
      <c r="AL453" s="201">
        <f t="shared" si="459"/>
        <v>1900000</v>
      </c>
      <c r="AM453" s="198"/>
      <c r="AN453" s="203"/>
      <c r="AO453" s="208"/>
      <c r="AP453" s="201">
        <f t="shared" si="460"/>
        <v>0</v>
      </c>
      <c r="AQ453" s="201">
        <f t="shared" si="461"/>
        <v>1898348.82</v>
      </c>
      <c r="AR453" s="201">
        <f t="shared" si="462"/>
        <v>1898348.82</v>
      </c>
      <c r="AS453" s="201">
        <f t="shared" si="463"/>
        <v>99.913095789473687</v>
      </c>
      <c r="AT453" s="201"/>
      <c r="AU453" s="209">
        <v>1898348.82</v>
      </c>
      <c r="AV453" s="201">
        <f t="shared" si="464"/>
        <v>1898348.82</v>
      </c>
      <c r="AW453" s="201">
        <f t="shared" si="473"/>
        <v>10</v>
      </c>
      <c r="AX453" s="201">
        <f t="shared" si="465"/>
        <v>99.913095789473687</v>
      </c>
      <c r="AY453" s="208"/>
      <c r="AZ453" s="201">
        <f t="shared" si="466"/>
        <v>0</v>
      </c>
      <c r="BA453" s="201">
        <f t="shared" si="467"/>
        <v>0</v>
      </c>
      <c r="BB453" s="201">
        <f t="shared" si="468"/>
        <v>0</v>
      </c>
      <c r="BC453" s="201"/>
      <c r="BD453" s="209">
        <v>0</v>
      </c>
      <c r="BE453" s="201">
        <f t="shared" si="444"/>
        <v>0</v>
      </c>
      <c r="BF453" s="208"/>
      <c r="BG453" s="201">
        <f t="shared" si="475"/>
        <v>0</v>
      </c>
      <c r="BH453" s="201">
        <f t="shared" si="475"/>
        <v>1898348.82</v>
      </c>
      <c r="BI453" s="201">
        <f t="shared" si="469"/>
        <v>1898348.82</v>
      </c>
      <c r="BJ453" s="201">
        <f t="shared" si="470"/>
        <v>99.913095789473687</v>
      </c>
      <c r="BK453" s="210">
        <v>43.01</v>
      </c>
      <c r="BL453" s="210">
        <v>100</v>
      </c>
      <c r="BM453" s="211"/>
      <c r="BN453" s="211"/>
      <c r="BO453" s="212">
        <f t="shared" si="471"/>
        <v>0</v>
      </c>
      <c r="BP453" s="201">
        <f t="shared" si="472"/>
        <v>1651.1799999999348</v>
      </c>
      <c r="BQ453" s="201">
        <f t="shared" si="445"/>
        <v>1651.1799999999348</v>
      </c>
      <c r="BR453" s="201">
        <f t="shared" si="476"/>
        <v>0</v>
      </c>
      <c r="BS453" s="201">
        <f t="shared" si="476"/>
        <v>1651.1799999999348</v>
      </c>
      <c r="BT453" s="201">
        <f t="shared" si="446"/>
        <v>1651.1799999999348</v>
      </c>
      <c r="BU453" s="213">
        <f t="shared" si="474"/>
        <v>0</v>
      </c>
      <c r="BV453" s="201"/>
      <c r="BW453" s="201"/>
      <c r="BX453" s="201">
        <f t="shared" si="447"/>
        <v>0</v>
      </c>
      <c r="BY453" s="199">
        <v>95000</v>
      </c>
      <c r="BZ453" s="199">
        <v>190000</v>
      </c>
      <c r="CA453" s="199">
        <v>190000</v>
      </c>
      <c r="CB453" s="199">
        <v>285000</v>
      </c>
      <c r="CC453" s="199">
        <v>285000</v>
      </c>
      <c r="CD453" s="199">
        <v>285000</v>
      </c>
      <c r="CE453" s="199">
        <v>285000</v>
      </c>
      <c r="CF453" s="199">
        <v>190000</v>
      </c>
      <c r="CG453" s="199">
        <v>95000</v>
      </c>
      <c r="CH453" s="199">
        <v>0</v>
      </c>
      <c r="CI453" s="199">
        <v>0</v>
      </c>
      <c r="CJ453" s="199">
        <v>0</v>
      </c>
      <c r="CK453" s="214" t="s">
        <v>1165</v>
      </c>
      <c r="CL453" s="214" t="s">
        <v>610</v>
      </c>
      <c r="CM453" s="211">
        <v>198</v>
      </c>
      <c r="CN453" s="215"/>
      <c r="CO453" s="215"/>
      <c r="CP453" s="216"/>
      <c r="CQ453" s="217"/>
      <c r="CR453" s="211"/>
      <c r="CS453" s="218"/>
      <c r="CT453" s="218"/>
      <c r="CU453" s="218"/>
      <c r="CV453" s="211"/>
      <c r="CW453" s="211"/>
      <c r="CX453" s="211"/>
      <c r="CY453" s="211"/>
      <c r="CZ453" s="211"/>
      <c r="DA453" s="211"/>
      <c r="DB453" s="211"/>
      <c r="DC453" s="219"/>
      <c r="DD453" s="219"/>
      <c r="DE453" s="219"/>
      <c r="DF453" s="211"/>
      <c r="DG453" s="211"/>
      <c r="DH453" s="211"/>
      <c r="DI453" s="211"/>
      <c r="DJ453" s="211"/>
      <c r="DK453" s="220" t="s">
        <v>32</v>
      </c>
      <c r="DT453" s="222"/>
    </row>
    <row r="454" spans="1:124" s="176" customFormat="1" ht="42" x14ac:dyDescent="0.2">
      <c r="A454" s="225" t="s">
        <v>197</v>
      </c>
      <c r="B454" s="197" t="s">
        <v>1166</v>
      </c>
      <c r="C454" s="198">
        <v>1</v>
      </c>
      <c r="D454" s="199">
        <v>700000</v>
      </c>
      <c r="E454" s="198" t="s">
        <v>149</v>
      </c>
      <c r="F454" s="198" t="s">
        <v>150</v>
      </c>
      <c r="G454" s="198" t="s">
        <v>151</v>
      </c>
      <c r="H454" s="200">
        <v>1</v>
      </c>
      <c r="I454" s="199">
        <f t="shared" si="448"/>
        <v>0</v>
      </c>
      <c r="J454" s="199">
        <f t="shared" si="449"/>
        <v>700000</v>
      </c>
      <c r="K454" s="199">
        <f t="shared" si="450"/>
        <v>700000</v>
      </c>
      <c r="L454" s="199"/>
      <c r="M454" s="199">
        <v>700000</v>
      </c>
      <c r="N454" s="199">
        <f t="shared" si="451"/>
        <v>700000</v>
      </c>
      <c r="O454" s="199"/>
      <c r="P454" s="201">
        <v>0</v>
      </c>
      <c r="Q454" s="202">
        <v>15</v>
      </c>
      <c r="R454" s="203">
        <v>45566</v>
      </c>
      <c r="S454" s="199"/>
      <c r="T454" s="199">
        <v>700000</v>
      </c>
      <c r="U454" s="204">
        <f t="shared" si="452"/>
        <v>700000</v>
      </c>
      <c r="V454" s="205"/>
      <c r="W454" s="200"/>
      <c r="X454" s="201"/>
      <c r="Y454" s="201"/>
      <c r="Z454" s="201">
        <f t="shared" si="453"/>
        <v>0</v>
      </c>
      <c r="AA454" s="198"/>
      <c r="AB454" s="206"/>
      <c r="AC454" s="207"/>
      <c r="AD454" s="201"/>
      <c r="AE454" s="204">
        <f t="shared" si="454"/>
        <v>0</v>
      </c>
      <c r="AF454" s="203">
        <f t="shared" si="455"/>
        <v>45566</v>
      </c>
      <c r="AG454" s="201">
        <f t="shared" si="456"/>
        <v>0</v>
      </c>
      <c r="AH454" s="201">
        <f t="shared" si="457"/>
        <v>700000</v>
      </c>
      <c r="AI454" s="199">
        <f t="shared" si="458"/>
        <v>700000</v>
      </c>
      <c r="AJ454" s="201">
        <f t="shared" si="477"/>
        <v>0</v>
      </c>
      <c r="AK454" s="201">
        <f t="shared" si="477"/>
        <v>700000</v>
      </c>
      <c r="AL454" s="201">
        <f t="shared" si="459"/>
        <v>700000</v>
      </c>
      <c r="AM454" s="198"/>
      <c r="AN454" s="203"/>
      <c r="AO454" s="208"/>
      <c r="AP454" s="201">
        <f t="shared" si="460"/>
        <v>0</v>
      </c>
      <c r="AQ454" s="201">
        <f t="shared" si="461"/>
        <v>697963.77</v>
      </c>
      <c r="AR454" s="201">
        <f t="shared" si="462"/>
        <v>697963.77</v>
      </c>
      <c r="AS454" s="201">
        <f t="shared" si="463"/>
        <v>99.709109999999995</v>
      </c>
      <c r="AT454" s="201"/>
      <c r="AU454" s="209">
        <v>697963.77</v>
      </c>
      <c r="AV454" s="201">
        <f t="shared" si="464"/>
        <v>697963.77</v>
      </c>
      <c r="AW454" s="201">
        <f t="shared" si="473"/>
        <v>0</v>
      </c>
      <c r="AX454" s="201">
        <f t="shared" si="465"/>
        <v>99.709109999999995</v>
      </c>
      <c r="AY454" s="208"/>
      <c r="AZ454" s="201">
        <f t="shared" si="466"/>
        <v>0</v>
      </c>
      <c r="BA454" s="201">
        <f t="shared" si="467"/>
        <v>0</v>
      </c>
      <c r="BB454" s="201">
        <f t="shared" si="468"/>
        <v>0</v>
      </c>
      <c r="BC454" s="201"/>
      <c r="BD454" s="209">
        <v>0</v>
      </c>
      <c r="BE454" s="201">
        <f t="shared" si="444"/>
        <v>0</v>
      </c>
      <c r="BF454" s="208"/>
      <c r="BG454" s="201">
        <f t="shared" si="475"/>
        <v>0</v>
      </c>
      <c r="BH454" s="201">
        <f t="shared" si="475"/>
        <v>697963.77</v>
      </c>
      <c r="BI454" s="201">
        <f t="shared" si="469"/>
        <v>697963.77</v>
      </c>
      <c r="BJ454" s="201">
        <f t="shared" si="470"/>
        <v>99.709109999999995</v>
      </c>
      <c r="BK454" s="210">
        <v>53.3</v>
      </c>
      <c r="BL454" s="210">
        <v>100</v>
      </c>
      <c r="BM454" s="211"/>
      <c r="BN454" s="211"/>
      <c r="BO454" s="212">
        <f t="shared" si="471"/>
        <v>0</v>
      </c>
      <c r="BP454" s="201">
        <f t="shared" si="472"/>
        <v>2036.2299999999814</v>
      </c>
      <c r="BQ454" s="201">
        <f t="shared" si="445"/>
        <v>2036.2299999999814</v>
      </c>
      <c r="BR454" s="201">
        <f t="shared" si="476"/>
        <v>0</v>
      </c>
      <c r="BS454" s="201">
        <f t="shared" si="476"/>
        <v>2036.2299999999814</v>
      </c>
      <c r="BT454" s="201">
        <f t="shared" si="446"/>
        <v>2036.2299999999814</v>
      </c>
      <c r="BU454" s="213">
        <f t="shared" si="474"/>
        <v>0</v>
      </c>
      <c r="BV454" s="201"/>
      <c r="BW454" s="201"/>
      <c r="BX454" s="201">
        <f t="shared" si="447"/>
        <v>0</v>
      </c>
      <c r="BY454" s="199">
        <v>70000</v>
      </c>
      <c r="BZ454" s="199">
        <v>105000</v>
      </c>
      <c r="CA454" s="199">
        <v>175000</v>
      </c>
      <c r="CB454" s="199">
        <v>175000</v>
      </c>
      <c r="CC454" s="199">
        <v>105000</v>
      </c>
      <c r="CD454" s="199">
        <v>70000</v>
      </c>
      <c r="CE454" s="199">
        <v>0</v>
      </c>
      <c r="CF454" s="199">
        <v>0</v>
      </c>
      <c r="CG454" s="199">
        <v>0</v>
      </c>
      <c r="CH454" s="199">
        <v>0</v>
      </c>
      <c r="CI454" s="199">
        <v>0</v>
      </c>
      <c r="CJ454" s="199">
        <v>0</v>
      </c>
      <c r="CK454" s="214" t="s">
        <v>1167</v>
      </c>
      <c r="CL454" s="214" t="s">
        <v>610</v>
      </c>
      <c r="CM454" s="211">
        <v>198</v>
      </c>
      <c r="CN454" s="215"/>
      <c r="CO454" s="215"/>
      <c r="CP454" s="216"/>
      <c r="CQ454" s="217"/>
      <c r="CR454" s="211"/>
      <c r="CS454" s="218"/>
      <c r="CT454" s="218"/>
      <c r="CU454" s="218"/>
      <c r="CV454" s="211"/>
      <c r="CW454" s="211"/>
      <c r="CX454" s="211"/>
      <c r="CY454" s="211"/>
      <c r="CZ454" s="211"/>
      <c r="DA454" s="211"/>
      <c r="DB454" s="211"/>
      <c r="DC454" s="219"/>
      <c r="DD454" s="219"/>
      <c r="DE454" s="219"/>
      <c r="DF454" s="211"/>
      <c r="DG454" s="211"/>
      <c r="DH454" s="211"/>
      <c r="DI454" s="211"/>
      <c r="DJ454" s="211"/>
      <c r="DK454" s="220" t="s">
        <v>32</v>
      </c>
      <c r="DT454" s="222"/>
    </row>
    <row r="455" spans="1:124" s="176" customFormat="1" ht="42" x14ac:dyDescent="0.2">
      <c r="A455" s="225" t="s">
        <v>197</v>
      </c>
      <c r="B455" s="197" t="s">
        <v>1168</v>
      </c>
      <c r="C455" s="198">
        <v>1</v>
      </c>
      <c r="D455" s="199">
        <v>1250000</v>
      </c>
      <c r="E455" s="198" t="s">
        <v>1124</v>
      </c>
      <c r="F455" s="198" t="s">
        <v>150</v>
      </c>
      <c r="G455" s="198" t="s">
        <v>151</v>
      </c>
      <c r="H455" s="200">
        <v>1</v>
      </c>
      <c r="I455" s="199">
        <f t="shared" si="448"/>
        <v>0</v>
      </c>
      <c r="J455" s="199">
        <f t="shared" si="449"/>
        <v>1250000</v>
      </c>
      <c r="K455" s="199">
        <f t="shared" si="450"/>
        <v>1250000</v>
      </c>
      <c r="L455" s="199"/>
      <c r="M455" s="199">
        <v>1250000</v>
      </c>
      <c r="N455" s="199">
        <f t="shared" si="451"/>
        <v>1250000</v>
      </c>
      <c r="O455" s="199"/>
      <c r="P455" s="201">
        <v>0</v>
      </c>
      <c r="Q455" s="202">
        <v>15</v>
      </c>
      <c r="R455" s="203">
        <v>45566</v>
      </c>
      <c r="S455" s="199"/>
      <c r="T455" s="199">
        <v>1250000</v>
      </c>
      <c r="U455" s="204">
        <f t="shared" si="452"/>
        <v>1250000</v>
      </c>
      <c r="V455" s="205"/>
      <c r="W455" s="200"/>
      <c r="X455" s="201"/>
      <c r="Y455" s="201"/>
      <c r="Z455" s="201">
        <f t="shared" si="453"/>
        <v>0</v>
      </c>
      <c r="AA455" s="198"/>
      <c r="AB455" s="206"/>
      <c r="AC455" s="207"/>
      <c r="AD455" s="201"/>
      <c r="AE455" s="204">
        <f t="shared" si="454"/>
        <v>0</v>
      </c>
      <c r="AF455" s="203">
        <f t="shared" si="455"/>
        <v>45566</v>
      </c>
      <c r="AG455" s="201">
        <f t="shared" si="456"/>
        <v>0</v>
      </c>
      <c r="AH455" s="201">
        <f t="shared" si="457"/>
        <v>1250000</v>
      </c>
      <c r="AI455" s="199">
        <f t="shared" si="458"/>
        <v>1250000</v>
      </c>
      <c r="AJ455" s="201">
        <f t="shared" si="477"/>
        <v>0</v>
      </c>
      <c r="AK455" s="201">
        <f t="shared" si="477"/>
        <v>1250000</v>
      </c>
      <c r="AL455" s="201">
        <f t="shared" si="459"/>
        <v>1250000</v>
      </c>
      <c r="AM455" s="198"/>
      <c r="AN455" s="203"/>
      <c r="AO455" s="208"/>
      <c r="AP455" s="201">
        <f t="shared" si="460"/>
        <v>0</v>
      </c>
      <c r="AQ455" s="201">
        <f t="shared" si="461"/>
        <v>1248395.25</v>
      </c>
      <c r="AR455" s="201">
        <f t="shared" si="462"/>
        <v>1248395.25</v>
      </c>
      <c r="AS455" s="201">
        <f t="shared" si="463"/>
        <v>99.871619999999993</v>
      </c>
      <c r="AT455" s="201"/>
      <c r="AU455" s="209">
        <v>1248395.25</v>
      </c>
      <c r="AV455" s="201">
        <f t="shared" si="464"/>
        <v>1248395.25</v>
      </c>
      <c r="AW455" s="201">
        <f t="shared" si="473"/>
        <v>0</v>
      </c>
      <c r="AX455" s="201">
        <f t="shared" si="465"/>
        <v>99.871619999999993</v>
      </c>
      <c r="AY455" s="208"/>
      <c r="AZ455" s="201">
        <f t="shared" si="466"/>
        <v>0</v>
      </c>
      <c r="BA455" s="201">
        <f t="shared" si="467"/>
        <v>0</v>
      </c>
      <c r="BB455" s="201">
        <f t="shared" si="468"/>
        <v>0</v>
      </c>
      <c r="BC455" s="201"/>
      <c r="BD455" s="209">
        <v>0</v>
      </c>
      <c r="BE455" s="201">
        <f t="shared" si="444"/>
        <v>0</v>
      </c>
      <c r="BF455" s="208"/>
      <c r="BG455" s="201">
        <f t="shared" si="475"/>
        <v>0</v>
      </c>
      <c r="BH455" s="201">
        <f t="shared" si="475"/>
        <v>1248395.25</v>
      </c>
      <c r="BI455" s="201">
        <f t="shared" si="469"/>
        <v>1248395.25</v>
      </c>
      <c r="BJ455" s="201">
        <f t="shared" si="470"/>
        <v>99.871619999999993</v>
      </c>
      <c r="BK455" s="210">
        <v>57.16</v>
      </c>
      <c r="BL455" s="210">
        <v>100</v>
      </c>
      <c r="BM455" s="211"/>
      <c r="BN455" s="211"/>
      <c r="BO455" s="212">
        <f t="shared" si="471"/>
        <v>0</v>
      </c>
      <c r="BP455" s="201">
        <f t="shared" si="472"/>
        <v>1604.75</v>
      </c>
      <c r="BQ455" s="201">
        <f t="shared" si="445"/>
        <v>1604.75</v>
      </c>
      <c r="BR455" s="201">
        <f t="shared" si="476"/>
        <v>0</v>
      </c>
      <c r="BS455" s="201">
        <f t="shared" si="476"/>
        <v>1604.75</v>
      </c>
      <c r="BT455" s="201">
        <f t="shared" si="446"/>
        <v>1604.75</v>
      </c>
      <c r="BU455" s="213">
        <f t="shared" si="474"/>
        <v>0</v>
      </c>
      <c r="BV455" s="201"/>
      <c r="BW455" s="201"/>
      <c r="BX455" s="201">
        <f t="shared" si="447"/>
        <v>0</v>
      </c>
      <c r="BY455" s="199">
        <v>62500</v>
      </c>
      <c r="BZ455" s="199">
        <v>62500</v>
      </c>
      <c r="CA455" s="199">
        <v>250000</v>
      </c>
      <c r="CB455" s="199">
        <v>375000</v>
      </c>
      <c r="CC455" s="199">
        <v>375000</v>
      </c>
      <c r="CD455" s="199">
        <v>125000</v>
      </c>
      <c r="CE455" s="199">
        <v>0</v>
      </c>
      <c r="CF455" s="199">
        <v>0</v>
      </c>
      <c r="CG455" s="199">
        <v>0</v>
      </c>
      <c r="CH455" s="199">
        <v>0</v>
      </c>
      <c r="CI455" s="199">
        <v>0</v>
      </c>
      <c r="CJ455" s="199"/>
      <c r="CK455" s="214" t="s">
        <v>1169</v>
      </c>
      <c r="CL455" s="214" t="s">
        <v>610</v>
      </c>
      <c r="CM455" s="211">
        <v>198</v>
      </c>
      <c r="CN455" s="215"/>
      <c r="CO455" s="215"/>
      <c r="CP455" s="216"/>
      <c r="CQ455" s="217"/>
      <c r="CR455" s="211"/>
      <c r="CS455" s="218"/>
      <c r="CT455" s="218"/>
      <c r="CU455" s="218"/>
      <c r="CV455" s="211"/>
      <c r="CW455" s="211"/>
      <c r="CX455" s="211"/>
      <c r="CY455" s="211"/>
      <c r="CZ455" s="211"/>
      <c r="DA455" s="211"/>
      <c r="DB455" s="211"/>
      <c r="DC455" s="219"/>
      <c r="DD455" s="219"/>
      <c r="DE455" s="219"/>
      <c r="DF455" s="211"/>
      <c r="DG455" s="211"/>
      <c r="DH455" s="211"/>
      <c r="DI455" s="211"/>
      <c r="DJ455" s="211"/>
      <c r="DK455" s="220" t="s">
        <v>32</v>
      </c>
      <c r="DT455" s="222"/>
    </row>
    <row r="456" spans="1:124" s="176" customFormat="1" ht="42" x14ac:dyDescent="0.2">
      <c r="A456" s="225" t="s">
        <v>197</v>
      </c>
      <c r="B456" s="197" t="s">
        <v>1170</v>
      </c>
      <c r="C456" s="198">
        <v>1</v>
      </c>
      <c r="D456" s="199">
        <v>500000</v>
      </c>
      <c r="E456" s="198" t="s">
        <v>156</v>
      </c>
      <c r="F456" s="198" t="s">
        <v>150</v>
      </c>
      <c r="G456" s="198" t="s">
        <v>151</v>
      </c>
      <c r="H456" s="200">
        <v>1</v>
      </c>
      <c r="I456" s="199">
        <f t="shared" si="448"/>
        <v>0</v>
      </c>
      <c r="J456" s="199">
        <f t="shared" si="449"/>
        <v>500000</v>
      </c>
      <c r="K456" s="199">
        <f t="shared" si="450"/>
        <v>500000</v>
      </c>
      <c r="L456" s="199"/>
      <c r="M456" s="199">
        <v>500000</v>
      </c>
      <c r="N456" s="199">
        <f t="shared" si="451"/>
        <v>500000</v>
      </c>
      <c r="O456" s="199"/>
      <c r="P456" s="201">
        <v>0</v>
      </c>
      <c r="Q456" s="202">
        <v>15</v>
      </c>
      <c r="R456" s="203">
        <v>45566</v>
      </c>
      <c r="S456" s="199"/>
      <c r="T456" s="199">
        <v>500000</v>
      </c>
      <c r="U456" s="204">
        <f t="shared" si="452"/>
        <v>500000</v>
      </c>
      <c r="V456" s="205"/>
      <c r="W456" s="200"/>
      <c r="X456" s="201"/>
      <c r="Y456" s="201"/>
      <c r="Z456" s="201">
        <f t="shared" si="453"/>
        <v>0</v>
      </c>
      <c r="AA456" s="198"/>
      <c r="AB456" s="206"/>
      <c r="AC456" s="207"/>
      <c r="AD456" s="201"/>
      <c r="AE456" s="204">
        <f t="shared" si="454"/>
        <v>0</v>
      </c>
      <c r="AF456" s="203">
        <f t="shared" si="455"/>
        <v>45566</v>
      </c>
      <c r="AG456" s="201">
        <f t="shared" si="456"/>
        <v>0</v>
      </c>
      <c r="AH456" s="201">
        <f t="shared" si="457"/>
        <v>500000</v>
      </c>
      <c r="AI456" s="199">
        <f t="shared" si="458"/>
        <v>500000</v>
      </c>
      <c r="AJ456" s="201">
        <f t="shared" si="477"/>
        <v>0</v>
      </c>
      <c r="AK456" s="201">
        <f t="shared" si="477"/>
        <v>500000</v>
      </c>
      <c r="AL456" s="201">
        <f t="shared" si="459"/>
        <v>500000</v>
      </c>
      <c r="AM456" s="198"/>
      <c r="AN456" s="203"/>
      <c r="AO456" s="208"/>
      <c r="AP456" s="201">
        <f t="shared" si="460"/>
        <v>0</v>
      </c>
      <c r="AQ456" s="201">
        <f t="shared" si="461"/>
        <v>498999.91</v>
      </c>
      <c r="AR456" s="201">
        <f t="shared" si="462"/>
        <v>498999.91</v>
      </c>
      <c r="AS456" s="201">
        <f t="shared" si="463"/>
        <v>99.799982</v>
      </c>
      <c r="AT456" s="201"/>
      <c r="AU456" s="209">
        <v>498999.91</v>
      </c>
      <c r="AV456" s="201">
        <f t="shared" si="464"/>
        <v>498999.91</v>
      </c>
      <c r="AW456" s="201">
        <f t="shared" si="473"/>
        <v>0</v>
      </c>
      <c r="AX456" s="201">
        <f t="shared" si="465"/>
        <v>99.799982</v>
      </c>
      <c r="AY456" s="208"/>
      <c r="AZ456" s="201">
        <f t="shared" si="466"/>
        <v>0</v>
      </c>
      <c r="BA456" s="201">
        <f t="shared" si="467"/>
        <v>0</v>
      </c>
      <c r="BB456" s="201">
        <f t="shared" si="468"/>
        <v>0</v>
      </c>
      <c r="BC456" s="201"/>
      <c r="BD456" s="209">
        <v>0</v>
      </c>
      <c r="BE456" s="201">
        <f t="shared" si="444"/>
        <v>0</v>
      </c>
      <c r="BF456" s="208"/>
      <c r="BG456" s="201">
        <f t="shared" si="475"/>
        <v>0</v>
      </c>
      <c r="BH456" s="201">
        <f t="shared" si="475"/>
        <v>498999.91</v>
      </c>
      <c r="BI456" s="201">
        <f t="shared" si="469"/>
        <v>498999.91</v>
      </c>
      <c r="BJ456" s="201">
        <f t="shared" si="470"/>
        <v>99.799982</v>
      </c>
      <c r="BK456" s="210">
        <v>55.27</v>
      </c>
      <c r="BL456" s="210">
        <v>100</v>
      </c>
      <c r="BM456" s="211"/>
      <c r="BN456" s="211"/>
      <c r="BO456" s="212">
        <f t="shared" si="471"/>
        <v>0</v>
      </c>
      <c r="BP456" s="201">
        <f t="shared" si="472"/>
        <v>1000.0900000000256</v>
      </c>
      <c r="BQ456" s="201">
        <f t="shared" si="445"/>
        <v>1000.0900000000256</v>
      </c>
      <c r="BR456" s="201">
        <f t="shared" si="476"/>
        <v>0</v>
      </c>
      <c r="BS456" s="201">
        <f t="shared" si="476"/>
        <v>1000.0900000000256</v>
      </c>
      <c r="BT456" s="201">
        <f t="shared" si="446"/>
        <v>1000.0900000000256</v>
      </c>
      <c r="BU456" s="213">
        <f t="shared" si="474"/>
        <v>0</v>
      </c>
      <c r="BV456" s="201"/>
      <c r="BW456" s="201"/>
      <c r="BX456" s="201">
        <f t="shared" si="447"/>
        <v>0</v>
      </c>
      <c r="BY456" s="199">
        <v>60000</v>
      </c>
      <c r="BZ456" s="199">
        <v>80000</v>
      </c>
      <c r="CA456" s="199">
        <v>80000</v>
      </c>
      <c r="CB456" s="199">
        <v>80000</v>
      </c>
      <c r="CC456" s="199">
        <v>80000</v>
      </c>
      <c r="CD456" s="199">
        <v>120000</v>
      </c>
      <c r="CE456" s="199">
        <v>0</v>
      </c>
      <c r="CF456" s="199">
        <v>0</v>
      </c>
      <c r="CG456" s="199">
        <v>0</v>
      </c>
      <c r="CH456" s="199">
        <v>0</v>
      </c>
      <c r="CI456" s="199">
        <v>0</v>
      </c>
      <c r="CJ456" s="199"/>
      <c r="CK456" s="214" t="s">
        <v>1171</v>
      </c>
      <c r="CL456" s="214" t="s">
        <v>610</v>
      </c>
      <c r="CM456" s="211">
        <v>198</v>
      </c>
      <c r="CN456" s="215"/>
      <c r="CO456" s="215"/>
      <c r="CP456" s="216"/>
      <c r="CQ456" s="217"/>
      <c r="CR456" s="211"/>
      <c r="CS456" s="218"/>
      <c r="CT456" s="218"/>
      <c r="CU456" s="218"/>
      <c r="CV456" s="211"/>
      <c r="CW456" s="211"/>
      <c r="CX456" s="211"/>
      <c r="CY456" s="211"/>
      <c r="CZ456" s="211"/>
      <c r="DA456" s="211"/>
      <c r="DB456" s="211"/>
      <c r="DC456" s="219"/>
      <c r="DD456" s="219"/>
      <c r="DE456" s="219"/>
      <c r="DF456" s="211"/>
      <c r="DG456" s="211"/>
      <c r="DH456" s="211"/>
      <c r="DI456" s="211"/>
      <c r="DJ456" s="211"/>
      <c r="DK456" s="220" t="s">
        <v>32</v>
      </c>
      <c r="DT456" s="222"/>
    </row>
    <row r="457" spans="1:124" s="176" customFormat="1" ht="63" x14ac:dyDescent="0.2">
      <c r="A457" s="225" t="s">
        <v>197</v>
      </c>
      <c r="B457" s="197" t="s">
        <v>1172</v>
      </c>
      <c r="C457" s="198">
        <v>1</v>
      </c>
      <c r="D457" s="199">
        <v>550000</v>
      </c>
      <c r="E457" s="198" t="s">
        <v>259</v>
      </c>
      <c r="F457" s="198" t="s">
        <v>150</v>
      </c>
      <c r="G457" s="198" t="s">
        <v>151</v>
      </c>
      <c r="H457" s="200">
        <v>1</v>
      </c>
      <c r="I457" s="199">
        <f t="shared" si="448"/>
        <v>0</v>
      </c>
      <c r="J457" s="199">
        <f t="shared" si="449"/>
        <v>550000</v>
      </c>
      <c r="K457" s="199">
        <f t="shared" si="450"/>
        <v>550000</v>
      </c>
      <c r="L457" s="199"/>
      <c r="M457" s="199">
        <v>550000</v>
      </c>
      <c r="N457" s="199">
        <f t="shared" si="451"/>
        <v>550000</v>
      </c>
      <c r="O457" s="199"/>
      <c r="P457" s="201">
        <v>0</v>
      </c>
      <c r="Q457" s="202">
        <v>15</v>
      </c>
      <c r="R457" s="203">
        <v>45566</v>
      </c>
      <c r="S457" s="199"/>
      <c r="T457" s="199">
        <v>550000</v>
      </c>
      <c r="U457" s="204">
        <f t="shared" si="452"/>
        <v>550000</v>
      </c>
      <c r="V457" s="205"/>
      <c r="W457" s="200"/>
      <c r="X457" s="201"/>
      <c r="Y457" s="201"/>
      <c r="Z457" s="201">
        <f t="shared" si="453"/>
        <v>0</v>
      </c>
      <c r="AA457" s="198"/>
      <c r="AB457" s="206"/>
      <c r="AC457" s="207"/>
      <c r="AD457" s="201"/>
      <c r="AE457" s="204">
        <f t="shared" si="454"/>
        <v>0</v>
      </c>
      <c r="AF457" s="203">
        <f t="shared" si="455"/>
        <v>45566</v>
      </c>
      <c r="AG457" s="201">
        <f t="shared" si="456"/>
        <v>0</v>
      </c>
      <c r="AH457" s="201">
        <f t="shared" si="457"/>
        <v>550000</v>
      </c>
      <c r="AI457" s="199">
        <f t="shared" si="458"/>
        <v>550000</v>
      </c>
      <c r="AJ457" s="201">
        <f t="shared" si="477"/>
        <v>0</v>
      </c>
      <c r="AK457" s="201">
        <f t="shared" si="477"/>
        <v>550000</v>
      </c>
      <c r="AL457" s="201">
        <f t="shared" si="459"/>
        <v>550000</v>
      </c>
      <c r="AM457" s="198"/>
      <c r="AN457" s="203"/>
      <c r="AO457" s="208"/>
      <c r="AP457" s="201">
        <f t="shared" si="460"/>
        <v>0</v>
      </c>
      <c r="AQ457" s="201">
        <f t="shared" si="461"/>
        <v>548203.35</v>
      </c>
      <c r="AR457" s="201">
        <f t="shared" si="462"/>
        <v>548203.35</v>
      </c>
      <c r="AS457" s="201">
        <f t="shared" si="463"/>
        <v>99.673336363636366</v>
      </c>
      <c r="AT457" s="201"/>
      <c r="AU457" s="209">
        <v>548203.35</v>
      </c>
      <c r="AV457" s="201">
        <f t="shared" si="464"/>
        <v>548203.35</v>
      </c>
      <c r="AW457" s="201">
        <f t="shared" si="473"/>
        <v>0</v>
      </c>
      <c r="AX457" s="201">
        <f t="shared" si="465"/>
        <v>99.673336363636366</v>
      </c>
      <c r="AY457" s="208"/>
      <c r="AZ457" s="201">
        <f t="shared" si="466"/>
        <v>0</v>
      </c>
      <c r="BA457" s="201">
        <f t="shared" si="467"/>
        <v>0</v>
      </c>
      <c r="BB457" s="201">
        <f t="shared" si="468"/>
        <v>0</v>
      </c>
      <c r="BC457" s="201"/>
      <c r="BD457" s="209">
        <v>0</v>
      </c>
      <c r="BE457" s="201">
        <f t="shared" si="444"/>
        <v>0</v>
      </c>
      <c r="BF457" s="208"/>
      <c r="BG457" s="201">
        <f t="shared" si="475"/>
        <v>0</v>
      </c>
      <c r="BH457" s="201">
        <f t="shared" si="475"/>
        <v>548203.35</v>
      </c>
      <c r="BI457" s="201">
        <f t="shared" si="469"/>
        <v>548203.35</v>
      </c>
      <c r="BJ457" s="201">
        <f t="shared" si="470"/>
        <v>99.673336363636366</v>
      </c>
      <c r="BK457" s="210">
        <v>78.56</v>
      </c>
      <c r="BL457" s="210">
        <v>100</v>
      </c>
      <c r="BM457" s="211"/>
      <c r="BN457" s="211"/>
      <c r="BO457" s="212">
        <f t="shared" si="471"/>
        <v>0</v>
      </c>
      <c r="BP457" s="201">
        <f t="shared" si="472"/>
        <v>1796.6500000000233</v>
      </c>
      <c r="BQ457" s="201">
        <f t="shared" si="445"/>
        <v>1796.6500000000233</v>
      </c>
      <c r="BR457" s="201">
        <f t="shared" si="476"/>
        <v>0</v>
      </c>
      <c r="BS457" s="201">
        <f t="shared" si="476"/>
        <v>1796.6500000000233</v>
      </c>
      <c r="BT457" s="201">
        <f t="shared" si="446"/>
        <v>1796.6500000000233</v>
      </c>
      <c r="BU457" s="213">
        <f t="shared" si="474"/>
        <v>0</v>
      </c>
      <c r="BV457" s="201"/>
      <c r="BW457" s="201"/>
      <c r="BX457" s="201">
        <f t="shared" si="447"/>
        <v>0</v>
      </c>
      <c r="BY457" s="199">
        <v>82500</v>
      </c>
      <c r="BZ457" s="199">
        <v>220000</v>
      </c>
      <c r="CA457" s="199">
        <v>192500</v>
      </c>
      <c r="CB457" s="199">
        <v>55000</v>
      </c>
      <c r="CC457" s="199">
        <v>0</v>
      </c>
      <c r="CD457" s="199">
        <v>0</v>
      </c>
      <c r="CE457" s="199">
        <v>0</v>
      </c>
      <c r="CF457" s="199">
        <v>0</v>
      </c>
      <c r="CG457" s="199">
        <v>0</v>
      </c>
      <c r="CH457" s="199">
        <v>0</v>
      </c>
      <c r="CI457" s="199">
        <v>0</v>
      </c>
      <c r="CJ457" s="199"/>
      <c r="CK457" s="214" t="s">
        <v>1173</v>
      </c>
      <c r="CL457" s="214" t="s">
        <v>610</v>
      </c>
      <c r="CM457" s="211">
        <v>198</v>
      </c>
      <c r="CN457" s="215"/>
      <c r="CO457" s="215"/>
      <c r="CP457" s="216"/>
      <c r="CQ457" s="217"/>
      <c r="CR457" s="211"/>
      <c r="CS457" s="218"/>
      <c r="CT457" s="218"/>
      <c r="CU457" s="218"/>
      <c r="CV457" s="211"/>
      <c r="CW457" s="211"/>
      <c r="CX457" s="211"/>
      <c r="CY457" s="211"/>
      <c r="CZ457" s="211"/>
      <c r="DA457" s="211"/>
      <c r="DB457" s="211"/>
      <c r="DC457" s="219"/>
      <c r="DD457" s="219"/>
      <c r="DE457" s="219"/>
      <c r="DF457" s="211"/>
      <c r="DG457" s="211"/>
      <c r="DH457" s="211"/>
      <c r="DI457" s="211"/>
      <c r="DJ457" s="211"/>
      <c r="DK457" s="220" t="s">
        <v>32</v>
      </c>
      <c r="DT457" s="222"/>
    </row>
    <row r="458" spans="1:124" s="176" customFormat="1" ht="63" x14ac:dyDescent="0.2">
      <c r="A458" s="225" t="s">
        <v>197</v>
      </c>
      <c r="B458" s="197" t="s">
        <v>1174</v>
      </c>
      <c r="C458" s="198">
        <v>1</v>
      </c>
      <c r="D458" s="199">
        <v>400000</v>
      </c>
      <c r="E458" s="198" t="s">
        <v>206</v>
      </c>
      <c r="F458" s="198" t="s">
        <v>150</v>
      </c>
      <c r="G458" s="198" t="s">
        <v>151</v>
      </c>
      <c r="H458" s="200">
        <v>1</v>
      </c>
      <c r="I458" s="199">
        <f t="shared" si="448"/>
        <v>0</v>
      </c>
      <c r="J458" s="199">
        <f t="shared" si="449"/>
        <v>400000</v>
      </c>
      <c r="K458" s="199">
        <f t="shared" si="450"/>
        <v>400000</v>
      </c>
      <c r="L458" s="199"/>
      <c r="M458" s="199">
        <v>400000</v>
      </c>
      <c r="N458" s="199">
        <f t="shared" si="451"/>
        <v>400000</v>
      </c>
      <c r="O458" s="199"/>
      <c r="P458" s="201">
        <v>0</v>
      </c>
      <c r="Q458" s="202">
        <v>15</v>
      </c>
      <c r="R458" s="203">
        <v>45566</v>
      </c>
      <c r="S458" s="199"/>
      <c r="T458" s="199">
        <v>400000</v>
      </c>
      <c r="U458" s="204">
        <f t="shared" si="452"/>
        <v>400000</v>
      </c>
      <c r="V458" s="205"/>
      <c r="W458" s="200"/>
      <c r="X458" s="201"/>
      <c r="Y458" s="201"/>
      <c r="Z458" s="201">
        <f t="shared" si="453"/>
        <v>0</v>
      </c>
      <c r="AA458" s="198"/>
      <c r="AB458" s="206"/>
      <c r="AC458" s="207"/>
      <c r="AD458" s="201"/>
      <c r="AE458" s="204">
        <f t="shared" si="454"/>
        <v>0</v>
      </c>
      <c r="AF458" s="203">
        <f t="shared" si="455"/>
        <v>45566</v>
      </c>
      <c r="AG458" s="201">
        <f t="shared" si="456"/>
        <v>0</v>
      </c>
      <c r="AH458" s="201">
        <f t="shared" si="457"/>
        <v>400000</v>
      </c>
      <c r="AI458" s="199">
        <f t="shared" si="458"/>
        <v>400000</v>
      </c>
      <c r="AJ458" s="201">
        <f t="shared" si="477"/>
        <v>0</v>
      </c>
      <c r="AK458" s="201">
        <f t="shared" si="477"/>
        <v>400000</v>
      </c>
      <c r="AL458" s="201">
        <f t="shared" si="459"/>
        <v>400000</v>
      </c>
      <c r="AM458" s="198"/>
      <c r="AN458" s="203"/>
      <c r="AO458" s="208"/>
      <c r="AP458" s="201">
        <f t="shared" si="460"/>
        <v>0</v>
      </c>
      <c r="AQ458" s="201">
        <f t="shared" si="461"/>
        <v>398258.58</v>
      </c>
      <c r="AR458" s="201">
        <f t="shared" si="462"/>
        <v>398258.58</v>
      </c>
      <c r="AS458" s="201">
        <f t="shared" si="463"/>
        <v>99.564644999999999</v>
      </c>
      <c r="AT458" s="201"/>
      <c r="AU458" s="209">
        <v>398258.58</v>
      </c>
      <c r="AV458" s="201">
        <f t="shared" si="464"/>
        <v>398258.58</v>
      </c>
      <c r="AW458" s="201">
        <f t="shared" si="473"/>
        <v>0</v>
      </c>
      <c r="AX458" s="201">
        <f t="shared" si="465"/>
        <v>99.564644999999999</v>
      </c>
      <c r="AY458" s="208"/>
      <c r="AZ458" s="201">
        <f t="shared" si="466"/>
        <v>0</v>
      </c>
      <c r="BA458" s="201">
        <f t="shared" si="467"/>
        <v>0</v>
      </c>
      <c r="BB458" s="201">
        <f t="shared" si="468"/>
        <v>0</v>
      </c>
      <c r="BC458" s="201"/>
      <c r="BD458" s="209">
        <v>0</v>
      </c>
      <c r="BE458" s="201">
        <f t="shared" si="444"/>
        <v>0</v>
      </c>
      <c r="BF458" s="208"/>
      <c r="BG458" s="201">
        <f t="shared" si="475"/>
        <v>0</v>
      </c>
      <c r="BH458" s="201">
        <f t="shared" si="475"/>
        <v>398258.58</v>
      </c>
      <c r="BI458" s="201">
        <f t="shared" si="469"/>
        <v>398258.58</v>
      </c>
      <c r="BJ458" s="201">
        <f t="shared" si="470"/>
        <v>99.564644999999999</v>
      </c>
      <c r="BK458" s="210">
        <v>76.5</v>
      </c>
      <c r="BL458" s="210">
        <v>100</v>
      </c>
      <c r="BM458" s="211"/>
      <c r="BN458" s="211"/>
      <c r="BO458" s="212">
        <f t="shared" si="471"/>
        <v>0</v>
      </c>
      <c r="BP458" s="201">
        <f t="shared" si="472"/>
        <v>1741.4199999999837</v>
      </c>
      <c r="BQ458" s="201">
        <f t="shared" si="445"/>
        <v>1741.4199999999837</v>
      </c>
      <c r="BR458" s="201">
        <f t="shared" si="476"/>
        <v>0</v>
      </c>
      <c r="BS458" s="201">
        <f t="shared" si="476"/>
        <v>1741.4199999999837</v>
      </c>
      <c r="BT458" s="201">
        <f t="shared" si="446"/>
        <v>1741.4199999999837</v>
      </c>
      <c r="BU458" s="213">
        <f t="shared" si="474"/>
        <v>0</v>
      </c>
      <c r="BV458" s="201"/>
      <c r="BW458" s="201"/>
      <c r="BX458" s="201">
        <f t="shared" si="447"/>
        <v>0</v>
      </c>
      <c r="BY458" s="199">
        <v>40000</v>
      </c>
      <c r="BZ458" s="199">
        <v>60000</v>
      </c>
      <c r="CA458" s="199">
        <v>60000</v>
      </c>
      <c r="CB458" s="199">
        <v>80000</v>
      </c>
      <c r="CC458" s="199">
        <v>80000</v>
      </c>
      <c r="CD458" s="199">
        <v>80000</v>
      </c>
      <c r="CE458" s="199">
        <v>0</v>
      </c>
      <c r="CF458" s="199">
        <v>0</v>
      </c>
      <c r="CG458" s="199">
        <v>0</v>
      </c>
      <c r="CH458" s="199">
        <v>0</v>
      </c>
      <c r="CI458" s="199">
        <v>0</v>
      </c>
      <c r="CJ458" s="199"/>
      <c r="CK458" s="214" t="s">
        <v>1175</v>
      </c>
      <c r="CL458" s="214" t="s">
        <v>610</v>
      </c>
      <c r="CM458" s="211">
        <v>198</v>
      </c>
      <c r="CN458" s="215"/>
      <c r="CO458" s="215"/>
      <c r="CP458" s="216"/>
      <c r="CQ458" s="217"/>
      <c r="CR458" s="211"/>
      <c r="CS458" s="218"/>
      <c r="CT458" s="218"/>
      <c r="CU458" s="218"/>
      <c r="CV458" s="211"/>
      <c r="CW458" s="211"/>
      <c r="CX458" s="211"/>
      <c r="CY458" s="211"/>
      <c r="CZ458" s="211"/>
      <c r="DA458" s="211"/>
      <c r="DB458" s="211"/>
      <c r="DC458" s="219"/>
      <c r="DD458" s="219"/>
      <c r="DE458" s="219"/>
      <c r="DF458" s="211"/>
      <c r="DG458" s="211"/>
      <c r="DH458" s="211"/>
      <c r="DI458" s="211"/>
      <c r="DJ458" s="211"/>
      <c r="DK458" s="220" t="s">
        <v>32</v>
      </c>
      <c r="DT458" s="222"/>
    </row>
    <row r="459" spans="1:124" s="176" customFormat="1" ht="42" x14ac:dyDescent="0.2">
      <c r="A459" s="225" t="s">
        <v>197</v>
      </c>
      <c r="B459" s="197" t="s">
        <v>1176</v>
      </c>
      <c r="C459" s="198">
        <v>1</v>
      </c>
      <c r="D459" s="199">
        <v>1600000</v>
      </c>
      <c r="E459" s="198" t="s">
        <v>149</v>
      </c>
      <c r="F459" s="198" t="s">
        <v>150</v>
      </c>
      <c r="G459" s="198" t="s">
        <v>151</v>
      </c>
      <c r="H459" s="200">
        <v>1</v>
      </c>
      <c r="I459" s="199">
        <f t="shared" si="448"/>
        <v>0</v>
      </c>
      <c r="J459" s="199">
        <f t="shared" si="449"/>
        <v>1600000</v>
      </c>
      <c r="K459" s="199">
        <f t="shared" si="450"/>
        <v>1600000</v>
      </c>
      <c r="L459" s="199"/>
      <c r="M459" s="199">
        <v>1600000</v>
      </c>
      <c r="N459" s="199">
        <f t="shared" si="451"/>
        <v>1600000</v>
      </c>
      <c r="O459" s="199"/>
      <c r="P459" s="201">
        <v>0</v>
      </c>
      <c r="Q459" s="202">
        <v>15</v>
      </c>
      <c r="R459" s="203">
        <v>45566</v>
      </c>
      <c r="S459" s="199"/>
      <c r="T459" s="199">
        <v>1600000</v>
      </c>
      <c r="U459" s="204">
        <f t="shared" si="452"/>
        <v>1600000</v>
      </c>
      <c r="V459" s="205"/>
      <c r="W459" s="200"/>
      <c r="X459" s="201"/>
      <c r="Y459" s="201"/>
      <c r="Z459" s="201">
        <f t="shared" si="453"/>
        <v>0</v>
      </c>
      <c r="AA459" s="198"/>
      <c r="AB459" s="206"/>
      <c r="AC459" s="207"/>
      <c r="AD459" s="201"/>
      <c r="AE459" s="204">
        <f t="shared" si="454"/>
        <v>0</v>
      </c>
      <c r="AF459" s="203">
        <f t="shared" si="455"/>
        <v>45566</v>
      </c>
      <c r="AG459" s="201">
        <f t="shared" si="456"/>
        <v>0</v>
      </c>
      <c r="AH459" s="201">
        <f t="shared" si="457"/>
        <v>1600000</v>
      </c>
      <c r="AI459" s="199">
        <f t="shared" si="458"/>
        <v>1600000</v>
      </c>
      <c r="AJ459" s="201">
        <f t="shared" si="477"/>
        <v>0</v>
      </c>
      <c r="AK459" s="201">
        <f t="shared" si="477"/>
        <v>1600000</v>
      </c>
      <c r="AL459" s="201">
        <f t="shared" si="459"/>
        <v>1600000</v>
      </c>
      <c r="AM459" s="198"/>
      <c r="AN459" s="203"/>
      <c r="AO459" s="208"/>
      <c r="AP459" s="201">
        <f t="shared" si="460"/>
        <v>0</v>
      </c>
      <c r="AQ459" s="201">
        <f t="shared" si="461"/>
        <v>1597207.9</v>
      </c>
      <c r="AR459" s="201">
        <f t="shared" si="462"/>
        <v>1597207.9</v>
      </c>
      <c r="AS459" s="201">
        <f t="shared" si="463"/>
        <v>99.825493750000007</v>
      </c>
      <c r="AT459" s="201"/>
      <c r="AU459" s="209">
        <v>1597207.9</v>
      </c>
      <c r="AV459" s="201">
        <f t="shared" si="464"/>
        <v>1597207.9</v>
      </c>
      <c r="AW459" s="201">
        <f t="shared" si="473"/>
        <v>10</v>
      </c>
      <c r="AX459" s="201">
        <f t="shared" si="465"/>
        <v>99.825493750000007</v>
      </c>
      <c r="AY459" s="208"/>
      <c r="AZ459" s="201">
        <f t="shared" si="466"/>
        <v>0</v>
      </c>
      <c r="BA459" s="201">
        <f t="shared" si="467"/>
        <v>0</v>
      </c>
      <c r="BB459" s="201">
        <f t="shared" si="468"/>
        <v>0</v>
      </c>
      <c r="BC459" s="201"/>
      <c r="BD459" s="209">
        <v>0</v>
      </c>
      <c r="BE459" s="201">
        <f t="shared" si="444"/>
        <v>0</v>
      </c>
      <c r="BF459" s="208"/>
      <c r="BG459" s="201">
        <f t="shared" si="475"/>
        <v>0</v>
      </c>
      <c r="BH459" s="201">
        <f t="shared" si="475"/>
        <v>1597207.9</v>
      </c>
      <c r="BI459" s="201">
        <f t="shared" si="469"/>
        <v>1597207.9</v>
      </c>
      <c r="BJ459" s="201">
        <f t="shared" si="470"/>
        <v>99.825493750000007</v>
      </c>
      <c r="BK459" s="210">
        <v>59.53</v>
      </c>
      <c r="BL459" s="210">
        <v>100</v>
      </c>
      <c r="BM459" s="211"/>
      <c r="BN459" s="211"/>
      <c r="BO459" s="212">
        <f t="shared" si="471"/>
        <v>0</v>
      </c>
      <c r="BP459" s="201">
        <f t="shared" si="472"/>
        <v>2792.1000000000931</v>
      </c>
      <c r="BQ459" s="201">
        <f t="shared" si="445"/>
        <v>2792.1000000000931</v>
      </c>
      <c r="BR459" s="201">
        <f t="shared" si="476"/>
        <v>0</v>
      </c>
      <c r="BS459" s="201">
        <f t="shared" si="476"/>
        <v>2792.1000000000931</v>
      </c>
      <c r="BT459" s="201">
        <f t="shared" si="446"/>
        <v>2792.1000000000931</v>
      </c>
      <c r="BU459" s="213">
        <f t="shared" si="474"/>
        <v>0</v>
      </c>
      <c r="BV459" s="201"/>
      <c r="BW459" s="201"/>
      <c r="BX459" s="201">
        <f t="shared" si="447"/>
        <v>0</v>
      </c>
      <c r="BY459" s="199">
        <v>160000</v>
      </c>
      <c r="BZ459" s="199">
        <v>160000</v>
      </c>
      <c r="CA459" s="199">
        <v>240000</v>
      </c>
      <c r="CB459" s="199">
        <v>240000</v>
      </c>
      <c r="CC459" s="199">
        <v>240000</v>
      </c>
      <c r="CD459" s="199">
        <v>160000</v>
      </c>
      <c r="CE459" s="199">
        <v>160000</v>
      </c>
      <c r="CF459" s="199">
        <v>160000</v>
      </c>
      <c r="CG459" s="199">
        <v>80000</v>
      </c>
      <c r="CH459" s="199">
        <v>0</v>
      </c>
      <c r="CI459" s="199">
        <v>0</v>
      </c>
      <c r="CJ459" s="199"/>
      <c r="CK459" s="214" t="s">
        <v>1177</v>
      </c>
      <c r="CL459" s="214" t="s">
        <v>610</v>
      </c>
      <c r="CM459" s="211">
        <v>198</v>
      </c>
      <c r="CN459" s="215"/>
      <c r="CO459" s="215"/>
      <c r="CP459" s="216"/>
      <c r="CQ459" s="217"/>
      <c r="CR459" s="211"/>
      <c r="CS459" s="218"/>
      <c r="CT459" s="218"/>
      <c r="CU459" s="218"/>
      <c r="CV459" s="211"/>
      <c r="CW459" s="211"/>
      <c r="CX459" s="211"/>
      <c r="CY459" s="211"/>
      <c r="CZ459" s="211"/>
      <c r="DA459" s="211"/>
      <c r="DB459" s="211"/>
      <c r="DC459" s="219"/>
      <c r="DD459" s="219"/>
      <c r="DE459" s="219"/>
      <c r="DF459" s="211"/>
      <c r="DG459" s="211"/>
      <c r="DH459" s="211"/>
      <c r="DI459" s="211"/>
      <c r="DJ459" s="211"/>
      <c r="DK459" s="220" t="s">
        <v>32</v>
      </c>
      <c r="DT459" s="222"/>
    </row>
    <row r="460" spans="1:124" s="176" customFormat="1" ht="42" x14ac:dyDescent="0.2">
      <c r="A460" s="225" t="s">
        <v>197</v>
      </c>
      <c r="B460" s="197" t="s">
        <v>1178</v>
      </c>
      <c r="C460" s="198">
        <v>1</v>
      </c>
      <c r="D460" s="199">
        <v>265000</v>
      </c>
      <c r="E460" s="198" t="s">
        <v>267</v>
      </c>
      <c r="F460" s="198" t="s">
        <v>150</v>
      </c>
      <c r="G460" s="198" t="s">
        <v>151</v>
      </c>
      <c r="H460" s="200">
        <v>1</v>
      </c>
      <c r="I460" s="199">
        <f t="shared" si="448"/>
        <v>0</v>
      </c>
      <c r="J460" s="199">
        <f t="shared" si="449"/>
        <v>265000</v>
      </c>
      <c r="K460" s="199">
        <f t="shared" si="450"/>
        <v>265000</v>
      </c>
      <c r="L460" s="199"/>
      <c r="M460" s="199">
        <v>265000</v>
      </c>
      <c r="N460" s="199">
        <f t="shared" si="451"/>
        <v>265000</v>
      </c>
      <c r="O460" s="199"/>
      <c r="P460" s="201">
        <v>0</v>
      </c>
      <c r="Q460" s="202">
        <v>15</v>
      </c>
      <c r="R460" s="203">
        <v>45566</v>
      </c>
      <c r="S460" s="199"/>
      <c r="T460" s="199">
        <v>265000</v>
      </c>
      <c r="U460" s="204">
        <f t="shared" si="452"/>
        <v>265000</v>
      </c>
      <c r="V460" s="205"/>
      <c r="W460" s="200"/>
      <c r="X460" s="201"/>
      <c r="Y460" s="201"/>
      <c r="Z460" s="201">
        <f t="shared" si="453"/>
        <v>0</v>
      </c>
      <c r="AA460" s="198"/>
      <c r="AB460" s="206"/>
      <c r="AC460" s="207"/>
      <c r="AD460" s="201"/>
      <c r="AE460" s="204">
        <f t="shared" si="454"/>
        <v>0</v>
      </c>
      <c r="AF460" s="203">
        <f t="shared" si="455"/>
        <v>45566</v>
      </c>
      <c r="AG460" s="201">
        <f t="shared" si="456"/>
        <v>0</v>
      </c>
      <c r="AH460" s="201">
        <f t="shared" si="457"/>
        <v>265000</v>
      </c>
      <c r="AI460" s="199">
        <f t="shared" si="458"/>
        <v>265000</v>
      </c>
      <c r="AJ460" s="201">
        <f t="shared" si="477"/>
        <v>0</v>
      </c>
      <c r="AK460" s="201">
        <f t="shared" si="477"/>
        <v>265000</v>
      </c>
      <c r="AL460" s="201">
        <f t="shared" si="459"/>
        <v>265000</v>
      </c>
      <c r="AM460" s="198"/>
      <c r="AN460" s="203"/>
      <c r="AO460" s="208"/>
      <c r="AP460" s="201">
        <f t="shared" si="460"/>
        <v>0</v>
      </c>
      <c r="AQ460" s="201">
        <f t="shared" si="461"/>
        <v>263652.75</v>
      </c>
      <c r="AR460" s="201">
        <f t="shared" si="462"/>
        <v>263652.75</v>
      </c>
      <c r="AS460" s="201">
        <f t="shared" si="463"/>
        <v>99.491603773584899</v>
      </c>
      <c r="AT460" s="201"/>
      <c r="AU460" s="209">
        <v>263652.75</v>
      </c>
      <c r="AV460" s="201">
        <f t="shared" si="464"/>
        <v>263652.75</v>
      </c>
      <c r="AW460" s="201">
        <f t="shared" si="473"/>
        <v>0</v>
      </c>
      <c r="AX460" s="201">
        <f t="shared" si="465"/>
        <v>99.491603773584899</v>
      </c>
      <c r="AY460" s="208"/>
      <c r="AZ460" s="201">
        <f t="shared" si="466"/>
        <v>0</v>
      </c>
      <c r="BA460" s="201">
        <f t="shared" si="467"/>
        <v>0</v>
      </c>
      <c r="BB460" s="201">
        <f t="shared" si="468"/>
        <v>0</v>
      </c>
      <c r="BC460" s="201"/>
      <c r="BD460" s="209">
        <v>0</v>
      </c>
      <c r="BE460" s="201">
        <f t="shared" si="444"/>
        <v>0</v>
      </c>
      <c r="BF460" s="208"/>
      <c r="BG460" s="201">
        <f t="shared" si="475"/>
        <v>0</v>
      </c>
      <c r="BH460" s="201">
        <f t="shared" si="475"/>
        <v>263652.75</v>
      </c>
      <c r="BI460" s="201">
        <f t="shared" si="469"/>
        <v>263652.75</v>
      </c>
      <c r="BJ460" s="201">
        <f t="shared" si="470"/>
        <v>99.491603773584899</v>
      </c>
      <c r="BK460" s="210">
        <v>25</v>
      </c>
      <c r="BL460" s="210">
        <v>100</v>
      </c>
      <c r="BM460" s="211"/>
      <c r="BN460" s="211"/>
      <c r="BO460" s="212">
        <f t="shared" si="471"/>
        <v>0</v>
      </c>
      <c r="BP460" s="201">
        <f t="shared" si="472"/>
        <v>1347.25</v>
      </c>
      <c r="BQ460" s="201">
        <f t="shared" si="445"/>
        <v>1347.25</v>
      </c>
      <c r="BR460" s="201">
        <f t="shared" si="476"/>
        <v>0</v>
      </c>
      <c r="BS460" s="201">
        <f t="shared" si="476"/>
        <v>1347.25</v>
      </c>
      <c r="BT460" s="201">
        <f t="shared" si="446"/>
        <v>1347.25</v>
      </c>
      <c r="BU460" s="213">
        <f t="shared" si="474"/>
        <v>0</v>
      </c>
      <c r="BV460" s="201"/>
      <c r="BW460" s="201"/>
      <c r="BX460" s="201">
        <f t="shared" si="447"/>
        <v>0</v>
      </c>
      <c r="BY460" s="199">
        <v>130000</v>
      </c>
      <c r="BZ460" s="199">
        <v>50000</v>
      </c>
      <c r="CA460" s="199">
        <v>50000</v>
      </c>
      <c r="CB460" s="199">
        <v>35000</v>
      </c>
      <c r="CC460" s="199">
        <v>0</v>
      </c>
      <c r="CD460" s="199">
        <v>0</v>
      </c>
      <c r="CE460" s="199">
        <v>0</v>
      </c>
      <c r="CF460" s="199">
        <v>0</v>
      </c>
      <c r="CG460" s="199">
        <v>0</v>
      </c>
      <c r="CH460" s="199">
        <v>0</v>
      </c>
      <c r="CI460" s="199">
        <v>0</v>
      </c>
      <c r="CJ460" s="199"/>
      <c r="CK460" s="214" t="s">
        <v>1179</v>
      </c>
      <c r="CL460" s="214" t="s">
        <v>610</v>
      </c>
      <c r="CM460" s="211">
        <v>198</v>
      </c>
      <c r="CN460" s="215"/>
      <c r="CO460" s="215"/>
      <c r="CP460" s="216"/>
      <c r="CQ460" s="217"/>
      <c r="CR460" s="211"/>
      <c r="CS460" s="218"/>
      <c r="CT460" s="218"/>
      <c r="CU460" s="218"/>
      <c r="CV460" s="211"/>
      <c r="CW460" s="211"/>
      <c r="CX460" s="211"/>
      <c r="CY460" s="211"/>
      <c r="CZ460" s="211"/>
      <c r="DA460" s="211"/>
      <c r="DB460" s="211"/>
      <c r="DC460" s="219"/>
      <c r="DD460" s="219"/>
      <c r="DE460" s="219"/>
      <c r="DF460" s="211"/>
      <c r="DG460" s="211"/>
      <c r="DH460" s="211"/>
      <c r="DI460" s="211"/>
      <c r="DJ460" s="211"/>
      <c r="DK460" s="220" t="s">
        <v>32</v>
      </c>
      <c r="DT460" s="222"/>
    </row>
    <row r="461" spans="1:124" s="176" customFormat="1" ht="42" x14ac:dyDescent="0.2">
      <c r="A461" s="225" t="s">
        <v>197</v>
      </c>
      <c r="B461" s="197" t="s">
        <v>1180</v>
      </c>
      <c r="C461" s="198">
        <v>1</v>
      </c>
      <c r="D461" s="199">
        <v>634000</v>
      </c>
      <c r="E461" s="198" t="s">
        <v>149</v>
      </c>
      <c r="F461" s="198" t="s">
        <v>150</v>
      </c>
      <c r="G461" s="198" t="s">
        <v>151</v>
      </c>
      <c r="H461" s="200">
        <v>1</v>
      </c>
      <c r="I461" s="199">
        <f t="shared" si="448"/>
        <v>0</v>
      </c>
      <c r="J461" s="199">
        <f t="shared" si="449"/>
        <v>634000</v>
      </c>
      <c r="K461" s="199">
        <f t="shared" si="450"/>
        <v>634000</v>
      </c>
      <c r="L461" s="199"/>
      <c r="M461" s="199">
        <v>634000</v>
      </c>
      <c r="N461" s="199">
        <f t="shared" si="451"/>
        <v>634000</v>
      </c>
      <c r="O461" s="199"/>
      <c r="P461" s="201">
        <v>0</v>
      </c>
      <c r="Q461" s="202">
        <v>15</v>
      </c>
      <c r="R461" s="203">
        <v>45566</v>
      </c>
      <c r="S461" s="199"/>
      <c r="T461" s="199">
        <v>634000</v>
      </c>
      <c r="U461" s="204">
        <f t="shared" si="452"/>
        <v>634000</v>
      </c>
      <c r="V461" s="205"/>
      <c r="W461" s="200"/>
      <c r="X461" s="201"/>
      <c r="Y461" s="201"/>
      <c r="Z461" s="201">
        <f t="shared" si="453"/>
        <v>0</v>
      </c>
      <c r="AA461" s="198"/>
      <c r="AB461" s="206"/>
      <c r="AC461" s="207"/>
      <c r="AD461" s="201"/>
      <c r="AE461" s="204">
        <f t="shared" si="454"/>
        <v>0</v>
      </c>
      <c r="AF461" s="203">
        <f t="shared" si="455"/>
        <v>45566</v>
      </c>
      <c r="AG461" s="201">
        <f t="shared" si="456"/>
        <v>0</v>
      </c>
      <c r="AH461" s="201">
        <f t="shared" si="457"/>
        <v>634000</v>
      </c>
      <c r="AI461" s="199">
        <f t="shared" si="458"/>
        <v>634000</v>
      </c>
      <c r="AJ461" s="201">
        <f t="shared" si="477"/>
        <v>0</v>
      </c>
      <c r="AK461" s="201">
        <f t="shared" si="477"/>
        <v>634000</v>
      </c>
      <c r="AL461" s="201">
        <f t="shared" si="459"/>
        <v>634000</v>
      </c>
      <c r="AM461" s="198"/>
      <c r="AN461" s="203"/>
      <c r="AO461" s="208"/>
      <c r="AP461" s="201">
        <f t="shared" si="460"/>
        <v>0</v>
      </c>
      <c r="AQ461" s="201">
        <f t="shared" si="461"/>
        <v>633317.4</v>
      </c>
      <c r="AR461" s="201">
        <f t="shared" si="462"/>
        <v>633317.4</v>
      </c>
      <c r="AS461" s="201">
        <f t="shared" si="463"/>
        <v>99.892334384858046</v>
      </c>
      <c r="AT461" s="201"/>
      <c r="AU461" s="209">
        <v>633317.4</v>
      </c>
      <c r="AV461" s="201">
        <f t="shared" si="464"/>
        <v>633317.4</v>
      </c>
      <c r="AW461" s="201">
        <f t="shared" si="473"/>
        <v>0</v>
      </c>
      <c r="AX461" s="201">
        <f t="shared" si="465"/>
        <v>99.892334384858046</v>
      </c>
      <c r="AY461" s="208"/>
      <c r="AZ461" s="201">
        <f t="shared" si="466"/>
        <v>0</v>
      </c>
      <c r="BA461" s="201">
        <f t="shared" si="467"/>
        <v>0</v>
      </c>
      <c r="BB461" s="201">
        <f t="shared" si="468"/>
        <v>0</v>
      </c>
      <c r="BC461" s="201"/>
      <c r="BD461" s="209">
        <v>0</v>
      </c>
      <c r="BE461" s="201">
        <f t="shared" si="444"/>
        <v>0</v>
      </c>
      <c r="BF461" s="208"/>
      <c r="BG461" s="201">
        <f t="shared" si="475"/>
        <v>0</v>
      </c>
      <c r="BH461" s="201">
        <f t="shared" si="475"/>
        <v>633317.4</v>
      </c>
      <c r="BI461" s="201">
        <f t="shared" si="469"/>
        <v>633317.4</v>
      </c>
      <c r="BJ461" s="201">
        <f t="shared" si="470"/>
        <v>99.892334384858046</v>
      </c>
      <c r="BK461" s="210">
        <v>20</v>
      </c>
      <c r="BL461" s="210">
        <v>95</v>
      </c>
      <c r="BM461" s="211"/>
      <c r="BN461" s="211"/>
      <c r="BO461" s="212">
        <f t="shared" si="471"/>
        <v>0</v>
      </c>
      <c r="BP461" s="201">
        <f t="shared" si="472"/>
        <v>682.59999999997672</v>
      </c>
      <c r="BQ461" s="201">
        <f t="shared" si="445"/>
        <v>682.59999999997672</v>
      </c>
      <c r="BR461" s="201">
        <f t="shared" si="476"/>
        <v>0</v>
      </c>
      <c r="BS461" s="201">
        <f t="shared" si="476"/>
        <v>682.59999999997672</v>
      </c>
      <c r="BT461" s="201">
        <f t="shared" si="446"/>
        <v>682.59999999997672</v>
      </c>
      <c r="BU461" s="213">
        <f t="shared" si="474"/>
        <v>0</v>
      </c>
      <c r="BV461" s="201"/>
      <c r="BW461" s="201"/>
      <c r="BX461" s="201">
        <f t="shared" si="447"/>
        <v>0</v>
      </c>
      <c r="BY461" s="199">
        <v>300000</v>
      </c>
      <c r="BZ461" s="199">
        <v>100000</v>
      </c>
      <c r="CA461" s="199">
        <v>64000</v>
      </c>
      <c r="CB461" s="199">
        <v>60000</v>
      </c>
      <c r="CC461" s="199">
        <v>60000</v>
      </c>
      <c r="CD461" s="199">
        <v>50000</v>
      </c>
      <c r="CE461" s="199">
        <v>0</v>
      </c>
      <c r="CF461" s="199">
        <v>0</v>
      </c>
      <c r="CG461" s="199">
        <v>0</v>
      </c>
      <c r="CH461" s="199">
        <v>0</v>
      </c>
      <c r="CI461" s="199">
        <v>0</v>
      </c>
      <c r="CJ461" s="199"/>
      <c r="CK461" s="214" t="s">
        <v>1181</v>
      </c>
      <c r="CL461" s="214" t="s">
        <v>610</v>
      </c>
      <c r="CM461" s="211">
        <v>198</v>
      </c>
      <c r="CN461" s="215"/>
      <c r="CO461" s="215"/>
      <c r="CP461" s="216"/>
      <c r="CQ461" s="217"/>
      <c r="CR461" s="211"/>
      <c r="CS461" s="218"/>
      <c r="CT461" s="218"/>
      <c r="CU461" s="218"/>
      <c r="CV461" s="211"/>
      <c r="CW461" s="211"/>
      <c r="CX461" s="211"/>
      <c r="CY461" s="211"/>
      <c r="CZ461" s="211"/>
      <c r="DA461" s="211"/>
      <c r="DB461" s="211"/>
      <c r="DC461" s="219"/>
      <c r="DD461" s="219"/>
      <c r="DE461" s="219"/>
      <c r="DF461" s="211"/>
      <c r="DG461" s="211"/>
      <c r="DH461" s="211"/>
      <c r="DI461" s="211"/>
      <c r="DJ461" s="211"/>
      <c r="DK461" s="220" t="s">
        <v>32</v>
      </c>
      <c r="DT461" s="222"/>
    </row>
    <row r="462" spans="1:124" s="176" customFormat="1" ht="42" x14ac:dyDescent="0.2">
      <c r="A462" s="225" t="s">
        <v>197</v>
      </c>
      <c r="B462" s="197" t="s">
        <v>1182</v>
      </c>
      <c r="C462" s="198">
        <v>1</v>
      </c>
      <c r="D462" s="199">
        <v>1212000</v>
      </c>
      <c r="E462" s="198" t="s">
        <v>1068</v>
      </c>
      <c r="F462" s="198" t="s">
        <v>150</v>
      </c>
      <c r="G462" s="198" t="s">
        <v>151</v>
      </c>
      <c r="H462" s="200">
        <v>1</v>
      </c>
      <c r="I462" s="199">
        <f t="shared" si="448"/>
        <v>0</v>
      </c>
      <c r="J462" s="199">
        <f t="shared" si="449"/>
        <v>1212000</v>
      </c>
      <c r="K462" s="199">
        <f t="shared" si="450"/>
        <v>1212000</v>
      </c>
      <c r="L462" s="199"/>
      <c r="M462" s="199">
        <v>1212000</v>
      </c>
      <c r="N462" s="199">
        <f t="shared" si="451"/>
        <v>1212000</v>
      </c>
      <c r="O462" s="199"/>
      <c r="P462" s="201">
        <v>0</v>
      </c>
      <c r="Q462" s="202">
        <v>15</v>
      </c>
      <c r="R462" s="203">
        <v>45566</v>
      </c>
      <c r="S462" s="199"/>
      <c r="T462" s="199">
        <v>1212000</v>
      </c>
      <c r="U462" s="204">
        <f t="shared" si="452"/>
        <v>1212000</v>
      </c>
      <c r="V462" s="205"/>
      <c r="W462" s="200"/>
      <c r="X462" s="201"/>
      <c r="Y462" s="201"/>
      <c r="Z462" s="201">
        <f t="shared" si="453"/>
        <v>0</v>
      </c>
      <c r="AA462" s="198"/>
      <c r="AB462" s="206"/>
      <c r="AC462" s="207"/>
      <c r="AD462" s="201"/>
      <c r="AE462" s="204">
        <f t="shared" si="454"/>
        <v>0</v>
      </c>
      <c r="AF462" s="203">
        <f t="shared" si="455"/>
        <v>45566</v>
      </c>
      <c r="AG462" s="201">
        <f t="shared" si="456"/>
        <v>0</v>
      </c>
      <c r="AH462" s="201">
        <f t="shared" si="457"/>
        <v>1212000</v>
      </c>
      <c r="AI462" s="199">
        <f t="shared" si="458"/>
        <v>1212000</v>
      </c>
      <c r="AJ462" s="201">
        <f t="shared" si="477"/>
        <v>0</v>
      </c>
      <c r="AK462" s="201">
        <f t="shared" si="477"/>
        <v>1212000</v>
      </c>
      <c r="AL462" s="201">
        <f t="shared" si="459"/>
        <v>1212000</v>
      </c>
      <c r="AM462" s="198"/>
      <c r="AN462" s="203"/>
      <c r="AO462" s="208"/>
      <c r="AP462" s="201">
        <f t="shared" si="460"/>
        <v>0</v>
      </c>
      <c r="AQ462" s="201">
        <f t="shared" si="461"/>
        <v>1211069.3500000001</v>
      </c>
      <c r="AR462" s="201">
        <f t="shared" si="462"/>
        <v>1211069.3500000001</v>
      </c>
      <c r="AS462" s="201">
        <f t="shared" si="463"/>
        <v>99.923213696369643</v>
      </c>
      <c r="AT462" s="201"/>
      <c r="AU462" s="209">
        <v>1211069.3500000001</v>
      </c>
      <c r="AV462" s="201">
        <f t="shared" si="464"/>
        <v>1211069.3500000001</v>
      </c>
      <c r="AW462" s="201">
        <f t="shared" si="473"/>
        <v>2.6402640264026402</v>
      </c>
      <c r="AX462" s="201">
        <f t="shared" si="465"/>
        <v>99.923213696369643</v>
      </c>
      <c r="AY462" s="208"/>
      <c r="AZ462" s="201">
        <f t="shared" si="466"/>
        <v>0</v>
      </c>
      <c r="BA462" s="201">
        <f t="shared" si="467"/>
        <v>0</v>
      </c>
      <c r="BB462" s="201">
        <f t="shared" si="468"/>
        <v>0</v>
      </c>
      <c r="BC462" s="201"/>
      <c r="BD462" s="209">
        <v>0</v>
      </c>
      <c r="BE462" s="201">
        <f t="shared" si="444"/>
        <v>0</v>
      </c>
      <c r="BF462" s="208"/>
      <c r="BG462" s="201">
        <f t="shared" si="475"/>
        <v>0</v>
      </c>
      <c r="BH462" s="201">
        <f t="shared" si="475"/>
        <v>1211069.3500000001</v>
      </c>
      <c r="BI462" s="201">
        <f t="shared" si="469"/>
        <v>1211069.3500000001</v>
      </c>
      <c r="BJ462" s="201">
        <f t="shared" si="470"/>
        <v>99.923213696369643</v>
      </c>
      <c r="BK462" s="210">
        <v>15</v>
      </c>
      <c r="BL462" s="210">
        <v>90</v>
      </c>
      <c r="BM462" s="211"/>
      <c r="BN462" s="211"/>
      <c r="BO462" s="212">
        <f t="shared" si="471"/>
        <v>0</v>
      </c>
      <c r="BP462" s="201">
        <f t="shared" si="472"/>
        <v>930.64999999990687</v>
      </c>
      <c r="BQ462" s="201">
        <f t="shared" si="445"/>
        <v>930.64999999990687</v>
      </c>
      <c r="BR462" s="201">
        <f t="shared" si="476"/>
        <v>0</v>
      </c>
      <c r="BS462" s="201">
        <f t="shared" si="476"/>
        <v>930.64999999990687</v>
      </c>
      <c r="BT462" s="201">
        <f t="shared" si="446"/>
        <v>930.64999999990687</v>
      </c>
      <c r="BU462" s="213">
        <f t="shared" si="474"/>
        <v>0</v>
      </c>
      <c r="BV462" s="201"/>
      <c r="BW462" s="201"/>
      <c r="BX462" s="201">
        <f t="shared" si="447"/>
        <v>0</v>
      </c>
      <c r="BY462" s="199">
        <v>600000</v>
      </c>
      <c r="BZ462" s="199">
        <v>200000</v>
      </c>
      <c r="CA462" s="199">
        <v>80000</v>
      </c>
      <c r="CB462" s="199">
        <v>90000</v>
      </c>
      <c r="CC462" s="199">
        <v>80000</v>
      </c>
      <c r="CD462" s="199">
        <v>70000</v>
      </c>
      <c r="CE462" s="199">
        <v>60000</v>
      </c>
      <c r="CF462" s="199">
        <v>32000</v>
      </c>
      <c r="CG462" s="199">
        <v>0</v>
      </c>
      <c r="CH462" s="199">
        <v>0</v>
      </c>
      <c r="CI462" s="199">
        <v>0</v>
      </c>
      <c r="CJ462" s="199"/>
      <c r="CK462" s="214" t="s">
        <v>1183</v>
      </c>
      <c r="CL462" s="214" t="s">
        <v>610</v>
      </c>
      <c r="CM462" s="211">
        <v>198</v>
      </c>
      <c r="CN462" s="215"/>
      <c r="CO462" s="215"/>
      <c r="CP462" s="216"/>
      <c r="CQ462" s="217"/>
      <c r="CR462" s="211"/>
      <c r="CS462" s="218"/>
      <c r="CT462" s="218"/>
      <c r="CU462" s="218"/>
      <c r="CV462" s="211"/>
      <c r="CW462" s="211"/>
      <c r="CX462" s="211"/>
      <c r="CY462" s="211"/>
      <c r="CZ462" s="211"/>
      <c r="DA462" s="211"/>
      <c r="DB462" s="211"/>
      <c r="DC462" s="219"/>
      <c r="DD462" s="219"/>
      <c r="DE462" s="219"/>
      <c r="DF462" s="211"/>
      <c r="DG462" s="211"/>
      <c r="DH462" s="211"/>
      <c r="DI462" s="211"/>
      <c r="DJ462" s="211"/>
      <c r="DK462" s="220" t="s">
        <v>32</v>
      </c>
      <c r="DT462" s="222"/>
    </row>
    <row r="463" spans="1:124" s="176" customFormat="1" ht="42" x14ac:dyDescent="0.2">
      <c r="A463" s="225" t="s">
        <v>197</v>
      </c>
      <c r="B463" s="197" t="s">
        <v>1184</v>
      </c>
      <c r="C463" s="198">
        <v>1</v>
      </c>
      <c r="D463" s="199">
        <v>790000</v>
      </c>
      <c r="E463" s="198" t="s">
        <v>259</v>
      </c>
      <c r="F463" s="198" t="s">
        <v>150</v>
      </c>
      <c r="G463" s="198" t="s">
        <v>151</v>
      </c>
      <c r="H463" s="200">
        <v>1</v>
      </c>
      <c r="I463" s="199">
        <f t="shared" si="448"/>
        <v>0</v>
      </c>
      <c r="J463" s="199">
        <f t="shared" si="449"/>
        <v>790000</v>
      </c>
      <c r="K463" s="199">
        <f t="shared" si="450"/>
        <v>790000</v>
      </c>
      <c r="L463" s="199"/>
      <c r="M463" s="199">
        <v>790000</v>
      </c>
      <c r="N463" s="199">
        <f t="shared" si="451"/>
        <v>790000</v>
      </c>
      <c r="O463" s="199"/>
      <c r="P463" s="201">
        <v>0</v>
      </c>
      <c r="Q463" s="202">
        <v>15</v>
      </c>
      <c r="R463" s="203">
        <v>45566</v>
      </c>
      <c r="S463" s="199"/>
      <c r="T463" s="199">
        <v>790000</v>
      </c>
      <c r="U463" s="204">
        <f t="shared" si="452"/>
        <v>790000</v>
      </c>
      <c r="V463" s="205"/>
      <c r="W463" s="200"/>
      <c r="X463" s="201"/>
      <c r="Y463" s="201"/>
      <c r="Z463" s="201">
        <f t="shared" si="453"/>
        <v>0</v>
      </c>
      <c r="AA463" s="198"/>
      <c r="AB463" s="206"/>
      <c r="AC463" s="207"/>
      <c r="AD463" s="201"/>
      <c r="AE463" s="204">
        <f t="shared" si="454"/>
        <v>0</v>
      </c>
      <c r="AF463" s="203">
        <f t="shared" si="455"/>
        <v>45566</v>
      </c>
      <c r="AG463" s="201">
        <f t="shared" si="456"/>
        <v>0</v>
      </c>
      <c r="AH463" s="201">
        <f t="shared" si="457"/>
        <v>790000</v>
      </c>
      <c r="AI463" s="199">
        <f t="shared" si="458"/>
        <v>790000</v>
      </c>
      <c r="AJ463" s="201">
        <f t="shared" si="477"/>
        <v>0</v>
      </c>
      <c r="AK463" s="201">
        <f t="shared" si="477"/>
        <v>790000</v>
      </c>
      <c r="AL463" s="201">
        <f t="shared" si="459"/>
        <v>790000</v>
      </c>
      <c r="AM463" s="198"/>
      <c r="AN463" s="203"/>
      <c r="AO463" s="208"/>
      <c r="AP463" s="201">
        <f t="shared" si="460"/>
        <v>0</v>
      </c>
      <c r="AQ463" s="201">
        <f t="shared" si="461"/>
        <v>789403.4</v>
      </c>
      <c r="AR463" s="201">
        <f t="shared" si="462"/>
        <v>789403.4</v>
      </c>
      <c r="AS463" s="201">
        <f t="shared" si="463"/>
        <v>99.924481012658234</v>
      </c>
      <c r="AT463" s="201"/>
      <c r="AU463" s="209">
        <v>789403.4</v>
      </c>
      <c r="AV463" s="201">
        <f t="shared" si="464"/>
        <v>789403.4</v>
      </c>
      <c r="AW463" s="201">
        <f t="shared" si="473"/>
        <v>0</v>
      </c>
      <c r="AX463" s="201">
        <f t="shared" si="465"/>
        <v>99.924481012658234</v>
      </c>
      <c r="AY463" s="208"/>
      <c r="AZ463" s="201">
        <f t="shared" si="466"/>
        <v>0</v>
      </c>
      <c r="BA463" s="201">
        <f t="shared" si="467"/>
        <v>0</v>
      </c>
      <c r="BB463" s="201">
        <f t="shared" si="468"/>
        <v>0</v>
      </c>
      <c r="BC463" s="201"/>
      <c r="BD463" s="209">
        <v>0</v>
      </c>
      <c r="BE463" s="201">
        <f t="shared" si="444"/>
        <v>0</v>
      </c>
      <c r="BF463" s="208"/>
      <c r="BG463" s="201">
        <f t="shared" si="475"/>
        <v>0</v>
      </c>
      <c r="BH463" s="201">
        <f t="shared" si="475"/>
        <v>789403.4</v>
      </c>
      <c r="BI463" s="201">
        <f t="shared" si="469"/>
        <v>789403.4</v>
      </c>
      <c r="BJ463" s="201">
        <f t="shared" si="470"/>
        <v>99.924481012658234</v>
      </c>
      <c r="BK463" s="210">
        <v>10</v>
      </c>
      <c r="BL463" s="210">
        <v>95</v>
      </c>
      <c r="BM463" s="211"/>
      <c r="BN463" s="211"/>
      <c r="BO463" s="212">
        <f t="shared" si="471"/>
        <v>0</v>
      </c>
      <c r="BP463" s="201">
        <f t="shared" si="472"/>
        <v>596.59999999997672</v>
      </c>
      <c r="BQ463" s="201">
        <f t="shared" si="445"/>
        <v>596.59999999997672</v>
      </c>
      <c r="BR463" s="201">
        <f t="shared" si="476"/>
        <v>0</v>
      </c>
      <c r="BS463" s="201">
        <f t="shared" si="476"/>
        <v>596.59999999997672</v>
      </c>
      <c r="BT463" s="201">
        <f t="shared" si="446"/>
        <v>596.59999999997672</v>
      </c>
      <c r="BU463" s="213">
        <f t="shared" si="474"/>
        <v>0</v>
      </c>
      <c r="BV463" s="201"/>
      <c r="BW463" s="201"/>
      <c r="BX463" s="201">
        <f t="shared" si="447"/>
        <v>0</v>
      </c>
      <c r="BY463" s="199">
        <v>400000</v>
      </c>
      <c r="BZ463" s="199">
        <v>140000</v>
      </c>
      <c r="CA463" s="199">
        <v>60000</v>
      </c>
      <c r="CB463" s="199">
        <v>60000</v>
      </c>
      <c r="CC463" s="199">
        <v>60000</v>
      </c>
      <c r="CD463" s="199">
        <v>50000</v>
      </c>
      <c r="CE463" s="199">
        <v>20000</v>
      </c>
      <c r="CF463" s="199">
        <v>0</v>
      </c>
      <c r="CG463" s="199">
        <v>0</v>
      </c>
      <c r="CH463" s="199">
        <v>0</v>
      </c>
      <c r="CI463" s="199">
        <v>0</v>
      </c>
      <c r="CJ463" s="199"/>
      <c r="CK463" s="214" t="s">
        <v>1185</v>
      </c>
      <c r="CL463" s="214" t="s">
        <v>610</v>
      </c>
      <c r="CM463" s="211">
        <v>198</v>
      </c>
      <c r="CN463" s="215"/>
      <c r="CO463" s="215"/>
      <c r="CP463" s="216"/>
      <c r="CQ463" s="217"/>
      <c r="CR463" s="211"/>
      <c r="CS463" s="218"/>
      <c r="CT463" s="218"/>
      <c r="CU463" s="218"/>
      <c r="CV463" s="211"/>
      <c r="CW463" s="211"/>
      <c r="CX463" s="211"/>
      <c r="CY463" s="211"/>
      <c r="CZ463" s="211"/>
      <c r="DA463" s="211"/>
      <c r="DB463" s="211"/>
      <c r="DC463" s="219"/>
      <c r="DD463" s="219"/>
      <c r="DE463" s="219"/>
      <c r="DF463" s="211"/>
      <c r="DG463" s="211"/>
      <c r="DH463" s="211"/>
      <c r="DI463" s="211"/>
      <c r="DJ463" s="211"/>
      <c r="DK463" s="220" t="s">
        <v>32</v>
      </c>
      <c r="DT463" s="222"/>
    </row>
    <row r="464" spans="1:124" s="176" customFormat="1" ht="42" x14ac:dyDescent="0.2">
      <c r="A464" s="225" t="s">
        <v>197</v>
      </c>
      <c r="B464" s="197" t="s">
        <v>1186</v>
      </c>
      <c r="C464" s="198">
        <v>1</v>
      </c>
      <c r="D464" s="199">
        <v>860000</v>
      </c>
      <c r="E464" s="198" t="s">
        <v>149</v>
      </c>
      <c r="F464" s="198" t="s">
        <v>150</v>
      </c>
      <c r="G464" s="198" t="s">
        <v>151</v>
      </c>
      <c r="H464" s="200">
        <v>1</v>
      </c>
      <c r="I464" s="199">
        <f t="shared" si="448"/>
        <v>0</v>
      </c>
      <c r="J464" s="199">
        <f t="shared" si="449"/>
        <v>860000</v>
      </c>
      <c r="K464" s="199">
        <f t="shared" si="450"/>
        <v>860000</v>
      </c>
      <c r="L464" s="199"/>
      <c r="M464" s="199">
        <v>860000</v>
      </c>
      <c r="N464" s="199">
        <f t="shared" si="451"/>
        <v>860000</v>
      </c>
      <c r="O464" s="199"/>
      <c r="P464" s="201">
        <v>0</v>
      </c>
      <c r="Q464" s="202">
        <v>15</v>
      </c>
      <c r="R464" s="203">
        <v>45566</v>
      </c>
      <c r="S464" s="199"/>
      <c r="T464" s="199">
        <v>860000</v>
      </c>
      <c r="U464" s="204">
        <f t="shared" si="452"/>
        <v>860000</v>
      </c>
      <c r="V464" s="205"/>
      <c r="W464" s="200"/>
      <c r="X464" s="201"/>
      <c r="Y464" s="201"/>
      <c r="Z464" s="201">
        <f t="shared" si="453"/>
        <v>0</v>
      </c>
      <c r="AA464" s="198"/>
      <c r="AB464" s="206"/>
      <c r="AC464" s="207"/>
      <c r="AD464" s="201"/>
      <c r="AE464" s="204">
        <f t="shared" si="454"/>
        <v>0</v>
      </c>
      <c r="AF464" s="203">
        <f t="shared" si="455"/>
        <v>45566</v>
      </c>
      <c r="AG464" s="201">
        <f t="shared" si="456"/>
        <v>0</v>
      </c>
      <c r="AH464" s="201">
        <f t="shared" si="457"/>
        <v>860000</v>
      </c>
      <c r="AI464" s="199">
        <f t="shared" si="458"/>
        <v>860000</v>
      </c>
      <c r="AJ464" s="201">
        <f t="shared" si="477"/>
        <v>0</v>
      </c>
      <c r="AK464" s="201">
        <f t="shared" si="477"/>
        <v>860000</v>
      </c>
      <c r="AL464" s="201">
        <f t="shared" si="459"/>
        <v>860000</v>
      </c>
      <c r="AM464" s="198"/>
      <c r="AN464" s="203"/>
      <c r="AO464" s="208"/>
      <c r="AP464" s="201">
        <f t="shared" si="460"/>
        <v>0</v>
      </c>
      <c r="AQ464" s="201">
        <f t="shared" si="461"/>
        <v>858810.4</v>
      </c>
      <c r="AR464" s="201">
        <f t="shared" si="462"/>
        <v>858810.4</v>
      </c>
      <c r="AS464" s="201">
        <f t="shared" si="463"/>
        <v>99.86167441860465</v>
      </c>
      <c r="AT464" s="201"/>
      <c r="AU464" s="209">
        <v>858810.4</v>
      </c>
      <c r="AV464" s="201">
        <f t="shared" si="464"/>
        <v>858810.4</v>
      </c>
      <c r="AW464" s="201">
        <f t="shared" si="473"/>
        <v>0</v>
      </c>
      <c r="AX464" s="201">
        <f t="shared" si="465"/>
        <v>99.86167441860465</v>
      </c>
      <c r="AY464" s="208"/>
      <c r="AZ464" s="201">
        <f t="shared" si="466"/>
        <v>0</v>
      </c>
      <c r="BA464" s="201">
        <f t="shared" si="467"/>
        <v>0</v>
      </c>
      <c r="BB464" s="201">
        <f t="shared" si="468"/>
        <v>0</v>
      </c>
      <c r="BC464" s="201"/>
      <c r="BD464" s="209">
        <v>0</v>
      </c>
      <c r="BE464" s="201">
        <f t="shared" si="444"/>
        <v>0</v>
      </c>
      <c r="BF464" s="208"/>
      <c r="BG464" s="201">
        <f t="shared" si="475"/>
        <v>0</v>
      </c>
      <c r="BH464" s="201">
        <f t="shared" si="475"/>
        <v>858810.4</v>
      </c>
      <c r="BI464" s="201">
        <f t="shared" si="469"/>
        <v>858810.4</v>
      </c>
      <c r="BJ464" s="201">
        <f t="shared" si="470"/>
        <v>99.86167441860465</v>
      </c>
      <c r="BK464" s="210">
        <v>15</v>
      </c>
      <c r="BL464" s="210">
        <v>95</v>
      </c>
      <c r="BM464" s="211"/>
      <c r="BN464" s="211"/>
      <c r="BO464" s="212">
        <f t="shared" si="471"/>
        <v>0</v>
      </c>
      <c r="BP464" s="201">
        <f t="shared" si="472"/>
        <v>1189.5999999999767</v>
      </c>
      <c r="BQ464" s="201">
        <f t="shared" si="445"/>
        <v>1189.5999999999767</v>
      </c>
      <c r="BR464" s="201">
        <f t="shared" si="476"/>
        <v>0</v>
      </c>
      <c r="BS464" s="201">
        <f t="shared" si="476"/>
        <v>1189.5999999999767</v>
      </c>
      <c r="BT464" s="201">
        <f t="shared" si="446"/>
        <v>1189.5999999999767</v>
      </c>
      <c r="BU464" s="213">
        <f t="shared" si="474"/>
        <v>0</v>
      </c>
      <c r="BV464" s="201"/>
      <c r="BW464" s="201"/>
      <c r="BX464" s="201">
        <f t="shared" si="447"/>
        <v>0</v>
      </c>
      <c r="BY464" s="199">
        <v>420000</v>
      </c>
      <c r="BZ464" s="199">
        <v>150000</v>
      </c>
      <c r="CA464" s="199">
        <v>70000</v>
      </c>
      <c r="CB464" s="199">
        <v>60000</v>
      </c>
      <c r="CC464" s="199">
        <v>60000</v>
      </c>
      <c r="CD464" s="199">
        <v>60000</v>
      </c>
      <c r="CE464" s="199">
        <v>40000</v>
      </c>
      <c r="CF464" s="199">
        <v>0</v>
      </c>
      <c r="CG464" s="199">
        <v>0</v>
      </c>
      <c r="CH464" s="199">
        <v>0</v>
      </c>
      <c r="CI464" s="199">
        <v>0</v>
      </c>
      <c r="CJ464" s="199"/>
      <c r="CK464" s="214" t="s">
        <v>1187</v>
      </c>
      <c r="CL464" s="214" t="s">
        <v>610</v>
      </c>
      <c r="CM464" s="211">
        <v>198</v>
      </c>
      <c r="CN464" s="215"/>
      <c r="CO464" s="215"/>
      <c r="CP464" s="216"/>
      <c r="CQ464" s="217"/>
      <c r="CR464" s="211"/>
      <c r="CS464" s="218"/>
      <c r="CT464" s="218"/>
      <c r="CU464" s="218"/>
      <c r="CV464" s="211"/>
      <c r="CW464" s="211"/>
      <c r="CX464" s="211"/>
      <c r="CY464" s="211"/>
      <c r="CZ464" s="211"/>
      <c r="DA464" s="211"/>
      <c r="DB464" s="211"/>
      <c r="DC464" s="219"/>
      <c r="DD464" s="219"/>
      <c r="DE464" s="219"/>
      <c r="DF464" s="211"/>
      <c r="DG464" s="211"/>
      <c r="DH464" s="211"/>
      <c r="DI464" s="211"/>
      <c r="DJ464" s="211"/>
      <c r="DK464" s="220" t="s">
        <v>32</v>
      </c>
      <c r="DT464" s="222"/>
    </row>
    <row r="465" spans="1:124" s="176" customFormat="1" ht="42" x14ac:dyDescent="0.2">
      <c r="A465" s="195" t="s">
        <v>154</v>
      </c>
      <c r="B465" s="197" t="s">
        <v>1188</v>
      </c>
      <c r="C465" s="198">
        <v>1</v>
      </c>
      <c r="D465" s="199">
        <v>800000</v>
      </c>
      <c r="E465" s="198" t="s">
        <v>220</v>
      </c>
      <c r="F465" s="198" t="s">
        <v>221</v>
      </c>
      <c r="G465" s="198" t="s">
        <v>151</v>
      </c>
      <c r="H465" s="200">
        <v>1</v>
      </c>
      <c r="I465" s="199">
        <f t="shared" si="448"/>
        <v>0</v>
      </c>
      <c r="J465" s="199">
        <f t="shared" si="449"/>
        <v>800000</v>
      </c>
      <c r="K465" s="199">
        <f t="shared" si="450"/>
        <v>800000</v>
      </c>
      <c r="L465" s="199"/>
      <c r="M465" s="199">
        <v>800000</v>
      </c>
      <c r="N465" s="199">
        <f t="shared" si="451"/>
        <v>800000</v>
      </c>
      <c r="O465" s="199"/>
      <c r="P465" s="201">
        <v>0</v>
      </c>
      <c r="Q465" s="202">
        <v>15</v>
      </c>
      <c r="R465" s="203">
        <v>45566</v>
      </c>
      <c r="S465" s="199"/>
      <c r="T465" s="199">
        <v>800000</v>
      </c>
      <c r="U465" s="204">
        <f t="shared" si="452"/>
        <v>800000</v>
      </c>
      <c r="V465" s="205">
        <v>690</v>
      </c>
      <c r="W465" s="200">
        <v>45622</v>
      </c>
      <c r="X465" s="201"/>
      <c r="Y465" s="201">
        <v>-240</v>
      </c>
      <c r="Z465" s="201">
        <f t="shared" si="453"/>
        <v>-240</v>
      </c>
      <c r="AA465" s="198">
        <v>1206</v>
      </c>
      <c r="AB465" s="206">
        <v>45672</v>
      </c>
      <c r="AC465" s="207"/>
      <c r="AD465" s="201">
        <f>+-14419+-1600.35</f>
        <v>-16019.35</v>
      </c>
      <c r="AE465" s="204">
        <f t="shared" si="454"/>
        <v>-16019.35</v>
      </c>
      <c r="AF465" s="203">
        <f t="shared" si="455"/>
        <v>45566</v>
      </c>
      <c r="AG465" s="201">
        <f t="shared" si="456"/>
        <v>0</v>
      </c>
      <c r="AH465" s="201">
        <f t="shared" si="457"/>
        <v>783740.65</v>
      </c>
      <c r="AI465" s="199">
        <f t="shared" si="458"/>
        <v>783740.65</v>
      </c>
      <c r="AJ465" s="201">
        <f t="shared" si="477"/>
        <v>0</v>
      </c>
      <c r="AK465" s="201">
        <f t="shared" si="477"/>
        <v>783740.65</v>
      </c>
      <c r="AL465" s="201">
        <f t="shared" si="459"/>
        <v>783740.65</v>
      </c>
      <c r="AM465" s="198"/>
      <c r="AN465" s="203"/>
      <c r="AO465" s="208"/>
      <c r="AP465" s="201">
        <f t="shared" si="460"/>
        <v>0</v>
      </c>
      <c r="AQ465" s="201">
        <f t="shared" si="461"/>
        <v>783740.65</v>
      </c>
      <c r="AR465" s="201">
        <f t="shared" si="462"/>
        <v>783740.65</v>
      </c>
      <c r="AS465" s="201">
        <f t="shared" si="463"/>
        <v>100</v>
      </c>
      <c r="AT465" s="201"/>
      <c r="AU465" s="209">
        <v>783740.65</v>
      </c>
      <c r="AV465" s="201">
        <f t="shared" si="464"/>
        <v>783740.65</v>
      </c>
      <c r="AW465" s="201">
        <f t="shared" si="473"/>
        <v>0</v>
      </c>
      <c r="AX465" s="201">
        <f t="shared" si="465"/>
        <v>100</v>
      </c>
      <c r="AY465" s="208"/>
      <c r="AZ465" s="201">
        <f t="shared" si="466"/>
        <v>0</v>
      </c>
      <c r="BA465" s="201">
        <f t="shared" si="467"/>
        <v>0</v>
      </c>
      <c r="BB465" s="201">
        <f t="shared" si="468"/>
        <v>0</v>
      </c>
      <c r="BC465" s="201"/>
      <c r="BD465" s="209">
        <v>0</v>
      </c>
      <c r="BE465" s="201">
        <f t="shared" si="444"/>
        <v>0</v>
      </c>
      <c r="BF465" s="208"/>
      <c r="BG465" s="201">
        <f t="shared" si="475"/>
        <v>0</v>
      </c>
      <c r="BH465" s="201">
        <f t="shared" si="475"/>
        <v>783740.65</v>
      </c>
      <c r="BI465" s="201">
        <f t="shared" si="469"/>
        <v>783740.65</v>
      </c>
      <c r="BJ465" s="201">
        <f t="shared" si="470"/>
        <v>100</v>
      </c>
      <c r="BK465" s="210">
        <v>13.09</v>
      </c>
      <c r="BL465" s="210">
        <v>100</v>
      </c>
      <c r="BM465" s="211"/>
      <c r="BN465" s="211"/>
      <c r="BO465" s="212">
        <f t="shared" si="471"/>
        <v>0</v>
      </c>
      <c r="BP465" s="201">
        <f t="shared" si="472"/>
        <v>0</v>
      </c>
      <c r="BQ465" s="201">
        <f t="shared" si="445"/>
        <v>0</v>
      </c>
      <c r="BR465" s="201">
        <f t="shared" si="476"/>
        <v>0</v>
      </c>
      <c r="BS465" s="201">
        <f t="shared" si="476"/>
        <v>0</v>
      </c>
      <c r="BT465" s="201">
        <f t="shared" si="446"/>
        <v>0</v>
      </c>
      <c r="BU465" s="213">
        <f t="shared" si="474"/>
        <v>0</v>
      </c>
      <c r="BV465" s="201">
        <f>240+14419+1600.35</f>
        <v>16259.35</v>
      </c>
      <c r="BW465" s="201"/>
      <c r="BX465" s="201">
        <f t="shared" si="447"/>
        <v>16259.35</v>
      </c>
      <c r="BY465" s="199">
        <v>100000</v>
      </c>
      <c r="BZ465" s="199">
        <v>200000</v>
      </c>
      <c r="CA465" s="199">
        <v>200000</v>
      </c>
      <c r="CB465" s="199">
        <v>100000</v>
      </c>
      <c r="CC465" s="199">
        <v>100000</v>
      </c>
      <c r="CD465" s="199">
        <v>100000</v>
      </c>
      <c r="CE465" s="199">
        <v>0</v>
      </c>
      <c r="CF465" s="199">
        <v>0</v>
      </c>
      <c r="CG465" s="199">
        <v>0</v>
      </c>
      <c r="CH465" s="199">
        <v>0</v>
      </c>
      <c r="CI465" s="199">
        <v>0</v>
      </c>
      <c r="CJ465" s="199"/>
      <c r="CK465" s="214" t="s">
        <v>1189</v>
      </c>
      <c r="CL465" s="214" t="s">
        <v>610</v>
      </c>
      <c r="CM465" s="211">
        <v>198</v>
      </c>
      <c r="CN465" s="215"/>
      <c r="CO465" s="215"/>
      <c r="CP465" s="216"/>
      <c r="CQ465" s="217"/>
      <c r="CR465" s="211"/>
      <c r="CS465" s="218"/>
      <c r="CT465" s="218"/>
      <c r="CU465" s="218"/>
      <c r="CV465" s="211"/>
      <c r="CW465" s="211"/>
      <c r="CX465" s="211"/>
      <c r="CY465" s="211"/>
      <c r="CZ465" s="211"/>
      <c r="DA465" s="211"/>
      <c r="DB465" s="211"/>
      <c r="DC465" s="219"/>
      <c r="DD465" s="219"/>
      <c r="DE465" s="219"/>
      <c r="DF465" s="211"/>
      <c r="DG465" s="211"/>
      <c r="DH465" s="211"/>
      <c r="DI465" s="211"/>
      <c r="DJ465" s="211"/>
      <c r="DK465" s="220" t="s">
        <v>32</v>
      </c>
      <c r="DT465" s="222"/>
    </row>
    <row r="466" spans="1:124" s="176" customFormat="1" ht="42" x14ac:dyDescent="0.2">
      <c r="A466" s="225" t="s">
        <v>197</v>
      </c>
      <c r="B466" s="197" t="s">
        <v>1190</v>
      </c>
      <c r="C466" s="198">
        <v>1</v>
      </c>
      <c r="D466" s="199">
        <v>350000</v>
      </c>
      <c r="E466" s="198" t="s">
        <v>259</v>
      </c>
      <c r="F466" s="198" t="s">
        <v>150</v>
      </c>
      <c r="G466" s="198" t="s">
        <v>151</v>
      </c>
      <c r="H466" s="200">
        <v>1</v>
      </c>
      <c r="I466" s="199">
        <f t="shared" si="448"/>
        <v>0</v>
      </c>
      <c r="J466" s="199">
        <f t="shared" si="449"/>
        <v>350000</v>
      </c>
      <c r="K466" s="199">
        <f t="shared" si="450"/>
        <v>350000</v>
      </c>
      <c r="L466" s="199"/>
      <c r="M466" s="199">
        <v>350000</v>
      </c>
      <c r="N466" s="199">
        <f t="shared" si="451"/>
        <v>350000</v>
      </c>
      <c r="O466" s="199"/>
      <c r="P466" s="201">
        <v>0</v>
      </c>
      <c r="Q466" s="202">
        <v>15</v>
      </c>
      <c r="R466" s="203">
        <v>45566</v>
      </c>
      <c r="S466" s="199"/>
      <c r="T466" s="199">
        <v>350000</v>
      </c>
      <c r="U466" s="204">
        <f t="shared" si="452"/>
        <v>350000</v>
      </c>
      <c r="V466" s="205"/>
      <c r="W466" s="200"/>
      <c r="X466" s="201"/>
      <c r="Y466" s="201"/>
      <c r="Z466" s="201">
        <f t="shared" si="453"/>
        <v>0</v>
      </c>
      <c r="AA466" s="198"/>
      <c r="AB466" s="206"/>
      <c r="AC466" s="207"/>
      <c r="AD466" s="201"/>
      <c r="AE466" s="204">
        <f t="shared" si="454"/>
        <v>0</v>
      </c>
      <c r="AF466" s="203">
        <f t="shared" si="455"/>
        <v>45566</v>
      </c>
      <c r="AG466" s="201">
        <f t="shared" si="456"/>
        <v>0</v>
      </c>
      <c r="AH466" s="201">
        <f t="shared" si="457"/>
        <v>350000</v>
      </c>
      <c r="AI466" s="199">
        <f t="shared" si="458"/>
        <v>350000</v>
      </c>
      <c r="AJ466" s="201">
        <f t="shared" si="477"/>
        <v>0</v>
      </c>
      <c r="AK466" s="201">
        <f t="shared" si="477"/>
        <v>350000</v>
      </c>
      <c r="AL466" s="201">
        <f t="shared" si="459"/>
        <v>350000</v>
      </c>
      <c r="AM466" s="198"/>
      <c r="AN466" s="203"/>
      <c r="AO466" s="208"/>
      <c r="AP466" s="201">
        <f t="shared" si="460"/>
        <v>0</v>
      </c>
      <c r="AQ466" s="201">
        <f t="shared" si="461"/>
        <v>348368.09</v>
      </c>
      <c r="AR466" s="201">
        <f t="shared" si="462"/>
        <v>348368.09</v>
      </c>
      <c r="AS466" s="201">
        <f t="shared" si="463"/>
        <v>99.533739999999995</v>
      </c>
      <c r="AT466" s="201"/>
      <c r="AU466" s="209">
        <v>348368.09</v>
      </c>
      <c r="AV466" s="201">
        <f t="shared" si="464"/>
        <v>348368.09</v>
      </c>
      <c r="AW466" s="201">
        <f t="shared" si="473"/>
        <v>0</v>
      </c>
      <c r="AX466" s="201">
        <f t="shared" si="465"/>
        <v>99.533739999999995</v>
      </c>
      <c r="AY466" s="208"/>
      <c r="AZ466" s="201">
        <f t="shared" si="466"/>
        <v>0</v>
      </c>
      <c r="BA466" s="201">
        <f t="shared" si="467"/>
        <v>0</v>
      </c>
      <c r="BB466" s="201">
        <f t="shared" si="468"/>
        <v>0</v>
      </c>
      <c r="BC466" s="201"/>
      <c r="BD466" s="209">
        <v>0</v>
      </c>
      <c r="BE466" s="201">
        <f t="shared" si="444"/>
        <v>0</v>
      </c>
      <c r="BF466" s="208"/>
      <c r="BG466" s="201">
        <f t="shared" si="475"/>
        <v>0</v>
      </c>
      <c r="BH466" s="201">
        <f t="shared" si="475"/>
        <v>348368.09</v>
      </c>
      <c r="BI466" s="201">
        <f t="shared" si="469"/>
        <v>348368.09</v>
      </c>
      <c r="BJ466" s="201">
        <f t="shared" si="470"/>
        <v>99.533739999999995</v>
      </c>
      <c r="BK466" s="210">
        <v>69.25</v>
      </c>
      <c r="BL466" s="210">
        <v>100</v>
      </c>
      <c r="BM466" s="211"/>
      <c r="BN466" s="211"/>
      <c r="BO466" s="212">
        <f t="shared" si="471"/>
        <v>0</v>
      </c>
      <c r="BP466" s="201">
        <f t="shared" si="472"/>
        <v>1631.9099999999744</v>
      </c>
      <c r="BQ466" s="201">
        <f t="shared" si="445"/>
        <v>1631.9099999999744</v>
      </c>
      <c r="BR466" s="201">
        <f t="shared" si="476"/>
        <v>0</v>
      </c>
      <c r="BS466" s="201">
        <f t="shared" si="476"/>
        <v>1631.9099999999744</v>
      </c>
      <c r="BT466" s="201">
        <f t="shared" si="446"/>
        <v>1631.9099999999744</v>
      </c>
      <c r="BU466" s="213">
        <f t="shared" si="474"/>
        <v>0</v>
      </c>
      <c r="BV466" s="201"/>
      <c r="BW466" s="201"/>
      <c r="BX466" s="201">
        <f t="shared" si="447"/>
        <v>0</v>
      </c>
      <c r="BY466" s="199">
        <v>52500</v>
      </c>
      <c r="BZ466" s="199">
        <v>122500</v>
      </c>
      <c r="CA466" s="199">
        <v>122500</v>
      </c>
      <c r="CB466" s="199">
        <v>52500</v>
      </c>
      <c r="CC466" s="199">
        <v>0</v>
      </c>
      <c r="CD466" s="199">
        <v>0</v>
      </c>
      <c r="CE466" s="199">
        <v>0</v>
      </c>
      <c r="CF466" s="199">
        <v>0</v>
      </c>
      <c r="CG466" s="199">
        <v>0</v>
      </c>
      <c r="CH466" s="199">
        <v>0</v>
      </c>
      <c r="CI466" s="199">
        <v>0</v>
      </c>
      <c r="CJ466" s="199"/>
      <c r="CK466" s="214" t="s">
        <v>1191</v>
      </c>
      <c r="CL466" s="214" t="s">
        <v>610</v>
      </c>
      <c r="CM466" s="211">
        <v>198</v>
      </c>
      <c r="CN466" s="215"/>
      <c r="CO466" s="215"/>
      <c r="CP466" s="216"/>
      <c r="CQ466" s="217"/>
      <c r="CR466" s="211"/>
      <c r="CS466" s="218"/>
      <c r="CT466" s="218"/>
      <c r="CU466" s="218"/>
      <c r="CV466" s="211"/>
      <c r="CW466" s="211"/>
      <c r="CX466" s="211"/>
      <c r="CY466" s="211"/>
      <c r="CZ466" s="211"/>
      <c r="DA466" s="211"/>
      <c r="DB466" s="211"/>
      <c r="DC466" s="219"/>
      <c r="DD466" s="219"/>
      <c r="DE466" s="219"/>
      <c r="DF466" s="211"/>
      <c r="DG466" s="211"/>
      <c r="DH466" s="211"/>
      <c r="DI466" s="211"/>
      <c r="DJ466" s="211"/>
      <c r="DK466" s="220" t="s">
        <v>32</v>
      </c>
      <c r="DT466" s="222"/>
    </row>
    <row r="467" spans="1:124" s="176" customFormat="1" ht="42" x14ac:dyDescent="0.2">
      <c r="A467" s="225" t="s">
        <v>197</v>
      </c>
      <c r="B467" s="197" t="s">
        <v>1192</v>
      </c>
      <c r="C467" s="198">
        <v>1</v>
      </c>
      <c r="D467" s="199">
        <v>300000</v>
      </c>
      <c r="E467" s="198" t="s">
        <v>267</v>
      </c>
      <c r="F467" s="198" t="s">
        <v>150</v>
      </c>
      <c r="G467" s="198" t="s">
        <v>151</v>
      </c>
      <c r="H467" s="200">
        <v>1</v>
      </c>
      <c r="I467" s="199">
        <f t="shared" si="448"/>
        <v>0</v>
      </c>
      <c r="J467" s="199">
        <f t="shared" si="449"/>
        <v>300000</v>
      </c>
      <c r="K467" s="199">
        <f t="shared" si="450"/>
        <v>300000</v>
      </c>
      <c r="L467" s="199"/>
      <c r="M467" s="199">
        <v>300000</v>
      </c>
      <c r="N467" s="199">
        <f t="shared" si="451"/>
        <v>300000</v>
      </c>
      <c r="O467" s="199"/>
      <c r="P467" s="201">
        <v>0</v>
      </c>
      <c r="Q467" s="202">
        <v>15</v>
      </c>
      <c r="R467" s="203">
        <v>45566</v>
      </c>
      <c r="S467" s="199"/>
      <c r="T467" s="199">
        <v>300000</v>
      </c>
      <c r="U467" s="204">
        <f t="shared" si="452"/>
        <v>300000</v>
      </c>
      <c r="V467" s="205"/>
      <c r="W467" s="200"/>
      <c r="X467" s="201"/>
      <c r="Y467" s="201"/>
      <c r="Z467" s="201">
        <f t="shared" si="453"/>
        <v>0</v>
      </c>
      <c r="AA467" s="198"/>
      <c r="AB467" s="206"/>
      <c r="AC467" s="207"/>
      <c r="AD467" s="201"/>
      <c r="AE467" s="204">
        <f t="shared" si="454"/>
        <v>0</v>
      </c>
      <c r="AF467" s="203">
        <f t="shared" si="455"/>
        <v>45566</v>
      </c>
      <c r="AG467" s="201">
        <f t="shared" si="456"/>
        <v>0</v>
      </c>
      <c r="AH467" s="201">
        <f t="shared" si="457"/>
        <v>300000</v>
      </c>
      <c r="AI467" s="199">
        <f t="shared" si="458"/>
        <v>300000</v>
      </c>
      <c r="AJ467" s="201">
        <f t="shared" si="477"/>
        <v>0</v>
      </c>
      <c r="AK467" s="201">
        <f t="shared" si="477"/>
        <v>300000</v>
      </c>
      <c r="AL467" s="201">
        <f t="shared" si="459"/>
        <v>300000</v>
      </c>
      <c r="AM467" s="198"/>
      <c r="AN467" s="203"/>
      <c r="AO467" s="208"/>
      <c r="AP467" s="201">
        <f t="shared" si="460"/>
        <v>0</v>
      </c>
      <c r="AQ467" s="201">
        <f t="shared" si="461"/>
        <v>298414.71000000002</v>
      </c>
      <c r="AR467" s="201">
        <f t="shared" si="462"/>
        <v>298414.71000000002</v>
      </c>
      <c r="AS467" s="201">
        <f t="shared" si="463"/>
        <v>99.471570000000014</v>
      </c>
      <c r="AT467" s="201"/>
      <c r="AU467" s="209">
        <v>298414.71000000002</v>
      </c>
      <c r="AV467" s="201">
        <f t="shared" si="464"/>
        <v>298414.71000000002</v>
      </c>
      <c r="AW467" s="201">
        <f t="shared" si="473"/>
        <v>0</v>
      </c>
      <c r="AX467" s="201">
        <f t="shared" si="465"/>
        <v>99.471570000000014</v>
      </c>
      <c r="AY467" s="208"/>
      <c r="AZ467" s="201">
        <f t="shared" si="466"/>
        <v>0</v>
      </c>
      <c r="BA467" s="201">
        <f t="shared" si="467"/>
        <v>0</v>
      </c>
      <c r="BB467" s="201">
        <f t="shared" si="468"/>
        <v>0</v>
      </c>
      <c r="BC467" s="201"/>
      <c r="BD467" s="209">
        <v>0</v>
      </c>
      <c r="BE467" s="201">
        <f t="shared" si="444"/>
        <v>0</v>
      </c>
      <c r="BF467" s="208"/>
      <c r="BG467" s="201">
        <f t="shared" si="475"/>
        <v>0</v>
      </c>
      <c r="BH467" s="201">
        <f t="shared" si="475"/>
        <v>298414.71000000002</v>
      </c>
      <c r="BI467" s="201">
        <f t="shared" si="469"/>
        <v>298414.71000000002</v>
      </c>
      <c r="BJ467" s="201">
        <f t="shared" si="470"/>
        <v>99.471570000000014</v>
      </c>
      <c r="BK467" s="210">
        <v>79.67</v>
      </c>
      <c r="BL467" s="210">
        <v>100</v>
      </c>
      <c r="BM467" s="211"/>
      <c r="BN467" s="211"/>
      <c r="BO467" s="212">
        <f t="shared" si="471"/>
        <v>0</v>
      </c>
      <c r="BP467" s="201">
        <f t="shared" si="472"/>
        <v>1585.289999999979</v>
      </c>
      <c r="BQ467" s="201">
        <f t="shared" si="445"/>
        <v>1585.289999999979</v>
      </c>
      <c r="BR467" s="201">
        <f t="shared" si="476"/>
        <v>0</v>
      </c>
      <c r="BS467" s="201">
        <f t="shared" si="476"/>
        <v>1585.289999999979</v>
      </c>
      <c r="BT467" s="201">
        <f t="shared" si="446"/>
        <v>1585.289999999979</v>
      </c>
      <c r="BU467" s="213">
        <f t="shared" si="474"/>
        <v>0</v>
      </c>
      <c r="BV467" s="201"/>
      <c r="BW467" s="201"/>
      <c r="BX467" s="201">
        <f t="shared" si="447"/>
        <v>0</v>
      </c>
      <c r="BY467" s="199">
        <v>45000</v>
      </c>
      <c r="BZ467" s="199">
        <v>105000</v>
      </c>
      <c r="CA467" s="199">
        <v>105000</v>
      </c>
      <c r="CB467" s="199">
        <v>45000</v>
      </c>
      <c r="CC467" s="199">
        <v>0</v>
      </c>
      <c r="CD467" s="199">
        <v>0</v>
      </c>
      <c r="CE467" s="199">
        <v>0</v>
      </c>
      <c r="CF467" s="199">
        <v>0</v>
      </c>
      <c r="CG467" s="199">
        <v>0</v>
      </c>
      <c r="CH467" s="199">
        <v>0</v>
      </c>
      <c r="CI467" s="199">
        <v>0</v>
      </c>
      <c r="CJ467" s="199"/>
      <c r="CK467" s="214" t="s">
        <v>1193</v>
      </c>
      <c r="CL467" s="214" t="s">
        <v>610</v>
      </c>
      <c r="CM467" s="211">
        <v>198</v>
      </c>
      <c r="CN467" s="215"/>
      <c r="CO467" s="215"/>
      <c r="CP467" s="216"/>
      <c r="CQ467" s="217"/>
      <c r="CR467" s="211"/>
      <c r="CS467" s="218"/>
      <c r="CT467" s="218"/>
      <c r="CU467" s="218"/>
      <c r="CV467" s="211"/>
      <c r="CW467" s="211"/>
      <c r="CX467" s="211"/>
      <c r="CY467" s="211"/>
      <c r="CZ467" s="211"/>
      <c r="DA467" s="211"/>
      <c r="DB467" s="211"/>
      <c r="DC467" s="219"/>
      <c r="DD467" s="219"/>
      <c r="DE467" s="219"/>
      <c r="DF467" s="211"/>
      <c r="DG467" s="211"/>
      <c r="DH467" s="211"/>
      <c r="DI467" s="211"/>
      <c r="DJ467" s="211"/>
      <c r="DK467" s="220" t="s">
        <v>32</v>
      </c>
      <c r="DT467" s="222"/>
    </row>
    <row r="468" spans="1:124" s="176" customFormat="1" ht="42" x14ac:dyDescent="0.2">
      <c r="A468" s="195" t="s">
        <v>154</v>
      </c>
      <c r="B468" s="197" t="s">
        <v>1194</v>
      </c>
      <c r="C468" s="198">
        <v>1</v>
      </c>
      <c r="D468" s="199">
        <v>3700000</v>
      </c>
      <c r="E468" s="198" t="s">
        <v>210</v>
      </c>
      <c r="F468" s="198" t="s">
        <v>150</v>
      </c>
      <c r="G468" s="198" t="s">
        <v>151</v>
      </c>
      <c r="H468" s="200">
        <v>1</v>
      </c>
      <c r="I468" s="199">
        <f t="shared" si="448"/>
        <v>0</v>
      </c>
      <c r="J468" s="199">
        <f t="shared" si="449"/>
        <v>3700000</v>
      </c>
      <c r="K468" s="199">
        <f t="shared" si="450"/>
        <v>3700000</v>
      </c>
      <c r="L468" s="199">
        <v>0</v>
      </c>
      <c r="M468" s="199">
        <v>3700000</v>
      </c>
      <c r="N468" s="199">
        <f t="shared" si="451"/>
        <v>3700000</v>
      </c>
      <c r="O468" s="199"/>
      <c r="P468" s="201">
        <v>0</v>
      </c>
      <c r="Q468" s="202">
        <v>15</v>
      </c>
      <c r="R468" s="203">
        <v>45566</v>
      </c>
      <c r="S468" s="199"/>
      <c r="T468" s="199">
        <v>3700000</v>
      </c>
      <c r="U468" s="204">
        <f t="shared" si="452"/>
        <v>3700000</v>
      </c>
      <c r="V468" s="205">
        <v>690</v>
      </c>
      <c r="W468" s="200">
        <v>45622</v>
      </c>
      <c r="X468" s="201"/>
      <c r="Y468" s="201">
        <v>-720083.85</v>
      </c>
      <c r="Z468" s="201">
        <f t="shared" si="453"/>
        <v>-720083.85</v>
      </c>
      <c r="AA468" s="198">
        <v>1716</v>
      </c>
      <c r="AB468" s="206">
        <v>45723</v>
      </c>
      <c r="AC468" s="207"/>
      <c r="AD468" s="201">
        <v>-2652</v>
      </c>
      <c r="AE468" s="204">
        <f t="shared" si="454"/>
        <v>-2652</v>
      </c>
      <c r="AF468" s="203">
        <f t="shared" si="455"/>
        <v>45566</v>
      </c>
      <c r="AG468" s="201">
        <f t="shared" si="456"/>
        <v>0</v>
      </c>
      <c r="AH468" s="201">
        <f t="shared" si="457"/>
        <v>2977264.15</v>
      </c>
      <c r="AI468" s="199">
        <f t="shared" si="458"/>
        <v>2977264.15</v>
      </c>
      <c r="AJ468" s="201">
        <f t="shared" si="477"/>
        <v>0</v>
      </c>
      <c r="AK468" s="201">
        <f t="shared" si="477"/>
        <v>2977264.15</v>
      </c>
      <c r="AL468" s="201">
        <f t="shared" si="459"/>
        <v>2977264.15</v>
      </c>
      <c r="AM468" s="198"/>
      <c r="AN468" s="203"/>
      <c r="AO468" s="208"/>
      <c r="AP468" s="201">
        <f t="shared" si="460"/>
        <v>0</v>
      </c>
      <c r="AQ468" s="201">
        <f t="shared" si="461"/>
        <v>2877478.74</v>
      </c>
      <c r="AR468" s="201">
        <f t="shared" si="462"/>
        <v>2877478.74</v>
      </c>
      <c r="AS468" s="201">
        <f t="shared" si="463"/>
        <v>96.648419321476737</v>
      </c>
      <c r="AT468" s="201"/>
      <c r="AU468" s="223">
        <v>2877478.74</v>
      </c>
      <c r="AV468" s="201">
        <f t="shared" si="464"/>
        <v>2877478.74</v>
      </c>
      <c r="AW468" s="201">
        <f t="shared" si="473"/>
        <v>12.42751671866267</v>
      </c>
      <c r="AX468" s="201">
        <f t="shared" si="465"/>
        <v>96.648419321476737</v>
      </c>
      <c r="AY468" s="208"/>
      <c r="AZ468" s="201">
        <f t="shared" si="466"/>
        <v>0</v>
      </c>
      <c r="BA468" s="201">
        <f t="shared" si="467"/>
        <v>0</v>
      </c>
      <c r="BB468" s="201">
        <f t="shared" si="468"/>
        <v>0</v>
      </c>
      <c r="BC468" s="201"/>
      <c r="BD468" s="223">
        <v>0</v>
      </c>
      <c r="BE468" s="201">
        <f t="shared" si="444"/>
        <v>0</v>
      </c>
      <c r="BF468" s="208"/>
      <c r="BG468" s="201">
        <f t="shared" si="475"/>
        <v>0</v>
      </c>
      <c r="BH468" s="201">
        <f t="shared" si="475"/>
        <v>2877478.74</v>
      </c>
      <c r="BI468" s="201">
        <f t="shared" si="469"/>
        <v>2877478.74</v>
      </c>
      <c r="BJ468" s="201">
        <f t="shared" si="470"/>
        <v>96.648419321476737</v>
      </c>
      <c r="BK468" s="210">
        <v>45.75</v>
      </c>
      <c r="BL468" s="210">
        <v>85</v>
      </c>
      <c r="BM468" s="211"/>
      <c r="BN468" s="211"/>
      <c r="BO468" s="212">
        <f t="shared" si="471"/>
        <v>0</v>
      </c>
      <c r="BP468" s="201">
        <f t="shared" si="472"/>
        <v>99785.409999999683</v>
      </c>
      <c r="BQ468" s="201">
        <f t="shared" si="445"/>
        <v>99785.409999999683</v>
      </c>
      <c r="BR468" s="201">
        <f t="shared" si="476"/>
        <v>0</v>
      </c>
      <c r="BS468" s="201">
        <f t="shared" si="476"/>
        <v>99785.409999999683</v>
      </c>
      <c r="BT468" s="201">
        <f t="shared" si="446"/>
        <v>99785.409999999683</v>
      </c>
      <c r="BU468" s="213">
        <f t="shared" si="474"/>
        <v>0</v>
      </c>
      <c r="BV468" s="201">
        <f>720083.85+2652</f>
        <v>722735.85</v>
      </c>
      <c r="BW468" s="201"/>
      <c r="BX468" s="201">
        <f t="shared" si="447"/>
        <v>722735.85</v>
      </c>
      <c r="BY468" s="199">
        <v>185000</v>
      </c>
      <c r="BZ468" s="199">
        <v>370000</v>
      </c>
      <c r="CA468" s="199">
        <v>370000</v>
      </c>
      <c r="CB468" s="199">
        <v>370000</v>
      </c>
      <c r="CC468" s="199">
        <v>370000</v>
      </c>
      <c r="CD468" s="199">
        <v>370000</v>
      </c>
      <c r="CE468" s="199">
        <v>370000</v>
      </c>
      <c r="CF468" s="199">
        <v>370000</v>
      </c>
      <c r="CG468" s="199">
        <v>370000</v>
      </c>
      <c r="CH468" s="199">
        <v>370000</v>
      </c>
      <c r="CI468" s="199">
        <v>185000</v>
      </c>
      <c r="CJ468" s="199">
        <v>0</v>
      </c>
      <c r="CK468" s="214" t="s">
        <v>1195</v>
      </c>
      <c r="CL468" s="214" t="s">
        <v>610</v>
      </c>
      <c r="CM468" s="211">
        <v>198</v>
      </c>
      <c r="CN468" s="215"/>
      <c r="CO468" s="215"/>
      <c r="CP468" s="216"/>
      <c r="CQ468" s="217"/>
      <c r="CR468" s="211"/>
      <c r="CS468" s="218"/>
      <c r="CT468" s="218"/>
      <c r="CU468" s="218"/>
      <c r="CV468" s="211"/>
      <c r="CW468" s="211"/>
      <c r="CX468" s="211"/>
      <c r="CY468" s="211"/>
      <c r="CZ468" s="211"/>
      <c r="DA468" s="211"/>
      <c r="DB468" s="211"/>
      <c r="DC468" s="219"/>
      <c r="DD468" s="219"/>
      <c r="DE468" s="219"/>
      <c r="DF468" s="211"/>
      <c r="DG468" s="211"/>
      <c r="DH468" s="211"/>
      <c r="DI468" s="211"/>
      <c r="DJ468" s="211"/>
      <c r="DK468" s="220" t="s">
        <v>32</v>
      </c>
      <c r="DT468" s="222"/>
    </row>
    <row r="469" spans="1:124" s="176" customFormat="1" ht="42" x14ac:dyDescent="0.2">
      <c r="A469" s="195" t="s">
        <v>154</v>
      </c>
      <c r="B469" s="197" t="s">
        <v>1196</v>
      </c>
      <c r="C469" s="198">
        <v>1</v>
      </c>
      <c r="D469" s="199">
        <v>3230000</v>
      </c>
      <c r="E469" s="198" t="s">
        <v>210</v>
      </c>
      <c r="F469" s="198" t="s">
        <v>150</v>
      </c>
      <c r="G469" s="198" t="s">
        <v>151</v>
      </c>
      <c r="H469" s="200">
        <v>1</v>
      </c>
      <c r="I469" s="199">
        <f t="shared" si="448"/>
        <v>0</v>
      </c>
      <c r="J469" s="199">
        <f t="shared" si="449"/>
        <v>3230000</v>
      </c>
      <c r="K469" s="199">
        <f t="shared" si="450"/>
        <v>3230000</v>
      </c>
      <c r="L469" s="199">
        <v>0</v>
      </c>
      <c r="M469" s="199">
        <v>3230000</v>
      </c>
      <c r="N469" s="199">
        <f t="shared" si="451"/>
        <v>3230000</v>
      </c>
      <c r="O469" s="199"/>
      <c r="P469" s="201">
        <v>0</v>
      </c>
      <c r="Q469" s="202">
        <v>15</v>
      </c>
      <c r="R469" s="203">
        <v>45566</v>
      </c>
      <c r="S469" s="199"/>
      <c r="T469" s="199">
        <v>3230000</v>
      </c>
      <c r="U469" s="204">
        <f t="shared" si="452"/>
        <v>3230000</v>
      </c>
      <c r="V469" s="205">
        <v>690</v>
      </c>
      <c r="W469" s="200">
        <v>45622</v>
      </c>
      <c r="X469" s="201"/>
      <c r="Y469" s="201">
        <v>-179140.21</v>
      </c>
      <c r="Z469" s="201">
        <f t="shared" si="453"/>
        <v>-179140.21</v>
      </c>
      <c r="AA469" s="198">
        <v>1716</v>
      </c>
      <c r="AB469" s="206">
        <v>45723</v>
      </c>
      <c r="AC469" s="207"/>
      <c r="AD469" s="201">
        <v>-4835</v>
      </c>
      <c r="AE469" s="204">
        <f t="shared" si="454"/>
        <v>-4835</v>
      </c>
      <c r="AF469" s="203">
        <f t="shared" si="455"/>
        <v>45566</v>
      </c>
      <c r="AG469" s="201">
        <f t="shared" si="456"/>
        <v>0</v>
      </c>
      <c r="AH469" s="201">
        <f t="shared" si="457"/>
        <v>3046024.79</v>
      </c>
      <c r="AI469" s="199">
        <f t="shared" si="458"/>
        <v>3046024.79</v>
      </c>
      <c r="AJ469" s="201">
        <f t="shared" si="477"/>
        <v>0</v>
      </c>
      <c r="AK469" s="201">
        <f t="shared" si="477"/>
        <v>3046024.79</v>
      </c>
      <c r="AL469" s="201">
        <f t="shared" si="459"/>
        <v>3046024.79</v>
      </c>
      <c r="AM469" s="198"/>
      <c r="AN469" s="203"/>
      <c r="AO469" s="208"/>
      <c r="AP469" s="201">
        <f t="shared" si="460"/>
        <v>0</v>
      </c>
      <c r="AQ469" s="201">
        <f t="shared" si="461"/>
        <v>2887207.59</v>
      </c>
      <c r="AR469" s="201">
        <f t="shared" si="462"/>
        <v>2887207.59</v>
      </c>
      <c r="AS469" s="201">
        <f t="shared" si="463"/>
        <v>94.786083142809872</v>
      </c>
      <c r="AT469" s="201"/>
      <c r="AU469" s="223">
        <v>2887207.59</v>
      </c>
      <c r="AV469" s="201">
        <f t="shared" si="464"/>
        <v>2887207.59</v>
      </c>
      <c r="AW469" s="201">
        <f t="shared" si="473"/>
        <v>10.603984611694509</v>
      </c>
      <c r="AX469" s="201">
        <f t="shared" si="465"/>
        <v>94.786083142809872</v>
      </c>
      <c r="AY469" s="208"/>
      <c r="AZ469" s="201">
        <f t="shared" si="466"/>
        <v>0</v>
      </c>
      <c r="BA469" s="201">
        <f t="shared" si="467"/>
        <v>0</v>
      </c>
      <c r="BB469" s="201">
        <f t="shared" si="468"/>
        <v>0</v>
      </c>
      <c r="BC469" s="201"/>
      <c r="BD469" s="223">
        <v>0</v>
      </c>
      <c r="BE469" s="201">
        <f t="shared" si="444"/>
        <v>0</v>
      </c>
      <c r="BF469" s="208"/>
      <c r="BG469" s="201">
        <f t="shared" si="475"/>
        <v>0</v>
      </c>
      <c r="BH469" s="201">
        <f t="shared" si="475"/>
        <v>2887207.59</v>
      </c>
      <c r="BI469" s="201">
        <f t="shared" si="469"/>
        <v>2887207.59</v>
      </c>
      <c r="BJ469" s="201">
        <f t="shared" si="470"/>
        <v>94.786083142809872</v>
      </c>
      <c r="BK469" s="210">
        <v>28.41</v>
      </c>
      <c r="BL469" s="210">
        <v>80</v>
      </c>
      <c r="BM469" s="211"/>
      <c r="BN469" s="211"/>
      <c r="BO469" s="212">
        <f t="shared" si="471"/>
        <v>0</v>
      </c>
      <c r="BP469" s="201">
        <f t="shared" si="472"/>
        <v>158817.20000000019</v>
      </c>
      <c r="BQ469" s="201">
        <f t="shared" si="445"/>
        <v>158817.20000000019</v>
      </c>
      <c r="BR469" s="201">
        <f t="shared" si="476"/>
        <v>0</v>
      </c>
      <c r="BS469" s="201">
        <f t="shared" si="476"/>
        <v>158817.20000000019</v>
      </c>
      <c r="BT469" s="201">
        <f t="shared" si="446"/>
        <v>158817.20000000019</v>
      </c>
      <c r="BU469" s="213">
        <f t="shared" si="474"/>
        <v>0</v>
      </c>
      <c r="BV469" s="201">
        <f>179140.21+4835</f>
        <v>183975.21</v>
      </c>
      <c r="BW469" s="201"/>
      <c r="BX469" s="201">
        <f t="shared" si="447"/>
        <v>183975.21</v>
      </c>
      <c r="BY469" s="199">
        <v>161500</v>
      </c>
      <c r="BZ469" s="199">
        <v>323000</v>
      </c>
      <c r="CA469" s="199">
        <v>323000</v>
      </c>
      <c r="CB469" s="199">
        <v>323000</v>
      </c>
      <c r="CC469" s="199">
        <v>323000</v>
      </c>
      <c r="CD469" s="199">
        <v>484500</v>
      </c>
      <c r="CE469" s="199">
        <v>484500</v>
      </c>
      <c r="CF469" s="199">
        <v>323000</v>
      </c>
      <c r="CG469" s="199">
        <v>323000</v>
      </c>
      <c r="CH469" s="199">
        <v>161500</v>
      </c>
      <c r="CI469" s="199">
        <v>0</v>
      </c>
      <c r="CJ469" s="199">
        <v>0</v>
      </c>
      <c r="CK469" s="214" t="s">
        <v>1197</v>
      </c>
      <c r="CL469" s="214" t="s">
        <v>610</v>
      </c>
      <c r="CM469" s="211">
        <v>198</v>
      </c>
      <c r="CN469" s="215"/>
      <c r="CO469" s="215"/>
      <c r="CP469" s="216"/>
      <c r="CQ469" s="217"/>
      <c r="CR469" s="211"/>
      <c r="CS469" s="218"/>
      <c r="CT469" s="218"/>
      <c r="CU469" s="218"/>
      <c r="CV469" s="211"/>
      <c r="CW469" s="211"/>
      <c r="CX469" s="211"/>
      <c r="CY469" s="211"/>
      <c r="CZ469" s="211"/>
      <c r="DA469" s="211"/>
      <c r="DB469" s="211"/>
      <c r="DC469" s="219"/>
      <c r="DD469" s="219"/>
      <c r="DE469" s="219"/>
      <c r="DF469" s="211"/>
      <c r="DG469" s="211"/>
      <c r="DH469" s="211"/>
      <c r="DI469" s="211"/>
      <c r="DJ469" s="211"/>
      <c r="DK469" s="220" t="s">
        <v>32</v>
      </c>
      <c r="DT469" s="222"/>
    </row>
    <row r="470" spans="1:124" s="176" customFormat="1" ht="42" x14ac:dyDescent="0.2">
      <c r="A470" s="225" t="s">
        <v>208</v>
      </c>
      <c r="B470" s="197" t="s">
        <v>1198</v>
      </c>
      <c r="C470" s="198">
        <v>1</v>
      </c>
      <c r="D470" s="199">
        <v>500000</v>
      </c>
      <c r="E470" s="198" t="s">
        <v>1068</v>
      </c>
      <c r="F470" s="198" t="s">
        <v>150</v>
      </c>
      <c r="G470" s="198" t="s">
        <v>151</v>
      </c>
      <c r="H470" s="200">
        <v>1</v>
      </c>
      <c r="I470" s="199">
        <f t="shared" si="448"/>
        <v>0</v>
      </c>
      <c r="J470" s="199">
        <f t="shared" si="449"/>
        <v>500000</v>
      </c>
      <c r="K470" s="199">
        <f t="shared" si="450"/>
        <v>500000</v>
      </c>
      <c r="L470" s="199">
        <v>0</v>
      </c>
      <c r="M470" s="199">
        <v>500000</v>
      </c>
      <c r="N470" s="199">
        <f t="shared" si="451"/>
        <v>500000</v>
      </c>
      <c r="O470" s="199"/>
      <c r="P470" s="201">
        <v>0</v>
      </c>
      <c r="Q470" s="202">
        <v>15</v>
      </c>
      <c r="R470" s="203">
        <v>45566</v>
      </c>
      <c r="S470" s="199"/>
      <c r="T470" s="199">
        <v>500000</v>
      </c>
      <c r="U470" s="204">
        <f t="shared" si="452"/>
        <v>500000</v>
      </c>
      <c r="V470" s="205">
        <v>2242</v>
      </c>
      <c r="W470" s="200">
        <v>45791</v>
      </c>
      <c r="X470" s="201"/>
      <c r="Y470" s="201">
        <v>-343.85</v>
      </c>
      <c r="Z470" s="201">
        <f t="shared" si="453"/>
        <v>-343.85</v>
      </c>
      <c r="AA470" s="198"/>
      <c r="AB470" s="206"/>
      <c r="AC470" s="207"/>
      <c r="AD470" s="201"/>
      <c r="AE470" s="204">
        <f t="shared" si="454"/>
        <v>0</v>
      </c>
      <c r="AF470" s="203">
        <f t="shared" si="455"/>
        <v>45566</v>
      </c>
      <c r="AG470" s="201">
        <f t="shared" si="456"/>
        <v>0</v>
      </c>
      <c r="AH470" s="201">
        <f t="shared" si="457"/>
        <v>499656.15</v>
      </c>
      <c r="AI470" s="199">
        <f t="shared" si="458"/>
        <v>499656.15</v>
      </c>
      <c r="AJ470" s="201">
        <f t="shared" si="477"/>
        <v>0</v>
      </c>
      <c r="AK470" s="201">
        <f t="shared" si="477"/>
        <v>499656.15</v>
      </c>
      <c r="AL470" s="201">
        <f t="shared" si="459"/>
        <v>499656.15</v>
      </c>
      <c r="AM470" s="198"/>
      <c r="AN470" s="203"/>
      <c r="AO470" s="208"/>
      <c r="AP470" s="201">
        <f t="shared" si="460"/>
        <v>0</v>
      </c>
      <c r="AQ470" s="201">
        <f t="shared" si="461"/>
        <v>499505.15</v>
      </c>
      <c r="AR470" s="201">
        <f t="shared" si="462"/>
        <v>499505.15</v>
      </c>
      <c r="AS470" s="201">
        <f t="shared" si="463"/>
        <v>99.969779217167641</v>
      </c>
      <c r="AT470" s="201"/>
      <c r="AU470" s="209">
        <v>499505.15</v>
      </c>
      <c r="AV470" s="201">
        <f t="shared" si="464"/>
        <v>499505.15</v>
      </c>
      <c r="AW470" s="201">
        <f t="shared" si="473"/>
        <v>0</v>
      </c>
      <c r="AX470" s="201">
        <f t="shared" si="465"/>
        <v>99.969779217167641</v>
      </c>
      <c r="AY470" s="208"/>
      <c r="AZ470" s="201">
        <f t="shared" si="466"/>
        <v>0</v>
      </c>
      <c r="BA470" s="201">
        <f t="shared" si="467"/>
        <v>0</v>
      </c>
      <c r="BB470" s="201">
        <f t="shared" si="468"/>
        <v>0</v>
      </c>
      <c r="BC470" s="201"/>
      <c r="BD470" s="209">
        <v>0</v>
      </c>
      <c r="BE470" s="201">
        <f t="shared" si="444"/>
        <v>0</v>
      </c>
      <c r="BF470" s="208"/>
      <c r="BG470" s="201">
        <f t="shared" si="475"/>
        <v>0</v>
      </c>
      <c r="BH470" s="201">
        <f t="shared" si="475"/>
        <v>499505.15</v>
      </c>
      <c r="BI470" s="201">
        <f t="shared" si="469"/>
        <v>499505.15</v>
      </c>
      <c r="BJ470" s="201">
        <f t="shared" si="470"/>
        <v>99.969779217167641</v>
      </c>
      <c r="BK470" s="210">
        <v>60</v>
      </c>
      <c r="BL470" s="210">
        <v>100</v>
      </c>
      <c r="BM470" s="211"/>
      <c r="BN470" s="211"/>
      <c r="BO470" s="212">
        <f t="shared" si="471"/>
        <v>0</v>
      </c>
      <c r="BP470" s="201">
        <f t="shared" si="472"/>
        <v>151</v>
      </c>
      <c r="BQ470" s="201">
        <f t="shared" si="445"/>
        <v>151</v>
      </c>
      <c r="BR470" s="201">
        <f t="shared" si="476"/>
        <v>0</v>
      </c>
      <c r="BS470" s="201">
        <f t="shared" si="476"/>
        <v>151</v>
      </c>
      <c r="BT470" s="201">
        <f t="shared" si="446"/>
        <v>151</v>
      </c>
      <c r="BU470" s="213">
        <f t="shared" si="474"/>
        <v>0</v>
      </c>
      <c r="BV470" s="201">
        <v>343.85</v>
      </c>
      <c r="BW470" s="201"/>
      <c r="BX470" s="201">
        <f t="shared" si="447"/>
        <v>343.85</v>
      </c>
      <c r="BY470" s="199">
        <v>100000</v>
      </c>
      <c r="BZ470" s="199">
        <v>100000</v>
      </c>
      <c r="CA470" s="199">
        <v>100000</v>
      </c>
      <c r="CB470" s="199">
        <v>100000</v>
      </c>
      <c r="CC470" s="199">
        <v>100000</v>
      </c>
      <c r="CD470" s="199"/>
      <c r="CE470" s="199">
        <v>0</v>
      </c>
      <c r="CF470" s="199">
        <v>0</v>
      </c>
      <c r="CG470" s="199">
        <v>0</v>
      </c>
      <c r="CH470" s="199">
        <v>0</v>
      </c>
      <c r="CI470" s="199">
        <v>0</v>
      </c>
      <c r="CJ470" s="199">
        <v>0</v>
      </c>
      <c r="CK470" s="214" t="s">
        <v>1199</v>
      </c>
      <c r="CL470" s="214" t="s">
        <v>610</v>
      </c>
      <c r="CM470" s="211">
        <v>198</v>
      </c>
      <c r="CN470" s="215"/>
      <c r="CO470" s="215"/>
      <c r="CP470" s="216"/>
      <c r="CQ470" s="217"/>
      <c r="CR470" s="211"/>
      <c r="CS470" s="218"/>
      <c r="CT470" s="218"/>
      <c r="CU470" s="218"/>
      <c r="CV470" s="211"/>
      <c r="CW470" s="211"/>
      <c r="CX470" s="211"/>
      <c r="CY470" s="211"/>
      <c r="CZ470" s="211"/>
      <c r="DA470" s="211"/>
      <c r="DB470" s="211"/>
      <c r="DC470" s="219"/>
      <c r="DD470" s="219"/>
      <c r="DE470" s="219"/>
      <c r="DF470" s="211"/>
      <c r="DG470" s="211"/>
      <c r="DH470" s="211"/>
      <c r="DI470" s="211"/>
      <c r="DJ470" s="211"/>
      <c r="DK470" s="220" t="s">
        <v>32</v>
      </c>
      <c r="DT470" s="222"/>
    </row>
    <row r="471" spans="1:124" s="176" customFormat="1" ht="63" x14ac:dyDescent="0.2">
      <c r="A471" s="225" t="s">
        <v>197</v>
      </c>
      <c r="B471" s="197" t="s">
        <v>1200</v>
      </c>
      <c r="C471" s="198">
        <v>1</v>
      </c>
      <c r="D471" s="199">
        <v>1000000</v>
      </c>
      <c r="E471" s="198" t="s">
        <v>1068</v>
      </c>
      <c r="F471" s="198" t="s">
        <v>150</v>
      </c>
      <c r="G471" s="198" t="s">
        <v>151</v>
      </c>
      <c r="H471" s="200">
        <v>1</v>
      </c>
      <c r="I471" s="199">
        <f t="shared" si="448"/>
        <v>1000000</v>
      </c>
      <c r="J471" s="199">
        <f t="shared" si="449"/>
        <v>0</v>
      </c>
      <c r="K471" s="199">
        <f t="shared" si="450"/>
        <v>1000000</v>
      </c>
      <c r="L471" s="199">
        <v>1000000</v>
      </c>
      <c r="M471" s="199">
        <v>0</v>
      </c>
      <c r="N471" s="199">
        <f t="shared" si="451"/>
        <v>1000000</v>
      </c>
      <c r="O471" s="199"/>
      <c r="P471" s="201">
        <v>0</v>
      </c>
      <c r="Q471" s="202">
        <v>1481</v>
      </c>
      <c r="R471" s="203">
        <v>45695</v>
      </c>
      <c r="S471" s="199">
        <v>997852</v>
      </c>
      <c r="T471" s="199">
        <v>0</v>
      </c>
      <c r="U471" s="204">
        <f t="shared" si="452"/>
        <v>997852</v>
      </c>
      <c r="V471" s="205"/>
      <c r="W471" s="200"/>
      <c r="X471" s="201"/>
      <c r="Y471" s="201"/>
      <c r="Z471" s="201">
        <f t="shared" si="453"/>
        <v>0</v>
      </c>
      <c r="AA471" s="198"/>
      <c r="AB471" s="206"/>
      <c r="AC471" s="207"/>
      <c r="AD471" s="201"/>
      <c r="AE471" s="204">
        <f t="shared" si="454"/>
        <v>0</v>
      </c>
      <c r="AF471" s="203">
        <f t="shared" si="455"/>
        <v>45695</v>
      </c>
      <c r="AG471" s="201">
        <f t="shared" si="456"/>
        <v>997852</v>
      </c>
      <c r="AH471" s="201">
        <f t="shared" si="457"/>
        <v>0</v>
      </c>
      <c r="AI471" s="199">
        <f t="shared" si="458"/>
        <v>997852</v>
      </c>
      <c r="AJ471" s="201">
        <f t="shared" si="477"/>
        <v>997852</v>
      </c>
      <c r="AK471" s="201">
        <f t="shared" si="477"/>
        <v>0</v>
      </c>
      <c r="AL471" s="201">
        <f t="shared" si="459"/>
        <v>997852</v>
      </c>
      <c r="AM471" s="198"/>
      <c r="AN471" s="203"/>
      <c r="AO471" s="208"/>
      <c r="AP471" s="201">
        <f t="shared" si="460"/>
        <v>997852</v>
      </c>
      <c r="AQ471" s="201">
        <f t="shared" si="461"/>
        <v>0</v>
      </c>
      <c r="AR471" s="201">
        <f t="shared" si="462"/>
        <v>997852</v>
      </c>
      <c r="AS471" s="201">
        <f t="shared" si="463"/>
        <v>100</v>
      </c>
      <c r="AT471" s="201">
        <v>997852</v>
      </c>
      <c r="AU471" s="209"/>
      <c r="AV471" s="201">
        <f t="shared" si="464"/>
        <v>997852</v>
      </c>
      <c r="AW471" s="201">
        <f t="shared" si="473"/>
        <v>0</v>
      </c>
      <c r="AX471" s="201">
        <f t="shared" si="465"/>
        <v>100</v>
      </c>
      <c r="AY471" s="208"/>
      <c r="AZ471" s="201">
        <f t="shared" si="466"/>
        <v>0</v>
      </c>
      <c r="BA471" s="201">
        <f t="shared" si="467"/>
        <v>0</v>
      </c>
      <c r="BB471" s="201">
        <f t="shared" si="468"/>
        <v>0</v>
      </c>
      <c r="BC471" s="201"/>
      <c r="BD471" s="209">
        <v>0</v>
      </c>
      <c r="BE471" s="201">
        <f t="shared" ref="BE471:BE534" si="478">SUM(BC471:BD471)</f>
        <v>0</v>
      </c>
      <c r="BF471" s="208"/>
      <c r="BG471" s="201">
        <f t="shared" si="475"/>
        <v>997852</v>
      </c>
      <c r="BH471" s="201">
        <f t="shared" si="475"/>
        <v>0</v>
      </c>
      <c r="BI471" s="201">
        <f t="shared" si="469"/>
        <v>997852</v>
      </c>
      <c r="BJ471" s="201">
        <f t="shared" si="470"/>
        <v>100</v>
      </c>
      <c r="BK471" s="210">
        <v>10</v>
      </c>
      <c r="BL471" s="210">
        <v>100</v>
      </c>
      <c r="BM471" s="211"/>
      <c r="BN471" s="211"/>
      <c r="BO471" s="212">
        <f t="shared" si="471"/>
        <v>0</v>
      </c>
      <c r="BP471" s="201">
        <f t="shared" si="472"/>
        <v>0</v>
      </c>
      <c r="BQ471" s="201">
        <f t="shared" ref="BQ471:BQ534" si="479">SUM(BO471:BP471)</f>
        <v>0</v>
      </c>
      <c r="BR471" s="201">
        <f t="shared" si="476"/>
        <v>0</v>
      </c>
      <c r="BS471" s="201">
        <f t="shared" si="476"/>
        <v>0</v>
      </c>
      <c r="BT471" s="201">
        <f t="shared" ref="BT471:BT534" si="480">SUM(BR471:BS471)</f>
        <v>0</v>
      </c>
      <c r="BU471" s="213">
        <f t="shared" si="474"/>
        <v>0</v>
      </c>
      <c r="BV471" s="201"/>
      <c r="BW471" s="201"/>
      <c r="BX471" s="201">
        <f t="shared" ref="BX471:BX534" si="481">SUM(BV471:BW471)</f>
        <v>0</v>
      </c>
      <c r="BY471" s="199">
        <v>0</v>
      </c>
      <c r="BZ471" s="199">
        <v>0</v>
      </c>
      <c r="CA471" s="199">
        <v>200000</v>
      </c>
      <c r="CB471" s="199">
        <v>200000</v>
      </c>
      <c r="CC471" s="199">
        <v>200000</v>
      </c>
      <c r="CD471" s="199">
        <v>200000</v>
      </c>
      <c r="CE471" s="199">
        <v>200000</v>
      </c>
      <c r="CF471" s="199">
        <v>0</v>
      </c>
      <c r="CG471" s="199">
        <v>0</v>
      </c>
      <c r="CH471" s="199">
        <v>0</v>
      </c>
      <c r="CI471" s="199">
        <v>0</v>
      </c>
      <c r="CJ471" s="199">
        <v>0</v>
      </c>
      <c r="CK471" s="214"/>
      <c r="CL471" s="214"/>
      <c r="CM471" s="211">
        <v>191</v>
      </c>
      <c r="CN471" s="215"/>
      <c r="CO471" s="215"/>
      <c r="CP471" s="216"/>
      <c r="CQ471" s="217"/>
      <c r="CR471" s="211"/>
      <c r="CS471" s="218"/>
      <c r="CT471" s="218"/>
      <c r="CU471" s="218"/>
      <c r="CV471" s="211"/>
      <c r="CW471" s="211"/>
      <c r="CX471" s="211"/>
      <c r="CY471" s="211"/>
      <c r="CZ471" s="211"/>
      <c r="DA471" s="211"/>
      <c r="DB471" s="211"/>
      <c r="DC471" s="219"/>
      <c r="DD471" s="219"/>
      <c r="DE471" s="219"/>
      <c r="DF471" s="211"/>
      <c r="DG471" s="211"/>
      <c r="DH471" s="211"/>
      <c r="DI471" s="211"/>
      <c r="DJ471" s="211"/>
      <c r="DK471" s="220" t="s">
        <v>70</v>
      </c>
      <c r="DT471" s="222"/>
    </row>
    <row r="472" spans="1:124" s="176" customFormat="1" ht="42" x14ac:dyDescent="0.2">
      <c r="A472" s="195" t="s">
        <v>154</v>
      </c>
      <c r="B472" s="197" t="s">
        <v>1201</v>
      </c>
      <c r="C472" s="198">
        <v>1</v>
      </c>
      <c r="D472" s="199">
        <v>1000000</v>
      </c>
      <c r="E472" s="198" t="s">
        <v>156</v>
      </c>
      <c r="F472" s="198" t="s">
        <v>150</v>
      </c>
      <c r="G472" s="198" t="s">
        <v>151</v>
      </c>
      <c r="H472" s="200">
        <v>1</v>
      </c>
      <c r="I472" s="199">
        <f t="shared" si="448"/>
        <v>0</v>
      </c>
      <c r="J472" s="199">
        <f t="shared" si="449"/>
        <v>1000000</v>
      </c>
      <c r="K472" s="199">
        <f t="shared" si="450"/>
        <v>1000000</v>
      </c>
      <c r="L472" s="199">
        <v>0</v>
      </c>
      <c r="M472" s="199">
        <v>1000000</v>
      </c>
      <c r="N472" s="199">
        <f t="shared" si="451"/>
        <v>1000000</v>
      </c>
      <c r="O472" s="199"/>
      <c r="P472" s="201">
        <v>0</v>
      </c>
      <c r="Q472" s="202">
        <v>15</v>
      </c>
      <c r="R472" s="203">
        <v>45566</v>
      </c>
      <c r="S472" s="199"/>
      <c r="T472" s="199">
        <v>1000000</v>
      </c>
      <c r="U472" s="204">
        <f t="shared" si="452"/>
        <v>1000000</v>
      </c>
      <c r="V472" s="205"/>
      <c r="W472" s="200"/>
      <c r="X472" s="201"/>
      <c r="Y472" s="201"/>
      <c r="Z472" s="201">
        <f t="shared" si="453"/>
        <v>0</v>
      </c>
      <c r="AA472" s="198"/>
      <c r="AB472" s="206"/>
      <c r="AC472" s="207"/>
      <c r="AD472" s="201"/>
      <c r="AE472" s="204">
        <f t="shared" si="454"/>
        <v>0</v>
      </c>
      <c r="AF472" s="203">
        <f t="shared" si="455"/>
        <v>45566</v>
      </c>
      <c r="AG472" s="201">
        <f t="shared" si="456"/>
        <v>0</v>
      </c>
      <c r="AH472" s="201">
        <f t="shared" si="457"/>
        <v>1000000</v>
      </c>
      <c r="AI472" s="199">
        <f t="shared" si="458"/>
        <v>1000000</v>
      </c>
      <c r="AJ472" s="201">
        <f t="shared" si="477"/>
        <v>0</v>
      </c>
      <c r="AK472" s="201">
        <f t="shared" si="477"/>
        <v>1000000</v>
      </c>
      <c r="AL472" s="201">
        <f t="shared" si="459"/>
        <v>1000000</v>
      </c>
      <c r="AM472" s="198"/>
      <c r="AN472" s="203"/>
      <c r="AO472" s="208"/>
      <c r="AP472" s="201">
        <f t="shared" si="460"/>
        <v>0</v>
      </c>
      <c r="AQ472" s="201">
        <f t="shared" si="461"/>
        <v>1000000</v>
      </c>
      <c r="AR472" s="201">
        <f t="shared" si="462"/>
        <v>1000000</v>
      </c>
      <c r="AS472" s="201">
        <f t="shared" si="463"/>
        <v>100</v>
      </c>
      <c r="AT472" s="201"/>
      <c r="AU472" s="209">
        <v>1000000</v>
      </c>
      <c r="AV472" s="201">
        <f t="shared" si="464"/>
        <v>1000000</v>
      </c>
      <c r="AW472" s="201">
        <f t="shared" si="473"/>
        <v>10</v>
      </c>
      <c r="AX472" s="201">
        <f t="shared" si="465"/>
        <v>100</v>
      </c>
      <c r="AY472" s="208"/>
      <c r="AZ472" s="201">
        <f t="shared" si="466"/>
        <v>0</v>
      </c>
      <c r="BA472" s="201">
        <f t="shared" si="467"/>
        <v>0</v>
      </c>
      <c r="BB472" s="201">
        <f t="shared" si="468"/>
        <v>0</v>
      </c>
      <c r="BC472" s="201"/>
      <c r="BD472" s="223">
        <v>0</v>
      </c>
      <c r="BE472" s="201">
        <f t="shared" si="478"/>
        <v>0</v>
      </c>
      <c r="BF472" s="208"/>
      <c r="BG472" s="201">
        <f t="shared" si="475"/>
        <v>0</v>
      </c>
      <c r="BH472" s="201">
        <f t="shared" si="475"/>
        <v>1000000</v>
      </c>
      <c r="BI472" s="201">
        <f t="shared" si="469"/>
        <v>1000000</v>
      </c>
      <c r="BJ472" s="201">
        <f t="shared" si="470"/>
        <v>100</v>
      </c>
      <c r="BK472" s="210">
        <v>20</v>
      </c>
      <c r="BL472" s="210">
        <v>100</v>
      </c>
      <c r="BM472" s="211"/>
      <c r="BN472" s="211"/>
      <c r="BO472" s="212">
        <f t="shared" si="471"/>
        <v>0</v>
      </c>
      <c r="BP472" s="201">
        <f t="shared" si="472"/>
        <v>0</v>
      </c>
      <c r="BQ472" s="201">
        <f t="shared" si="479"/>
        <v>0</v>
      </c>
      <c r="BR472" s="201">
        <f t="shared" si="476"/>
        <v>0</v>
      </c>
      <c r="BS472" s="201">
        <f t="shared" si="476"/>
        <v>0</v>
      </c>
      <c r="BT472" s="201">
        <f t="shared" si="480"/>
        <v>0</v>
      </c>
      <c r="BU472" s="213">
        <f t="shared" si="474"/>
        <v>0</v>
      </c>
      <c r="BV472" s="201"/>
      <c r="BW472" s="201"/>
      <c r="BX472" s="201">
        <f t="shared" si="481"/>
        <v>0</v>
      </c>
      <c r="BY472" s="199">
        <v>100000</v>
      </c>
      <c r="BZ472" s="199">
        <v>100000</v>
      </c>
      <c r="CA472" s="199">
        <v>100000</v>
      </c>
      <c r="CB472" s="199">
        <v>100000</v>
      </c>
      <c r="CC472" s="199">
        <v>100000</v>
      </c>
      <c r="CD472" s="199">
        <v>100000</v>
      </c>
      <c r="CE472" s="199">
        <v>100000</v>
      </c>
      <c r="CF472" s="199">
        <v>100000</v>
      </c>
      <c r="CG472" s="199">
        <v>100000</v>
      </c>
      <c r="CH472" s="199">
        <v>100000</v>
      </c>
      <c r="CI472" s="199">
        <v>0</v>
      </c>
      <c r="CJ472" s="199">
        <v>0</v>
      </c>
      <c r="CK472" s="214" t="s">
        <v>1202</v>
      </c>
      <c r="CL472" s="214" t="s">
        <v>610</v>
      </c>
      <c r="CM472" s="211">
        <v>198</v>
      </c>
      <c r="CN472" s="215"/>
      <c r="CO472" s="215"/>
      <c r="CP472" s="216"/>
      <c r="CQ472" s="217"/>
      <c r="CR472" s="211"/>
      <c r="CS472" s="218"/>
      <c r="CT472" s="218"/>
      <c r="CU472" s="218"/>
      <c r="CV472" s="211"/>
      <c r="CW472" s="211"/>
      <c r="CX472" s="211"/>
      <c r="CY472" s="211"/>
      <c r="CZ472" s="211"/>
      <c r="DA472" s="211"/>
      <c r="DB472" s="211"/>
      <c r="DC472" s="219"/>
      <c r="DD472" s="219"/>
      <c r="DE472" s="219"/>
      <c r="DF472" s="211"/>
      <c r="DG472" s="211"/>
      <c r="DH472" s="211"/>
      <c r="DI472" s="211"/>
      <c r="DJ472" s="211"/>
      <c r="DK472" s="220" t="s">
        <v>32</v>
      </c>
      <c r="DT472" s="222"/>
    </row>
    <row r="473" spans="1:124" s="176" customFormat="1" ht="63" x14ac:dyDescent="0.2">
      <c r="A473" s="195" t="s">
        <v>208</v>
      </c>
      <c r="B473" s="197" t="s">
        <v>1203</v>
      </c>
      <c r="C473" s="198">
        <v>1</v>
      </c>
      <c r="D473" s="199">
        <v>1000000</v>
      </c>
      <c r="E473" s="198" t="s">
        <v>1068</v>
      </c>
      <c r="F473" s="198" t="s">
        <v>150</v>
      </c>
      <c r="G473" s="198" t="s">
        <v>151</v>
      </c>
      <c r="H473" s="200">
        <v>1</v>
      </c>
      <c r="I473" s="199">
        <f t="shared" si="448"/>
        <v>1000000</v>
      </c>
      <c r="J473" s="199">
        <f t="shared" si="449"/>
        <v>0</v>
      </c>
      <c r="K473" s="199">
        <f t="shared" si="450"/>
        <v>1000000</v>
      </c>
      <c r="L473" s="199">
        <v>1000000</v>
      </c>
      <c r="M473" s="199">
        <v>0</v>
      </c>
      <c r="N473" s="199">
        <f t="shared" si="451"/>
        <v>1000000</v>
      </c>
      <c r="O473" s="199"/>
      <c r="P473" s="201">
        <v>0</v>
      </c>
      <c r="Q473" s="202">
        <v>1326</v>
      </c>
      <c r="R473" s="203">
        <v>45680</v>
      </c>
      <c r="S473" s="199">
        <v>1000000</v>
      </c>
      <c r="T473" s="199">
        <v>0</v>
      </c>
      <c r="U473" s="204">
        <f t="shared" si="452"/>
        <v>1000000</v>
      </c>
      <c r="V473" s="205"/>
      <c r="W473" s="200"/>
      <c r="X473" s="201"/>
      <c r="Y473" s="201"/>
      <c r="Z473" s="201">
        <f t="shared" si="453"/>
        <v>0</v>
      </c>
      <c r="AA473" s="198"/>
      <c r="AB473" s="206"/>
      <c r="AC473" s="207"/>
      <c r="AD473" s="201"/>
      <c r="AE473" s="204">
        <f t="shared" si="454"/>
        <v>0</v>
      </c>
      <c r="AF473" s="203">
        <f t="shared" si="455"/>
        <v>45680</v>
      </c>
      <c r="AG473" s="201">
        <f t="shared" si="456"/>
        <v>1000000</v>
      </c>
      <c r="AH473" s="201">
        <f t="shared" si="457"/>
        <v>0</v>
      </c>
      <c r="AI473" s="199">
        <f t="shared" si="458"/>
        <v>1000000</v>
      </c>
      <c r="AJ473" s="201">
        <f t="shared" si="477"/>
        <v>1000000</v>
      </c>
      <c r="AK473" s="201">
        <f t="shared" si="477"/>
        <v>0</v>
      </c>
      <c r="AL473" s="201">
        <f t="shared" si="459"/>
        <v>1000000</v>
      </c>
      <c r="AM473" s="198"/>
      <c r="AN473" s="203"/>
      <c r="AO473" s="208"/>
      <c r="AP473" s="201">
        <f t="shared" si="460"/>
        <v>1000000</v>
      </c>
      <c r="AQ473" s="201">
        <f t="shared" si="461"/>
        <v>0</v>
      </c>
      <c r="AR473" s="201">
        <f t="shared" si="462"/>
        <v>1000000</v>
      </c>
      <c r="AS473" s="201">
        <f t="shared" si="463"/>
        <v>100</v>
      </c>
      <c r="AT473" s="201">
        <v>1000000</v>
      </c>
      <c r="AU473" s="209"/>
      <c r="AV473" s="201">
        <f t="shared" si="464"/>
        <v>1000000</v>
      </c>
      <c r="AW473" s="201">
        <f t="shared" si="473"/>
        <v>11</v>
      </c>
      <c r="AX473" s="201">
        <f t="shared" si="465"/>
        <v>100</v>
      </c>
      <c r="AY473" s="208"/>
      <c r="AZ473" s="201">
        <f t="shared" si="466"/>
        <v>0</v>
      </c>
      <c r="BA473" s="201">
        <f t="shared" si="467"/>
        <v>0</v>
      </c>
      <c r="BB473" s="201">
        <f t="shared" si="468"/>
        <v>0</v>
      </c>
      <c r="BC473" s="201"/>
      <c r="BD473" s="209">
        <v>0</v>
      </c>
      <c r="BE473" s="201">
        <f t="shared" si="478"/>
        <v>0</v>
      </c>
      <c r="BF473" s="208"/>
      <c r="BG473" s="201">
        <f t="shared" si="475"/>
        <v>1000000</v>
      </c>
      <c r="BH473" s="201">
        <f t="shared" si="475"/>
        <v>0</v>
      </c>
      <c r="BI473" s="201">
        <f t="shared" si="469"/>
        <v>1000000</v>
      </c>
      <c r="BJ473" s="201">
        <f t="shared" si="470"/>
        <v>100</v>
      </c>
      <c r="BK473" s="210">
        <v>18</v>
      </c>
      <c r="BL473" s="210">
        <v>100</v>
      </c>
      <c r="BM473" s="211"/>
      <c r="BN473" s="211"/>
      <c r="BO473" s="212">
        <f t="shared" si="471"/>
        <v>0</v>
      </c>
      <c r="BP473" s="201">
        <f t="shared" si="472"/>
        <v>0</v>
      </c>
      <c r="BQ473" s="201">
        <f t="shared" si="479"/>
        <v>0</v>
      </c>
      <c r="BR473" s="201">
        <f t="shared" si="476"/>
        <v>0</v>
      </c>
      <c r="BS473" s="201">
        <f t="shared" si="476"/>
        <v>0</v>
      </c>
      <c r="BT473" s="201">
        <f t="shared" si="480"/>
        <v>0</v>
      </c>
      <c r="BU473" s="213">
        <f t="shared" si="474"/>
        <v>0</v>
      </c>
      <c r="BV473" s="201"/>
      <c r="BW473" s="201"/>
      <c r="BX473" s="201">
        <f t="shared" si="481"/>
        <v>0</v>
      </c>
      <c r="BY473" s="199">
        <v>30000</v>
      </c>
      <c r="BZ473" s="199">
        <v>70000</v>
      </c>
      <c r="CA473" s="199">
        <v>80000</v>
      </c>
      <c r="CB473" s="199">
        <v>90000</v>
      </c>
      <c r="CC473" s="199">
        <v>90000</v>
      </c>
      <c r="CD473" s="199">
        <v>100000</v>
      </c>
      <c r="CE473" s="199">
        <v>110000</v>
      </c>
      <c r="CF473" s="199">
        <v>110000</v>
      </c>
      <c r="CG473" s="199">
        <v>100000</v>
      </c>
      <c r="CH473" s="199">
        <v>90000</v>
      </c>
      <c r="CI473" s="199">
        <v>80000</v>
      </c>
      <c r="CJ473" s="199">
        <v>50000</v>
      </c>
      <c r="CK473" s="214"/>
      <c r="CL473" s="214"/>
      <c r="CM473" s="211">
        <v>191</v>
      </c>
      <c r="CN473" s="215"/>
      <c r="CO473" s="215"/>
      <c r="CP473" s="216"/>
      <c r="CQ473" s="217"/>
      <c r="CR473" s="211"/>
      <c r="CS473" s="218"/>
      <c r="CT473" s="218"/>
      <c r="CU473" s="218"/>
      <c r="CV473" s="211"/>
      <c r="CW473" s="211"/>
      <c r="CX473" s="211"/>
      <c r="CY473" s="211"/>
      <c r="CZ473" s="211"/>
      <c r="DA473" s="211"/>
      <c r="DB473" s="211"/>
      <c r="DC473" s="219"/>
      <c r="DD473" s="219"/>
      <c r="DE473" s="219"/>
      <c r="DF473" s="211"/>
      <c r="DG473" s="211"/>
      <c r="DH473" s="211"/>
      <c r="DI473" s="211"/>
      <c r="DJ473" s="211"/>
      <c r="DK473" s="220" t="s">
        <v>70</v>
      </c>
      <c r="DT473" s="222"/>
    </row>
    <row r="474" spans="1:124" s="176" customFormat="1" ht="42" x14ac:dyDescent="0.2">
      <c r="A474" s="195" t="s">
        <v>154</v>
      </c>
      <c r="B474" s="197" t="s">
        <v>1204</v>
      </c>
      <c r="C474" s="198">
        <v>1</v>
      </c>
      <c r="D474" s="199">
        <v>2000000</v>
      </c>
      <c r="E474" s="198" t="s">
        <v>1205</v>
      </c>
      <c r="F474" s="198" t="s">
        <v>527</v>
      </c>
      <c r="G474" s="198" t="s">
        <v>151</v>
      </c>
      <c r="H474" s="200">
        <v>1</v>
      </c>
      <c r="I474" s="199">
        <f t="shared" si="448"/>
        <v>0</v>
      </c>
      <c r="J474" s="199">
        <f t="shared" si="449"/>
        <v>2000000</v>
      </c>
      <c r="K474" s="199">
        <f t="shared" si="450"/>
        <v>2000000</v>
      </c>
      <c r="L474" s="199">
        <v>0</v>
      </c>
      <c r="M474" s="199">
        <v>2000000</v>
      </c>
      <c r="N474" s="199">
        <f t="shared" si="451"/>
        <v>2000000</v>
      </c>
      <c r="O474" s="199"/>
      <c r="P474" s="201">
        <v>0</v>
      </c>
      <c r="Q474" s="202">
        <v>15</v>
      </c>
      <c r="R474" s="203">
        <v>45566</v>
      </c>
      <c r="S474" s="199"/>
      <c r="T474" s="199">
        <v>2000000</v>
      </c>
      <c r="U474" s="204">
        <f t="shared" si="452"/>
        <v>2000000</v>
      </c>
      <c r="V474" s="205">
        <v>690</v>
      </c>
      <c r="W474" s="200">
        <v>45622</v>
      </c>
      <c r="X474" s="201"/>
      <c r="Y474" s="201">
        <v>-50275</v>
      </c>
      <c r="Z474" s="201">
        <f t="shared" si="453"/>
        <v>-50275</v>
      </c>
      <c r="AA474" s="198">
        <v>2399</v>
      </c>
      <c r="AB474" s="206">
        <v>45814</v>
      </c>
      <c r="AC474" s="207"/>
      <c r="AD474" s="201">
        <v>-2172.9</v>
      </c>
      <c r="AE474" s="204">
        <f t="shared" si="454"/>
        <v>-2172.9</v>
      </c>
      <c r="AF474" s="203">
        <f t="shared" si="455"/>
        <v>45566</v>
      </c>
      <c r="AG474" s="201">
        <f t="shared" si="456"/>
        <v>0</v>
      </c>
      <c r="AH474" s="201">
        <f t="shared" si="457"/>
        <v>1947552.1</v>
      </c>
      <c r="AI474" s="199">
        <f t="shared" si="458"/>
        <v>1947552.1</v>
      </c>
      <c r="AJ474" s="201">
        <f t="shared" si="477"/>
        <v>0</v>
      </c>
      <c r="AK474" s="201">
        <f t="shared" si="477"/>
        <v>1947552.1</v>
      </c>
      <c r="AL474" s="201">
        <f t="shared" si="459"/>
        <v>1947552.1</v>
      </c>
      <c r="AM474" s="198"/>
      <c r="AN474" s="203"/>
      <c r="AO474" s="208"/>
      <c r="AP474" s="201">
        <f t="shared" si="460"/>
        <v>0</v>
      </c>
      <c r="AQ474" s="201">
        <f t="shared" si="461"/>
        <v>1947552.1</v>
      </c>
      <c r="AR474" s="201">
        <f t="shared" si="462"/>
        <v>1947552.1</v>
      </c>
      <c r="AS474" s="201">
        <f t="shared" si="463"/>
        <v>100</v>
      </c>
      <c r="AT474" s="201"/>
      <c r="AU474" s="209">
        <v>1947552.1</v>
      </c>
      <c r="AV474" s="201">
        <f t="shared" si="464"/>
        <v>1947552.1</v>
      </c>
      <c r="AW474" s="201">
        <f t="shared" si="473"/>
        <v>0</v>
      </c>
      <c r="AX474" s="201">
        <f t="shared" si="465"/>
        <v>100</v>
      </c>
      <c r="AY474" s="208"/>
      <c r="AZ474" s="201">
        <f t="shared" si="466"/>
        <v>0</v>
      </c>
      <c r="BA474" s="201">
        <f t="shared" si="467"/>
        <v>0</v>
      </c>
      <c r="BB474" s="201">
        <f t="shared" si="468"/>
        <v>0</v>
      </c>
      <c r="BC474" s="201"/>
      <c r="BD474" s="209">
        <v>0</v>
      </c>
      <c r="BE474" s="201">
        <f t="shared" si="478"/>
        <v>0</v>
      </c>
      <c r="BF474" s="208"/>
      <c r="BG474" s="201">
        <f t="shared" si="475"/>
        <v>0</v>
      </c>
      <c r="BH474" s="201">
        <f t="shared" si="475"/>
        <v>1947552.1</v>
      </c>
      <c r="BI474" s="201">
        <f t="shared" si="469"/>
        <v>1947552.1</v>
      </c>
      <c r="BJ474" s="201">
        <f t="shared" si="470"/>
        <v>100</v>
      </c>
      <c r="BK474" s="210">
        <v>35.299999999999997</v>
      </c>
      <c r="BL474" s="210">
        <v>100</v>
      </c>
      <c r="BM474" s="211"/>
      <c r="BN474" s="211"/>
      <c r="BO474" s="212">
        <f t="shared" si="471"/>
        <v>0</v>
      </c>
      <c r="BP474" s="201">
        <f t="shared" si="472"/>
        <v>0</v>
      </c>
      <c r="BQ474" s="201">
        <f t="shared" si="479"/>
        <v>0</v>
      </c>
      <c r="BR474" s="201">
        <f t="shared" si="476"/>
        <v>0</v>
      </c>
      <c r="BS474" s="201">
        <f t="shared" si="476"/>
        <v>0</v>
      </c>
      <c r="BT474" s="201">
        <f t="shared" si="480"/>
        <v>0</v>
      </c>
      <c r="BU474" s="213">
        <f t="shared" si="474"/>
        <v>0</v>
      </c>
      <c r="BV474" s="201">
        <f>50275+2172.9</f>
        <v>52447.9</v>
      </c>
      <c r="BW474" s="201"/>
      <c r="BX474" s="201">
        <f t="shared" si="481"/>
        <v>52447.9</v>
      </c>
      <c r="BY474" s="199">
        <v>500000</v>
      </c>
      <c r="BZ474" s="199">
        <v>500000</v>
      </c>
      <c r="CA474" s="199">
        <v>500000</v>
      </c>
      <c r="CB474" s="199">
        <v>500000</v>
      </c>
      <c r="CC474" s="199">
        <v>0</v>
      </c>
      <c r="CD474" s="199">
        <v>0</v>
      </c>
      <c r="CE474" s="199">
        <v>0</v>
      </c>
      <c r="CF474" s="199">
        <v>0</v>
      </c>
      <c r="CG474" s="199">
        <v>0</v>
      </c>
      <c r="CH474" s="199">
        <v>0</v>
      </c>
      <c r="CI474" s="199">
        <v>0</v>
      </c>
      <c r="CJ474" s="199">
        <v>0</v>
      </c>
      <c r="CK474" s="214" t="s">
        <v>1206</v>
      </c>
      <c r="CL474" s="214" t="s">
        <v>610</v>
      </c>
      <c r="CM474" s="211">
        <v>198</v>
      </c>
      <c r="CN474" s="215"/>
      <c r="CO474" s="215"/>
      <c r="CP474" s="216"/>
      <c r="CQ474" s="217"/>
      <c r="CR474" s="211"/>
      <c r="CS474" s="218"/>
      <c r="CT474" s="218"/>
      <c r="CU474" s="218"/>
      <c r="CV474" s="211"/>
      <c r="CW474" s="211"/>
      <c r="CX474" s="211"/>
      <c r="CY474" s="211"/>
      <c r="CZ474" s="211"/>
      <c r="DA474" s="211"/>
      <c r="DB474" s="211"/>
      <c r="DC474" s="219"/>
      <c r="DD474" s="219"/>
      <c r="DE474" s="219"/>
      <c r="DF474" s="211"/>
      <c r="DG474" s="211"/>
      <c r="DH474" s="211"/>
      <c r="DI474" s="211"/>
      <c r="DJ474" s="211"/>
      <c r="DK474" s="220" t="s">
        <v>32</v>
      </c>
      <c r="DT474" s="222"/>
    </row>
    <row r="475" spans="1:124" s="176" customFormat="1" ht="42" x14ac:dyDescent="0.2">
      <c r="A475" s="195" t="s">
        <v>154</v>
      </c>
      <c r="B475" s="197" t="s">
        <v>1207</v>
      </c>
      <c r="C475" s="198">
        <v>1</v>
      </c>
      <c r="D475" s="199">
        <v>2000000</v>
      </c>
      <c r="E475" s="198" t="s">
        <v>554</v>
      </c>
      <c r="F475" s="198" t="s">
        <v>555</v>
      </c>
      <c r="G475" s="198" t="s">
        <v>151</v>
      </c>
      <c r="H475" s="200">
        <v>1</v>
      </c>
      <c r="I475" s="199">
        <f t="shared" si="448"/>
        <v>0</v>
      </c>
      <c r="J475" s="199">
        <f t="shared" si="449"/>
        <v>2000000</v>
      </c>
      <c r="K475" s="199">
        <f t="shared" si="450"/>
        <v>2000000</v>
      </c>
      <c r="L475" s="199">
        <v>0</v>
      </c>
      <c r="M475" s="199">
        <v>2000000</v>
      </c>
      <c r="N475" s="199">
        <f t="shared" si="451"/>
        <v>2000000</v>
      </c>
      <c r="O475" s="199"/>
      <c r="P475" s="201">
        <v>0</v>
      </c>
      <c r="Q475" s="202">
        <v>15</v>
      </c>
      <c r="R475" s="203">
        <v>45566</v>
      </c>
      <c r="S475" s="199"/>
      <c r="T475" s="199">
        <v>2000000</v>
      </c>
      <c r="U475" s="204">
        <f t="shared" si="452"/>
        <v>2000000</v>
      </c>
      <c r="V475" s="205">
        <v>690</v>
      </c>
      <c r="W475" s="200">
        <v>45622</v>
      </c>
      <c r="X475" s="201"/>
      <c r="Y475" s="201">
        <v>-4011</v>
      </c>
      <c r="Z475" s="201">
        <f t="shared" si="453"/>
        <v>-4011</v>
      </c>
      <c r="AA475" s="198"/>
      <c r="AB475" s="206"/>
      <c r="AC475" s="207"/>
      <c r="AD475" s="201"/>
      <c r="AE475" s="204">
        <f t="shared" si="454"/>
        <v>0</v>
      </c>
      <c r="AF475" s="203">
        <f t="shared" si="455"/>
        <v>45566</v>
      </c>
      <c r="AG475" s="201">
        <f t="shared" si="456"/>
        <v>0</v>
      </c>
      <c r="AH475" s="201">
        <f t="shared" si="457"/>
        <v>1995989</v>
      </c>
      <c r="AI475" s="199">
        <f t="shared" si="458"/>
        <v>1995989</v>
      </c>
      <c r="AJ475" s="201">
        <f t="shared" si="477"/>
        <v>0</v>
      </c>
      <c r="AK475" s="201">
        <f t="shared" si="477"/>
        <v>1995989</v>
      </c>
      <c r="AL475" s="201">
        <f t="shared" si="459"/>
        <v>1995989</v>
      </c>
      <c r="AM475" s="198"/>
      <c r="AN475" s="203"/>
      <c r="AO475" s="208"/>
      <c r="AP475" s="201">
        <f t="shared" si="460"/>
        <v>0</v>
      </c>
      <c r="AQ475" s="201">
        <f t="shared" si="461"/>
        <v>1958903.85</v>
      </c>
      <c r="AR475" s="201">
        <f t="shared" si="462"/>
        <v>1958903.85</v>
      </c>
      <c r="AS475" s="201">
        <f t="shared" si="463"/>
        <v>98.142016313717164</v>
      </c>
      <c r="AT475" s="201"/>
      <c r="AU475" s="223">
        <v>1958903.85</v>
      </c>
      <c r="AV475" s="201">
        <f t="shared" si="464"/>
        <v>1958903.85</v>
      </c>
      <c r="AW475" s="201">
        <f t="shared" si="473"/>
        <v>10.020095301126409</v>
      </c>
      <c r="AX475" s="201">
        <f t="shared" si="465"/>
        <v>98.142016313717164</v>
      </c>
      <c r="AY475" s="208"/>
      <c r="AZ475" s="201">
        <f t="shared" si="466"/>
        <v>0</v>
      </c>
      <c r="BA475" s="201">
        <f t="shared" si="467"/>
        <v>0</v>
      </c>
      <c r="BB475" s="201">
        <f t="shared" si="468"/>
        <v>0</v>
      </c>
      <c r="BC475" s="201"/>
      <c r="BD475" s="223">
        <v>0</v>
      </c>
      <c r="BE475" s="201">
        <f t="shared" si="478"/>
        <v>0</v>
      </c>
      <c r="BF475" s="208"/>
      <c r="BG475" s="201">
        <f t="shared" si="475"/>
        <v>0</v>
      </c>
      <c r="BH475" s="201">
        <f t="shared" si="475"/>
        <v>1958903.85</v>
      </c>
      <c r="BI475" s="201">
        <f t="shared" si="469"/>
        <v>1958903.85</v>
      </c>
      <c r="BJ475" s="201">
        <f t="shared" si="470"/>
        <v>98.142016313717164</v>
      </c>
      <c r="BK475" s="210">
        <v>20</v>
      </c>
      <c r="BL475" s="210">
        <v>95</v>
      </c>
      <c r="BM475" s="211"/>
      <c r="BN475" s="211"/>
      <c r="BO475" s="212">
        <f t="shared" si="471"/>
        <v>0</v>
      </c>
      <c r="BP475" s="201">
        <f t="shared" si="472"/>
        <v>37085.149999999907</v>
      </c>
      <c r="BQ475" s="201">
        <f t="shared" si="479"/>
        <v>37085.149999999907</v>
      </c>
      <c r="BR475" s="201">
        <f t="shared" si="476"/>
        <v>0</v>
      </c>
      <c r="BS475" s="201">
        <f t="shared" si="476"/>
        <v>37085.149999999907</v>
      </c>
      <c r="BT475" s="201">
        <f t="shared" si="480"/>
        <v>37085.149999999907</v>
      </c>
      <c r="BU475" s="213">
        <f t="shared" si="474"/>
        <v>0</v>
      </c>
      <c r="BV475" s="201">
        <v>4011</v>
      </c>
      <c r="BW475" s="201"/>
      <c r="BX475" s="201">
        <f t="shared" si="481"/>
        <v>4011</v>
      </c>
      <c r="BY475" s="199">
        <v>100000</v>
      </c>
      <c r="BZ475" s="199">
        <v>100000</v>
      </c>
      <c r="CA475" s="199">
        <v>200000</v>
      </c>
      <c r="CB475" s="199">
        <v>200000</v>
      </c>
      <c r="CC475" s="199">
        <v>200000</v>
      </c>
      <c r="CD475" s="199">
        <v>200000</v>
      </c>
      <c r="CE475" s="199">
        <v>200000</v>
      </c>
      <c r="CF475" s="199">
        <v>200000</v>
      </c>
      <c r="CG475" s="199">
        <v>200000</v>
      </c>
      <c r="CH475" s="199">
        <v>200000</v>
      </c>
      <c r="CI475" s="199">
        <v>100000</v>
      </c>
      <c r="CJ475" s="199">
        <v>100000</v>
      </c>
      <c r="CK475" s="214" t="s">
        <v>1208</v>
      </c>
      <c r="CL475" s="214" t="s">
        <v>610</v>
      </c>
      <c r="CM475" s="211">
        <v>198</v>
      </c>
      <c r="CN475" s="215"/>
      <c r="CO475" s="215"/>
      <c r="CP475" s="216"/>
      <c r="CQ475" s="217"/>
      <c r="CR475" s="211"/>
      <c r="CS475" s="218"/>
      <c r="CT475" s="218"/>
      <c r="CU475" s="218"/>
      <c r="CV475" s="211"/>
      <c r="CW475" s="211"/>
      <c r="CX475" s="211"/>
      <c r="CY475" s="211"/>
      <c r="CZ475" s="211"/>
      <c r="DA475" s="211"/>
      <c r="DB475" s="211"/>
      <c r="DC475" s="219"/>
      <c r="DD475" s="219"/>
      <c r="DE475" s="219"/>
      <c r="DF475" s="211"/>
      <c r="DG475" s="211"/>
      <c r="DH475" s="211"/>
      <c r="DI475" s="211"/>
      <c r="DJ475" s="211"/>
      <c r="DK475" s="220" t="s">
        <v>32</v>
      </c>
      <c r="DT475" s="222"/>
    </row>
    <row r="476" spans="1:124" s="176" customFormat="1" ht="42" x14ac:dyDescent="0.2">
      <c r="A476" s="195" t="s">
        <v>154</v>
      </c>
      <c r="B476" s="197" t="s">
        <v>1209</v>
      </c>
      <c r="C476" s="198">
        <v>1</v>
      </c>
      <c r="D476" s="199">
        <v>4500000</v>
      </c>
      <c r="E476" s="198" t="s">
        <v>1205</v>
      </c>
      <c r="F476" s="198" t="s">
        <v>527</v>
      </c>
      <c r="G476" s="198" t="s">
        <v>151</v>
      </c>
      <c r="H476" s="200">
        <v>1</v>
      </c>
      <c r="I476" s="199">
        <f t="shared" si="448"/>
        <v>0</v>
      </c>
      <c r="J476" s="199">
        <f t="shared" si="449"/>
        <v>4500000</v>
      </c>
      <c r="K476" s="199">
        <f t="shared" si="450"/>
        <v>4500000</v>
      </c>
      <c r="L476" s="199">
        <v>0</v>
      </c>
      <c r="M476" s="199">
        <v>4500000</v>
      </c>
      <c r="N476" s="199">
        <f t="shared" si="451"/>
        <v>4500000</v>
      </c>
      <c r="O476" s="199"/>
      <c r="P476" s="201">
        <v>0</v>
      </c>
      <c r="Q476" s="202">
        <v>15</v>
      </c>
      <c r="R476" s="203">
        <v>45566</v>
      </c>
      <c r="S476" s="199"/>
      <c r="T476" s="199">
        <v>4500000</v>
      </c>
      <c r="U476" s="204">
        <f t="shared" si="452"/>
        <v>4500000</v>
      </c>
      <c r="V476" s="205">
        <v>1206</v>
      </c>
      <c r="W476" s="200">
        <v>45672</v>
      </c>
      <c r="X476" s="201"/>
      <c r="Y476" s="201">
        <v>-39923.9</v>
      </c>
      <c r="Z476" s="201">
        <f t="shared" si="453"/>
        <v>-39923.9</v>
      </c>
      <c r="AA476" s="198">
        <v>1716</v>
      </c>
      <c r="AB476" s="206">
        <v>45723</v>
      </c>
      <c r="AC476" s="207"/>
      <c r="AD476" s="201">
        <v>-82666</v>
      </c>
      <c r="AE476" s="204">
        <f t="shared" si="454"/>
        <v>-82666</v>
      </c>
      <c r="AF476" s="203">
        <f t="shared" si="455"/>
        <v>45566</v>
      </c>
      <c r="AG476" s="201">
        <f t="shared" si="456"/>
        <v>0</v>
      </c>
      <c r="AH476" s="201">
        <f t="shared" si="457"/>
        <v>4377410.0999999996</v>
      </c>
      <c r="AI476" s="199">
        <f t="shared" si="458"/>
        <v>4377410.0999999996</v>
      </c>
      <c r="AJ476" s="201">
        <f t="shared" si="477"/>
        <v>0</v>
      </c>
      <c r="AK476" s="201">
        <f t="shared" si="477"/>
        <v>4377410.0999999996</v>
      </c>
      <c r="AL476" s="201">
        <f t="shared" si="459"/>
        <v>4377410.0999999996</v>
      </c>
      <c r="AM476" s="198"/>
      <c r="AN476" s="203"/>
      <c r="AO476" s="208"/>
      <c r="AP476" s="201">
        <f t="shared" si="460"/>
        <v>0</v>
      </c>
      <c r="AQ476" s="201">
        <f t="shared" si="461"/>
        <v>4100930.09</v>
      </c>
      <c r="AR476" s="201">
        <f t="shared" si="462"/>
        <v>4100930.09</v>
      </c>
      <c r="AS476" s="201">
        <f t="shared" si="463"/>
        <v>93.683936307452669</v>
      </c>
      <c r="AT476" s="201"/>
      <c r="AU476" s="223">
        <v>4100930.09</v>
      </c>
      <c r="AV476" s="201">
        <f t="shared" si="464"/>
        <v>4100930.09</v>
      </c>
      <c r="AW476" s="201">
        <f t="shared" si="473"/>
        <v>10.280051211103114</v>
      </c>
      <c r="AX476" s="201">
        <f t="shared" si="465"/>
        <v>93.683936307452669</v>
      </c>
      <c r="AY476" s="208"/>
      <c r="AZ476" s="201">
        <f t="shared" si="466"/>
        <v>0</v>
      </c>
      <c r="BA476" s="201">
        <f t="shared" si="467"/>
        <v>0</v>
      </c>
      <c r="BB476" s="201">
        <f t="shared" si="468"/>
        <v>0</v>
      </c>
      <c r="BC476" s="201"/>
      <c r="BD476" s="223">
        <v>0</v>
      </c>
      <c r="BE476" s="201">
        <f t="shared" si="478"/>
        <v>0</v>
      </c>
      <c r="BF476" s="208"/>
      <c r="BG476" s="201">
        <f t="shared" si="475"/>
        <v>0</v>
      </c>
      <c r="BH476" s="201">
        <f t="shared" si="475"/>
        <v>4100930.09</v>
      </c>
      <c r="BI476" s="201">
        <f t="shared" si="469"/>
        <v>4100930.09</v>
      </c>
      <c r="BJ476" s="201">
        <f t="shared" si="470"/>
        <v>93.683936307452669</v>
      </c>
      <c r="BK476" s="210">
        <v>39.58</v>
      </c>
      <c r="BL476" s="210">
        <v>90</v>
      </c>
      <c r="BM476" s="211"/>
      <c r="BN476" s="211"/>
      <c r="BO476" s="212">
        <f t="shared" si="471"/>
        <v>0</v>
      </c>
      <c r="BP476" s="201">
        <f t="shared" si="472"/>
        <v>276480.00999999978</v>
      </c>
      <c r="BQ476" s="201">
        <f t="shared" si="479"/>
        <v>276480.00999999978</v>
      </c>
      <c r="BR476" s="201">
        <f t="shared" si="476"/>
        <v>0</v>
      </c>
      <c r="BS476" s="201">
        <f t="shared" si="476"/>
        <v>276480.00999999978</v>
      </c>
      <c r="BT476" s="201">
        <f t="shared" si="480"/>
        <v>276480.00999999978</v>
      </c>
      <c r="BU476" s="213">
        <f t="shared" si="474"/>
        <v>0</v>
      </c>
      <c r="BV476" s="201">
        <f>39923.9+82666</f>
        <v>122589.9</v>
      </c>
      <c r="BW476" s="201"/>
      <c r="BX476" s="201">
        <f t="shared" si="481"/>
        <v>122589.9</v>
      </c>
      <c r="BY476" s="199">
        <v>225000</v>
      </c>
      <c r="BZ476" s="199">
        <v>450000</v>
      </c>
      <c r="CA476" s="199">
        <v>450000</v>
      </c>
      <c r="CB476" s="199">
        <v>450000</v>
      </c>
      <c r="CC476" s="199">
        <v>450000</v>
      </c>
      <c r="CD476" s="199">
        <v>450000</v>
      </c>
      <c r="CE476" s="199">
        <v>450000</v>
      </c>
      <c r="CF476" s="199">
        <v>450000</v>
      </c>
      <c r="CG476" s="199">
        <v>450000</v>
      </c>
      <c r="CH476" s="199">
        <v>225000</v>
      </c>
      <c r="CI476" s="199">
        <v>225000</v>
      </c>
      <c r="CJ476" s="199">
        <v>225000</v>
      </c>
      <c r="CK476" s="214" t="s">
        <v>1210</v>
      </c>
      <c r="CL476" s="214" t="s">
        <v>610</v>
      </c>
      <c r="CM476" s="211">
        <v>198</v>
      </c>
      <c r="CN476" s="215"/>
      <c r="CO476" s="215"/>
      <c r="CP476" s="216"/>
      <c r="CQ476" s="217"/>
      <c r="CR476" s="211"/>
      <c r="CS476" s="218"/>
      <c r="CT476" s="218"/>
      <c r="CU476" s="218"/>
      <c r="CV476" s="211"/>
      <c r="CW476" s="211"/>
      <c r="CX476" s="211"/>
      <c r="CY476" s="211"/>
      <c r="CZ476" s="211"/>
      <c r="DA476" s="211"/>
      <c r="DB476" s="211"/>
      <c r="DC476" s="219"/>
      <c r="DD476" s="219"/>
      <c r="DE476" s="219"/>
      <c r="DF476" s="211"/>
      <c r="DG476" s="211"/>
      <c r="DH476" s="211"/>
      <c r="DI476" s="211"/>
      <c r="DJ476" s="211"/>
      <c r="DK476" s="220" t="s">
        <v>32</v>
      </c>
      <c r="DT476" s="222"/>
    </row>
    <row r="477" spans="1:124" s="176" customFormat="1" ht="42" x14ac:dyDescent="0.2">
      <c r="A477" s="195" t="s">
        <v>154</v>
      </c>
      <c r="B477" s="197" t="s">
        <v>1211</v>
      </c>
      <c r="C477" s="198">
        <v>1</v>
      </c>
      <c r="D477" s="199">
        <v>2500000</v>
      </c>
      <c r="E477" s="198" t="s">
        <v>1205</v>
      </c>
      <c r="F477" s="198" t="s">
        <v>527</v>
      </c>
      <c r="G477" s="198" t="s">
        <v>151</v>
      </c>
      <c r="H477" s="200">
        <v>1</v>
      </c>
      <c r="I477" s="199">
        <f t="shared" si="448"/>
        <v>496000</v>
      </c>
      <c r="J477" s="199">
        <f t="shared" si="449"/>
        <v>2004000</v>
      </c>
      <c r="K477" s="199">
        <f t="shared" si="450"/>
        <v>2500000</v>
      </c>
      <c r="L477" s="199">
        <v>496000</v>
      </c>
      <c r="M477" s="199">
        <f>9000+1995000</f>
        <v>2004000</v>
      </c>
      <c r="N477" s="199">
        <f t="shared" si="451"/>
        <v>2500000</v>
      </c>
      <c r="O477" s="199"/>
      <c r="P477" s="201">
        <v>0</v>
      </c>
      <c r="Q477" s="202">
        <v>13</v>
      </c>
      <c r="R477" s="203">
        <v>45566</v>
      </c>
      <c r="S477" s="199"/>
      <c r="T477" s="199">
        <v>1995000</v>
      </c>
      <c r="U477" s="204">
        <f t="shared" si="452"/>
        <v>1995000</v>
      </c>
      <c r="V477" s="205">
        <v>1206</v>
      </c>
      <c r="W477" s="200">
        <v>45672</v>
      </c>
      <c r="X477" s="201"/>
      <c r="Y477" s="201">
        <v>-5146</v>
      </c>
      <c r="Z477" s="201">
        <f t="shared" si="453"/>
        <v>-5146</v>
      </c>
      <c r="AA477" s="198">
        <v>1295</v>
      </c>
      <c r="AB477" s="206">
        <v>45679</v>
      </c>
      <c r="AC477" s="207">
        <v>495793</v>
      </c>
      <c r="AD477" s="201">
        <f>8676+-1072.34</f>
        <v>7603.66</v>
      </c>
      <c r="AE477" s="204">
        <f t="shared" si="454"/>
        <v>503396.66</v>
      </c>
      <c r="AF477" s="203">
        <f t="shared" si="455"/>
        <v>45566</v>
      </c>
      <c r="AG477" s="201">
        <f t="shared" si="456"/>
        <v>495793</v>
      </c>
      <c r="AH477" s="201">
        <f t="shared" si="457"/>
        <v>1997457.66</v>
      </c>
      <c r="AI477" s="199">
        <f t="shared" si="458"/>
        <v>2493250.66</v>
      </c>
      <c r="AJ477" s="201">
        <f t="shared" si="477"/>
        <v>495793</v>
      </c>
      <c r="AK477" s="201">
        <f t="shared" si="477"/>
        <v>1997457.66</v>
      </c>
      <c r="AL477" s="201">
        <f t="shared" si="459"/>
        <v>2493250.66</v>
      </c>
      <c r="AM477" s="198"/>
      <c r="AN477" s="203"/>
      <c r="AO477" s="208"/>
      <c r="AP477" s="201">
        <f t="shared" si="460"/>
        <v>495793</v>
      </c>
      <c r="AQ477" s="201">
        <f t="shared" si="461"/>
        <v>1997457.6600000001</v>
      </c>
      <c r="AR477" s="201">
        <f t="shared" si="462"/>
        <v>2493250.66</v>
      </c>
      <c r="AS477" s="201">
        <f t="shared" si="463"/>
        <v>100</v>
      </c>
      <c r="AT477" s="201">
        <v>495793</v>
      </c>
      <c r="AU477" s="209">
        <f>2493250.66-AT477</f>
        <v>1997457.6600000001</v>
      </c>
      <c r="AV477" s="201">
        <f t="shared" si="464"/>
        <v>2493250.66</v>
      </c>
      <c r="AW477" s="201">
        <f t="shared" si="473"/>
        <v>10.027070443049636</v>
      </c>
      <c r="AX477" s="201">
        <f t="shared" si="465"/>
        <v>100</v>
      </c>
      <c r="AY477" s="208"/>
      <c r="AZ477" s="201">
        <f t="shared" si="466"/>
        <v>0</v>
      </c>
      <c r="BA477" s="201">
        <f t="shared" si="467"/>
        <v>0</v>
      </c>
      <c r="BB477" s="201">
        <f t="shared" si="468"/>
        <v>0</v>
      </c>
      <c r="BC477" s="201"/>
      <c r="BD477" s="209">
        <v>0</v>
      </c>
      <c r="BE477" s="201">
        <f t="shared" si="478"/>
        <v>0</v>
      </c>
      <c r="BF477" s="208"/>
      <c r="BG477" s="201">
        <f t="shared" si="475"/>
        <v>495793</v>
      </c>
      <c r="BH477" s="201">
        <f t="shared" si="475"/>
        <v>1997457.6600000001</v>
      </c>
      <c r="BI477" s="201">
        <f t="shared" si="469"/>
        <v>2493250.66</v>
      </c>
      <c r="BJ477" s="201">
        <f t="shared" si="470"/>
        <v>100</v>
      </c>
      <c r="BK477" s="210">
        <v>6.08</v>
      </c>
      <c r="BL477" s="210">
        <v>100</v>
      </c>
      <c r="BM477" s="211"/>
      <c r="BN477" s="211"/>
      <c r="BO477" s="212">
        <f t="shared" si="471"/>
        <v>0</v>
      </c>
      <c r="BP477" s="201">
        <f t="shared" si="472"/>
        <v>0</v>
      </c>
      <c r="BQ477" s="201">
        <f t="shared" si="479"/>
        <v>0</v>
      </c>
      <c r="BR477" s="201">
        <f t="shared" si="476"/>
        <v>0</v>
      </c>
      <c r="BS477" s="201">
        <f t="shared" si="476"/>
        <v>0</v>
      </c>
      <c r="BT477" s="201">
        <f t="shared" si="480"/>
        <v>0</v>
      </c>
      <c r="BU477" s="213">
        <f t="shared" si="474"/>
        <v>0</v>
      </c>
      <c r="BV477" s="201">
        <f>5146+1072.34</f>
        <v>6218.34</v>
      </c>
      <c r="BW477" s="201"/>
      <c r="BX477" s="201">
        <f t="shared" si="481"/>
        <v>6218.34</v>
      </c>
      <c r="BY477" s="199">
        <v>200000</v>
      </c>
      <c r="BZ477" s="199">
        <v>300000</v>
      </c>
      <c r="CA477" s="199">
        <v>350000</v>
      </c>
      <c r="CB477" s="199">
        <v>350000</v>
      </c>
      <c r="CC477" s="199">
        <v>350000</v>
      </c>
      <c r="CD477" s="199">
        <v>350000</v>
      </c>
      <c r="CE477" s="199">
        <v>350000</v>
      </c>
      <c r="CF477" s="199">
        <v>250000</v>
      </c>
      <c r="CG477" s="199">
        <v>0</v>
      </c>
      <c r="CH477" s="199">
        <v>0</v>
      </c>
      <c r="CI477" s="199">
        <v>0</v>
      </c>
      <c r="CJ477" s="199">
        <v>0</v>
      </c>
      <c r="CK477" s="214" t="s">
        <v>1212</v>
      </c>
      <c r="CL477" s="214" t="s">
        <v>610</v>
      </c>
      <c r="CM477" s="211">
        <v>198</v>
      </c>
      <c r="CN477" s="215"/>
      <c r="CO477" s="215"/>
      <c r="CP477" s="216"/>
      <c r="CQ477" s="217"/>
      <c r="CR477" s="211"/>
      <c r="CS477" s="218"/>
      <c r="CT477" s="218"/>
      <c r="CU477" s="218"/>
      <c r="CV477" s="211"/>
      <c r="CW477" s="211"/>
      <c r="CX477" s="211"/>
      <c r="CY477" s="211"/>
      <c r="CZ477" s="211"/>
      <c r="DA477" s="211"/>
      <c r="DB477" s="211"/>
      <c r="DC477" s="219"/>
      <c r="DD477" s="219"/>
      <c r="DE477" s="219"/>
      <c r="DF477" s="211"/>
      <c r="DG477" s="211"/>
      <c r="DH477" s="211"/>
      <c r="DI477" s="211"/>
      <c r="DJ477" s="211"/>
      <c r="DK477" s="220" t="s">
        <v>53</v>
      </c>
      <c r="DT477" s="222"/>
    </row>
    <row r="478" spans="1:124" s="176" customFormat="1" ht="42" x14ac:dyDescent="0.2">
      <c r="A478" s="225" t="s">
        <v>208</v>
      </c>
      <c r="B478" s="197" t="s">
        <v>1213</v>
      </c>
      <c r="C478" s="198">
        <v>1</v>
      </c>
      <c r="D478" s="199">
        <v>150000</v>
      </c>
      <c r="E478" s="198" t="s">
        <v>1214</v>
      </c>
      <c r="F478" s="198" t="s">
        <v>271</v>
      </c>
      <c r="G478" s="198" t="s">
        <v>151</v>
      </c>
      <c r="H478" s="200">
        <v>1</v>
      </c>
      <c r="I478" s="199">
        <f t="shared" si="448"/>
        <v>0</v>
      </c>
      <c r="J478" s="199">
        <f t="shared" si="449"/>
        <v>150000</v>
      </c>
      <c r="K478" s="199">
        <f t="shared" si="450"/>
        <v>150000</v>
      </c>
      <c r="L478" s="199">
        <v>0</v>
      </c>
      <c r="M478" s="199">
        <v>150000</v>
      </c>
      <c r="N478" s="199">
        <f t="shared" si="451"/>
        <v>150000</v>
      </c>
      <c r="O478" s="199"/>
      <c r="P478" s="201">
        <v>0</v>
      </c>
      <c r="Q478" s="202">
        <v>15</v>
      </c>
      <c r="R478" s="203">
        <v>45566</v>
      </c>
      <c r="S478" s="199"/>
      <c r="T478" s="199">
        <v>150000</v>
      </c>
      <c r="U478" s="204">
        <f t="shared" si="452"/>
        <v>150000</v>
      </c>
      <c r="V478" s="205">
        <v>1133</v>
      </c>
      <c r="W478" s="200">
        <v>45667</v>
      </c>
      <c r="X478" s="201"/>
      <c r="Y478" s="201">
        <v>-13.9</v>
      </c>
      <c r="Z478" s="201">
        <f t="shared" si="453"/>
        <v>-13.9</v>
      </c>
      <c r="AA478" s="198"/>
      <c r="AB478" s="206"/>
      <c r="AC478" s="207"/>
      <c r="AD478" s="201"/>
      <c r="AE478" s="204">
        <f t="shared" si="454"/>
        <v>0</v>
      </c>
      <c r="AF478" s="203">
        <f t="shared" si="455"/>
        <v>45566</v>
      </c>
      <c r="AG478" s="201">
        <f t="shared" si="456"/>
        <v>0</v>
      </c>
      <c r="AH478" s="201">
        <f t="shared" si="457"/>
        <v>149986.1</v>
      </c>
      <c r="AI478" s="199">
        <f t="shared" si="458"/>
        <v>149986.1</v>
      </c>
      <c r="AJ478" s="201">
        <f t="shared" si="477"/>
        <v>0</v>
      </c>
      <c r="AK478" s="201">
        <f t="shared" si="477"/>
        <v>149986.1</v>
      </c>
      <c r="AL478" s="201">
        <f t="shared" si="459"/>
        <v>149986.1</v>
      </c>
      <c r="AM478" s="198"/>
      <c r="AN478" s="203"/>
      <c r="AO478" s="208"/>
      <c r="AP478" s="201">
        <f t="shared" si="460"/>
        <v>0</v>
      </c>
      <c r="AQ478" s="201">
        <f t="shared" si="461"/>
        <v>149540.1</v>
      </c>
      <c r="AR478" s="201">
        <f t="shared" si="462"/>
        <v>149540.1</v>
      </c>
      <c r="AS478" s="201">
        <f t="shared" si="463"/>
        <v>99.7026391112243</v>
      </c>
      <c r="AT478" s="201"/>
      <c r="AU478" s="223">
        <v>149540.1</v>
      </c>
      <c r="AV478" s="201">
        <f t="shared" si="464"/>
        <v>149540.1</v>
      </c>
      <c r="AW478" s="201">
        <f t="shared" si="473"/>
        <v>0</v>
      </c>
      <c r="AX478" s="201">
        <f t="shared" si="465"/>
        <v>99.7026391112243</v>
      </c>
      <c r="AY478" s="208"/>
      <c r="AZ478" s="201">
        <f t="shared" si="466"/>
        <v>0</v>
      </c>
      <c r="BA478" s="201">
        <f t="shared" si="467"/>
        <v>0</v>
      </c>
      <c r="BB478" s="201">
        <f t="shared" si="468"/>
        <v>0</v>
      </c>
      <c r="BC478" s="201"/>
      <c r="BD478" s="209">
        <v>0</v>
      </c>
      <c r="BE478" s="201">
        <f t="shared" si="478"/>
        <v>0</v>
      </c>
      <c r="BF478" s="208"/>
      <c r="BG478" s="201">
        <f t="shared" si="475"/>
        <v>0</v>
      </c>
      <c r="BH478" s="201">
        <f t="shared" si="475"/>
        <v>149540.1</v>
      </c>
      <c r="BI478" s="201">
        <f t="shared" si="469"/>
        <v>149540.1</v>
      </c>
      <c r="BJ478" s="201">
        <f t="shared" si="470"/>
        <v>99.7026391112243</v>
      </c>
      <c r="BK478" s="210">
        <v>100</v>
      </c>
      <c r="BL478" s="210">
        <v>100</v>
      </c>
      <c r="BM478" s="211"/>
      <c r="BN478" s="211"/>
      <c r="BO478" s="212">
        <f t="shared" si="471"/>
        <v>0</v>
      </c>
      <c r="BP478" s="201">
        <f t="shared" si="472"/>
        <v>446</v>
      </c>
      <c r="BQ478" s="201">
        <f t="shared" si="479"/>
        <v>446</v>
      </c>
      <c r="BR478" s="201">
        <f t="shared" si="476"/>
        <v>0</v>
      </c>
      <c r="BS478" s="201">
        <f t="shared" si="476"/>
        <v>446</v>
      </c>
      <c r="BT478" s="201">
        <f t="shared" si="480"/>
        <v>446</v>
      </c>
      <c r="BU478" s="213">
        <f t="shared" si="474"/>
        <v>0</v>
      </c>
      <c r="BV478" s="201">
        <v>13.9</v>
      </c>
      <c r="BW478" s="201"/>
      <c r="BX478" s="201">
        <f t="shared" si="481"/>
        <v>13.9</v>
      </c>
      <c r="BY478" s="199">
        <v>37500</v>
      </c>
      <c r="BZ478" s="199">
        <v>52500</v>
      </c>
      <c r="CA478" s="199">
        <v>60000</v>
      </c>
      <c r="CB478" s="199">
        <v>0</v>
      </c>
      <c r="CC478" s="199">
        <v>0</v>
      </c>
      <c r="CD478" s="199">
        <v>0</v>
      </c>
      <c r="CE478" s="199">
        <v>0</v>
      </c>
      <c r="CF478" s="199">
        <v>0</v>
      </c>
      <c r="CG478" s="199">
        <v>0</v>
      </c>
      <c r="CH478" s="199">
        <v>0</v>
      </c>
      <c r="CI478" s="199">
        <v>0</v>
      </c>
      <c r="CJ478" s="199">
        <v>0</v>
      </c>
      <c r="CK478" s="214" t="s">
        <v>1215</v>
      </c>
      <c r="CL478" s="214" t="s">
        <v>610</v>
      </c>
      <c r="CM478" s="211">
        <v>198</v>
      </c>
      <c r="CN478" s="215"/>
      <c r="CO478" s="215"/>
      <c r="CP478" s="216"/>
      <c r="CQ478" s="217"/>
      <c r="CR478" s="211"/>
      <c r="CS478" s="218"/>
      <c r="CT478" s="218"/>
      <c r="CU478" s="218"/>
      <c r="CV478" s="211"/>
      <c r="CW478" s="211"/>
      <c r="CX478" s="211"/>
      <c r="CY478" s="211"/>
      <c r="CZ478" s="211"/>
      <c r="DA478" s="211"/>
      <c r="DB478" s="211"/>
      <c r="DC478" s="219"/>
      <c r="DD478" s="219"/>
      <c r="DE478" s="219"/>
      <c r="DF478" s="211"/>
      <c r="DG478" s="211"/>
      <c r="DH478" s="211"/>
      <c r="DI478" s="211"/>
      <c r="DJ478" s="211"/>
      <c r="DK478" s="220" t="s">
        <v>32</v>
      </c>
      <c r="DT478" s="222"/>
    </row>
    <row r="479" spans="1:124" s="176" customFormat="1" ht="42" x14ac:dyDescent="0.2">
      <c r="A479" s="195" t="s">
        <v>154</v>
      </c>
      <c r="B479" s="197" t="s">
        <v>1216</v>
      </c>
      <c r="C479" s="198">
        <v>1</v>
      </c>
      <c r="D479" s="199">
        <v>5000000</v>
      </c>
      <c r="E479" s="198" t="s">
        <v>1217</v>
      </c>
      <c r="F479" s="198" t="s">
        <v>541</v>
      </c>
      <c r="G479" s="198" t="s">
        <v>151</v>
      </c>
      <c r="H479" s="200">
        <v>1</v>
      </c>
      <c r="I479" s="199">
        <f t="shared" ref="I479:I542" si="482">+L479</f>
        <v>0</v>
      </c>
      <c r="J479" s="199">
        <f t="shared" ref="J479:J542" si="483">+O479+M479+P479</f>
        <v>5000000</v>
      </c>
      <c r="K479" s="199">
        <f t="shared" ref="K479:K542" si="484">I479+J479</f>
        <v>5000000</v>
      </c>
      <c r="L479" s="199">
        <v>0</v>
      </c>
      <c r="M479" s="199">
        <v>5000000</v>
      </c>
      <c r="N479" s="199">
        <f t="shared" ref="N479:N542" si="485">L479+M479</f>
        <v>5000000</v>
      </c>
      <c r="O479" s="199"/>
      <c r="P479" s="201">
        <v>0</v>
      </c>
      <c r="Q479" s="202">
        <v>15</v>
      </c>
      <c r="R479" s="203">
        <v>45566</v>
      </c>
      <c r="S479" s="199"/>
      <c r="T479" s="199">
        <v>5000000</v>
      </c>
      <c r="U479" s="204">
        <f t="shared" ref="U479:U542" si="486">S479+T479</f>
        <v>5000000</v>
      </c>
      <c r="V479" s="205">
        <v>690</v>
      </c>
      <c r="W479" s="200">
        <v>45622</v>
      </c>
      <c r="X479" s="201"/>
      <c r="Y479" s="201">
        <v>-1760</v>
      </c>
      <c r="Z479" s="201">
        <f t="shared" ref="Z479:Z542" si="487">X479+Y479</f>
        <v>-1760</v>
      </c>
      <c r="AA479" s="198">
        <v>1206</v>
      </c>
      <c r="AB479" s="206">
        <v>45672</v>
      </c>
      <c r="AC479" s="207"/>
      <c r="AD479" s="201">
        <v>-54517</v>
      </c>
      <c r="AE479" s="204">
        <f t="shared" ref="AE479:AE542" si="488">AC479+AD479</f>
        <v>-54517</v>
      </c>
      <c r="AF479" s="203">
        <f t="shared" ref="AF479:AF542" si="489">+R479</f>
        <v>45566</v>
      </c>
      <c r="AG479" s="201">
        <f t="shared" ref="AG479:AG542" si="490">+AJ479</f>
        <v>0</v>
      </c>
      <c r="AH479" s="201">
        <f t="shared" ref="AH479:AH542" si="491">+AK479+AO479</f>
        <v>4943723</v>
      </c>
      <c r="AI479" s="199">
        <f t="shared" ref="AI479:AI542" si="492">AG479+AH479</f>
        <v>4943723</v>
      </c>
      <c r="AJ479" s="201">
        <f t="shared" si="477"/>
        <v>0</v>
      </c>
      <c r="AK479" s="201">
        <f t="shared" si="477"/>
        <v>4943723</v>
      </c>
      <c r="AL479" s="201">
        <f t="shared" ref="AL479:AL542" si="493">SUM(AJ479:AK479)</f>
        <v>4943723</v>
      </c>
      <c r="AM479" s="198"/>
      <c r="AN479" s="203"/>
      <c r="AO479" s="208"/>
      <c r="AP479" s="201">
        <f t="shared" ref="AP479:AP542" si="494">+AT479</f>
        <v>0</v>
      </c>
      <c r="AQ479" s="201">
        <f t="shared" ref="AQ479:AQ542" si="495">+AU479+AY479</f>
        <v>4676049.6500000004</v>
      </c>
      <c r="AR479" s="201">
        <f t="shared" ref="AR479:AR542" si="496">SUM(AP479:AQ479)</f>
        <v>4676049.6500000004</v>
      </c>
      <c r="AS479" s="201">
        <f t="shared" ref="AS479:AS542" si="497">IF(AI479= 0,0,(AR479*100/AI479))</f>
        <v>94.585591668465256</v>
      </c>
      <c r="AT479" s="201"/>
      <c r="AU479" s="223">
        <v>4676049.6500000004</v>
      </c>
      <c r="AV479" s="201">
        <f t="shared" ref="AV479:AV542" si="498">SUM(AT479:AU479)</f>
        <v>4676049.6500000004</v>
      </c>
      <c r="AW479" s="201">
        <f t="shared" si="473"/>
        <v>5.0569176307005872</v>
      </c>
      <c r="AX479" s="201">
        <f t="shared" ref="AX479:AX542" si="499">IF(AL479= 0,0,(AV479*100/AL479))</f>
        <v>94.585591668465256</v>
      </c>
      <c r="AY479" s="208"/>
      <c r="AZ479" s="201">
        <f t="shared" ref="AZ479:AZ542" si="500">+BC479</f>
        <v>0</v>
      </c>
      <c r="BA479" s="201">
        <f t="shared" ref="BA479:BA542" si="501">+BD479+BF479</f>
        <v>0</v>
      </c>
      <c r="BB479" s="201">
        <f t="shared" ref="BB479:BB542" si="502">SUM(AZ479:BA479)</f>
        <v>0</v>
      </c>
      <c r="BC479" s="201"/>
      <c r="BD479" s="223">
        <v>0</v>
      </c>
      <c r="BE479" s="201">
        <f t="shared" si="478"/>
        <v>0</v>
      </c>
      <c r="BF479" s="208"/>
      <c r="BG479" s="201">
        <f t="shared" si="475"/>
        <v>0</v>
      </c>
      <c r="BH479" s="201">
        <f t="shared" si="475"/>
        <v>4676049.6500000004</v>
      </c>
      <c r="BI479" s="201">
        <f t="shared" ref="BI479:BI542" si="503">SUM(BG479:BH479)</f>
        <v>4676049.6500000004</v>
      </c>
      <c r="BJ479" s="201">
        <f t="shared" ref="BJ479:BJ542" si="504">+BI479*100/AI479</f>
        <v>94.585591668465256</v>
      </c>
      <c r="BK479" s="210">
        <v>17.739999999999998</v>
      </c>
      <c r="BL479" s="210">
        <v>75</v>
      </c>
      <c r="BM479" s="211"/>
      <c r="BN479" s="211"/>
      <c r="BO479" s="212">
        <f t="shared" ref="BO479:BO542" si="505">+BR479</f>
        <v>0</v>
      </c>
      <c r="BP479" s="201">
        <f t="shared" ref="BP479:BP542" si="506">+BS479+BU479</f>
        <v>267673.34999999963</v>
      </c>
      <c r="BQ479" s="201">
        <f t="shared" si="479"/>
        <v>267673.34999999963</v>
      </c>
      <c r="BR479" s="201">
        <f t="shared" si="476"/>
        <v>0</v>
      </c>
      <c r="BS479" s="201">
        <f t="shared" si="476"/>
        <v>267673.34999999963</v>
      </c>
      <c r="BT479" s="201">
        <f t="shared" si="480"/>
        <v>267673.34999999963</v>
      </c>
      <c r="BU479" s="213">
        <f t="shared" si="474"/>
        <v>0</v>
      </c>
      <c r="BV479" s="201">
        <f>1760+54517</f>
        <v>56277</v>
      </c>
      <c r="BW479" s="201"/>
      <c r="BX479" s="201">
        <f t="shared" si="481"/>
        <v>56277</v>
      </c>
      <c r="BY479" s="199">
        <v>500000</v>
      </c>
      <c r="BZ479" s="199">
        <v>1000000</v>
      </c>
      <c r="CA479" s="199">
        <v>1000000</v>
      </c>
      <c r="CB479" s="199">
        <v>500000</v>
      </c>
      <c r="CC479" s="199">
        <v>500000</v>
      </c>
      <c r="CD479" s="199">
        <v>250000</v>
      </c>
      <c r="CE479" s="199">
        <v>250000</v>
      </c>
      <c r="CF479" s="199">
        <v>250000</v>
      </c>
      <c r="CG479" s="199">
        <v>250000</v>
      </c>
      <c r="CH479" s="199">
        <v>250000</v>
      </c>
      <c r="CI479" s="199">
        <v>250000</v>
      </c>
      <c r="CJ479" s="199">
        <v>0</v>
      </c>
      <c r="CK479" s="214" t="s">
        <v>1218</v>
      </c>
      <c r="CL479" s="214" t="s">
        <v>610</v>
      </c>
      <c r="CM479" s="211">
        <v>198</v>
      </c>
      <c r="CN479" s="215"/>
      <c r="CO479" s="215"/>
      <c r="CP479" s="216"/>
      <c r="CQ479" s="217"/>
      <c r="CR479" s="211"/>
      <c r="CS479" s="218"/>
      <c r="CT479" s="218"/>
      <c r="CU479" s="218"/>
      <c r="CV479" s="211"/>
      <c r="CW479" s="211"/>
      <c r="CX479" s="211"/>
      <c r="CY479" s="211"/>
      <c r="CZ479" s="211"/>
      <c r="DA479" s="211"/>
      <c r="DB479" s="211"/>
      <c r="DC479" s="219"/>
      <c r="DD479" s="219"/>
      <c r="DE479" s="219"/>
      <c r="DF479" s="211"/>
      <c r="DG479" s="211"/>
      <c r="DH479" s="211"/>
      <c r="DI479" s="211"/>
      <c r="DJ479" s="211"/>
      <c r="DK479" s="220" t="s">
        <v>32</v>
      </c>
      <c r="DT479" s="222"/>
    </row>
    <row r="480" spans="1:124" s="176" customFormat="1" ht="42" x14ac:dyDescent="0.2">
      <c r="A480" s="225" t="s">
        <v>197</v>
      </c>
      <c r="B480" s="197" t="s">
        <v>1219</v>
      </c>
      <c r="C480" s="198">
        <v>1</v>
      </c>
      <c r="D480" s="199">
        <v>1500000</v>
      </c>
      <c r="E480" s="198" t="s">
        <v>1124</v>
      </c>
      <c r="F480" s="198" t="s">
        <v>150</v>
      </c>
      <c r="G480" s="198" t="s">
        <v>151</v>
      </c>
      <c r="H480" s="200">
        <v>1</v>
      </c>
      <c r="I480" s="199">
        <f t="shared" si="482"/>
        <v>0</v>
      </c>
      <c r="J480" s="199">
        <f t="shared" si="483"/>
        <v>1500000</v>
      </c>
      <c r="K480" s="199">
        <f t="shared" si="484"/>
        <v>1500000</v>
      </c>
      <c r="L480" s="199"/>
      <c r="M480" s="199">
        <v>1500000</v>
      </c>
      <c r="N480" s="199">
        <f t="shared" si="485"/>
        <v>1500000</v>
      </c>
      <c r="O480" s="199"/>
      <c r="P480" s="201">
        <v>0</v>
      </c>
      <c r="Q480" s="202">
        <v>15</v>
      </c>
      <c r="R480" s="203">
        <v>45566</v>
      </c>
      <c r="S480" s="199"/>
      <c r="T480" s="199">
        <v>1500000</v>
      </c>
      <c r="U480" s="204">
        <f t="shared" si="486"/>
        <v>1500000</v>
      </c>
      <c r="V480" s="205"/>
      <c r="W480" s="200"/>
      <c r="X480" s="201"/>
      <c r="Y480" s="201"/>
      <c r="Z480" s="201">
        <f t="shared" si="487"/>
        <v>0</v>
      </c>
      <c r="AA480" s="198"/>
      <c r="AB480" s="206"/>
      <c r="AC480" s="207"/>
      <c r="AD480" s="201"/>
      <c r="AE480" s="204">
        <f t="shared" si="488"/>
        <v>0</v>
      </c>
      <c r="AF480" s="203">
        <f t="shared" si="489"/>
        <v>45566</v>
      </c>
      <c r="AG480" s="201">
        <f t="shared" si="490"/>
        <v>0</v>
      </c>
      <c r="AH480" s="201">
        <f t="shared" si="491"/>
        <v>1500000</v>
      </c>
      <c r="AI480" s="199">
        <f t="shared" si="492"/>
        <v>1500000</v>
      </c>
      <c r="AJ480" s="201">
        <f t="shared" si="477"/>
        <v>0</v>
      </c>
      <c r="AK480" s="201">
        <f t="shared" si="477"/>
        <v>1500000</v>
      </c>
      <c r="AL480" s="201">
        <f t="shared" si="493"/>
        <v>1500000</v>
      </c>
      <c r="AM480" s="198"/>
      <c r="AN480" s="203"/>
      <c r="AO480" s="208"/>
      <c r="AP480" s="201">
        <f t="shared" si="494"/>
        <v>0</v>
      </c>
      <c r="AQ480" s="201">
        <f t="shared" si="495"/>
        <v>1497369.77</v>
      </c>
      <c r="AR480" s="201">
        <f t="shared" si="496"/>
        <v>1497369.77</v>
      </c>
      <c r="AS480" s="201">
        <f t="shared" si="497"/>
        <v>99.824651333333335</v>
      </c>
      <c r="AT480" s="201"/>
      <c r="AU480" s="209">
        <v>1497369.77</v>
      </c>
      <c r="AV480" s="201">
        <f t="shared" si="498"/>
        <v>1497369.77</v>
      </c>
      <c r="AW480" s="201">
        <f t="shared" si="473"/>
        <v>0</v>
      </c>
      <c r="AX480" s="201">
        <f t="shared" si="499"/>
        <v>99.824651333333335</v>
      </c>
      <c r="AY480" s="208"/>
      <c r="AZ480" s="201">
        <f t="shared" si="500"/>
        <v>0</v>
      </c>
      <c r="BA480" s="201">
        <f t="shared" si="501"/>
        <v>0</v>
      </c>
      <c r="BB480" s="201">
        <f t="shared" si="502"/>
        <v>0</v>
      </c>
      <c r="BC480" s="201"/>
      <c r="BD480" s="209">
        <v>0</v>
      </c>
      <c r="BE480" s="201">
        <f t="shared" si="478"/>
        <v>0</v>
      </c>
      <c r="BF480" s="208"/>
      <c r="BG480" s="201">
        <f t="shared" si="475"/>
        <v>0</v>
      </c>
      <c r="BH480" s="201">
        <f t="shared" si="475"/>
        <v>1497369.77</v>
      </c>
      <c r="BI480" s="201">
        <f t="shared" si="503"/>
        <v>1497369.77</v>
      </c>
      <c r="BJ480" s="201">
        <f t="shared" si="504"/>
        <v>99.824651333333335</v>
      </c>
      <c r="BK480" s="210">
        <v>79.67</v>
      </c>
      <c r="BL480" s="210">
        <v>100</v>
      </c>
      <c r="BM480" s="211"/>
      <c r="BN480" s="211"/>
      <c r="BO480" s="212">
        <f t="shared" si="505"/>
        <v>0</v>
      </c>
      <c r="BP480" s="201">
        <f t="shared" si="506"/>
        <v>2630.2299999999814</v>
      </c>
      <c r="BQ480" s="201">
        <f t="shared" si="479"/>
        <v>2630.2299999999814</v>
      </c>
      <c r="BR480" s="201">
        <f t="shared" si="476"/>
        <v>0</v>
      </c>
      <c r="BS480" s="201">
        <f t="shared" si="476"/>
        <v>2630.2299999999814</v>
      </c>
      <c r="BT480" s="201">
        <f t="shared" si="480"/>
        <v>2630.2299999999814</v>
      </c>
      <c r="BU480" s="213">
        <f t="shared" si="474"/>
        <v>0</v>
      </c>
      <c r="BV480" s="201"/>
      <c r="BW480" s="201"/>
      <c r="BX480" s="201">
        <f t="shared" si="481"/>
        <v>0</v>
      </c>
      <c r="BY480" s="199">
        <v>150000</v>
      </c>
      <c r="BZ480" s="199">
        <v>150000</v>
      </c>
      <c r="CA480" s="199">
        <v>400000</v>
      </c>
      <c r="CB480" s="199">
        <v>400000</v>
      </c>
      <c r="CC480" s="199">
        <v>200000</v>
      </c>
      <c r="CD480" s="199">
        <v>200000</v>
      </c>
      <c r="CE480" s="199">
        <v>0</v>
      </c>
      <c r="CF480" s="199">
        <v>0</v>
      </c>
      <c r="CG480" s="199">
        <v>0</v>
      </c>
      <c r="CH480" s="199">
        <v>0</v>
      </c>
      <c r="CI480" s="199">
        <v>0</v>
      </c>
      <c r="CJ480" s="199">
        <v>0</v>
      </c>
      <c r="CK480" s="214" t="s">
        <v>1220</v>
      </c>
      <c r="CL480" s="214" t="s">
        <v>610</v>
      </c>
      <c r="CM480" s="211">
        <v>198</v>
      </c>
      <c r="CN480" s="215"/>
      <c r="CO480" s="215"/>
      <c r="CP480" s="216"/>
      <c r="CQ480" s="217"/>
      <c r="CR480" s="211"/>
      <c r="CS480" s="218"/>
      <c r="CT480" s="218"/>
      <c r="CU480" s="218"/>
      <c r="CV480" s="211"/>
      <c r="CW480" s="211"/>
      <c r="CX480" s="211"/>
      <c r="CY480" s="211"/>
      <c r="CZ480" s="211"/>
      <c r="DA480" s="211"/>
      <c r="DB480" s="211"/>
      <c r="DC480" s="219"/>
      <c r="DD480" s="219"/>
      <c r="DE480" s="219"/>
      <c r="DF480" s="211"/>
      <c r="DG480" s="211"/>
      <c r="DH480" s="211"/>
      <c r="DI480" s="211"/>
      <c r="DJ480" s="211"/>
      <c r="DK480" s="220" t="s">
        <v>32</v>
      </c>
      <c r="DT480" s="222"/>
    </row>
    <row r="481" spans="1:124" s="176" customFormat="1" ht="42" x14ac:dyDescent="0.2">
      <c r="A481" s="225" t="s">
        <v>197</v>
      </c>
      <c r="B481" s="197" t="s">
        <v>1221</v>
      </c>
      <c r="C481" s="198">
        <v>1</v>
      </c>
      <c r="D481" s="199">
        <v>720000</v>
      </c>
      <c r="E481" s="198" t="s">
        <v>206</v>
      </c>
      <c r="F481" s="198" t="s">
        <v>150</v>
      </c>
      <c r="G481" s="198" t="s">
        <v>151</v>
      </c>
      <c r="H481" s="200">
        <v>1</v>
      </c>
      <c r="I481" s="199">
        <f t="shared" si="482"/>
        <v>0</v>
      </c>
      <c r="J481" s="199">
        <f t="shared" si="483"/>
        <v>720000</v>
      </c>
      <c r="K481" s="199">
        <f t="shared" si="484"/>
        <v>720000</v>
      </c>
      <c r="L481" s="199"/>
      <c r="M481" s="199">
        <v>720000</v>
      </c>
      <c r="N481" s="199">
        <f t="shared" si="485"/>
        <v>720000</v>
      </c>
      <c r="O481" s="199"/>
      <c r="P481" s="201">
        <v>0</v>
      </c>
      <c r="Q481" s="202">
        <v>15</v>
      </c>
      <c r="R481" s="203">
        <v>45566</v>
      </c>
      <c r="S481" s="199"/>
      <c r="T481" s="199">
        <v>720000</v>
      </c>
      <c r="U481" s="204">
        <f t="shared" si="486"/>
        <v>720000</v>
      </c>
      <c r="V481" s="205"/>
      <c r="W481" s="200"/>
      <c r="X481" s="201"/>
      <c r="Y481" s="201"/>
      <c r="Z481" s="201">
        <f t="shared" si="487"/>
        <v>0</v>
      </c>
      <c r="AA481" s="198"/>
      <c r="AB481" s="206"/>
      <c r="AC481" s="207"/>
      <c r="AD481" s="201"/>
      <c r="AE481" s="204">
        <f t="shared" si="488"/>
        <v>0</v>
      </c>
      <c r="AF481" s="203">
        <f t="shared" si="489"/>
        <v>45566</v>
      </c>
      <c r="AG481" s="201">
        <f t="shared" si="490"/>
        <v>0</v>
      </c>
      <c r="AH481" s="201">
        <f t="shared" si="491"/>
        <v>720000</v>
      </c>
      <c r="AI481" s="199">
        <f t="shared" si="492"/>
        <v>720000</v>
      </c>
      <c r="AJ481" s="201">
        <f t="shared" si="477"/>
        <v>0</v>
      </c>
      <c r="AK481" s="201">
        <f t="shared" si="477"/>
        <v>720000</v>
      </c>
      <c r="AL481" s="201">
        <f t="shared" si="493"/>
        <v>720000</v>
      </c>
      <c r="AM481" s="198"/>
      <c r="AN481" s="203"/>
      <c r="AO481" s="208"/>
      <c r="AP481" s="201">
        <f t="shared" si="494"/>
        <v>0</v>
      </c>
      <c r="AQ481" s="201">
        <f t="shared" si="495"/>
        <v>719205.18</v>
      </c>
      <c r="AR481" s="201">
        <f t="shared" si="496"/>
        <v>719205.18</v>
      </c>
      <c r="AS481" s="201">
        <f t="shared" si="497"/>
        <v>99.889608333333328</v>
      </c>
      <c r="AT481" s="201"/>
      <c r="AU481" s="209">
        <v>719205.18</v>
      </c>
      <c r="AV481" s="201">
        <f t="shared" si="498"/>
        <v>719205.18</v>
      </c>
      <c r="AW481" s="201">
        <f t="shared" si="473"/>
        <v>0</v>
      </c>
      <c r="AX481" s="201">
        <f t="shared" si="499"/>
        <v>99.889608333333328</v>
      </c>
      <c r="AY481" s="208"/>
      <c r="AZ481" s="201">
        <f t="shared" si="500"/>
        <v>0</v>
      </c>
      <c r="BA481" s="201">
        <f t="shared" si="501"/>
        <v>0</v>
      </c>
      <c r="BB481" s="201">
        <f t="shared" si="502"/>
        <v>0</v>
      </c>
      <c r="BC481" s="201"/>
      <c r="BD481" s="209">
        <v>0</v>
      </c>
      <c r="BE481" s="201">
        <f t="shared" si="478"/>
        <v>0</v>
      </c>
      <c r="BF481" s="208"/>
      <c r="BG481" s="201">
        <f t="shared" si="475"/>
        <v>0</v>
      </c>
      <c r="BH481" s="201">
        <f t="shared" si="475"/>
        <v>719205.18</v>
      </c>
      <c r="BI481" s="201">
        <f t="shared" si="503"/>
        <v>719205.18</v>
      </c>
      <c r="BJ481" s="201">
        <f t="shared" si="504"/>
        <v>99.889608333333328</v>
      </c>
      <c r="BK481" s="210">
        <v>79.13</v>
      </c>
      <c r="BL481" s="210">
        <v>100</v>
      </c>
      <c r="BM481" s="211"/>
      <c r="BN481" s="211"/>
      <c r="BO481" s="212">
        <f t="shared" si="505"/>
        <v>0</v>
      </c>
      <c r="BP481" s="201">
        <f t="shared" si="506"/>
        <v>794.81999999994878</v>
      </c>
      <c r="BQ481" s="201">
        <f t="shared" si="479"/>
        <v>794.81999999994878</v>
      </c>
      <c r="BR481" s="201">
        <f t="shared" si="476"/>
        <v>0</v>
      </c>
      <c r="BS481" s="201">
        <f t="shared" si="476"/>
        <v>794.81999999994878</v>
      </c>
      <c r="BT481" s="201">
        <f t="shared" si="480"/>
        <v>794.81999999994878</v>
      </c>
      <c r="BU481" s="213">
        <f t="shared" si="474"/>
        <v>0</v>
      </c>
      <c r="BV481" s="201"/>
      <c r="BW481" s="201"/>
      <c r="BX481" s="201">
        <f t="shared" si="481"/>
        <v>0</v>
      </c>
      <c r="BY481" s="199">
        <v>0</v>
      </c>
      <c r="BZ481" s="199">
        <v>36000</v>
      </c>
      <c r="CA481" s="199">
        <v>144000</v>
      </c>
      <c r="CB481" s="199">
        <v>216000</v>
      </c>
      <c r="CC481" s="199">
        <v>216000</v>
      </c>
      <c r="CD481" s="199">
        <v>108000</v>
      </c>
      <c r="CE481" s="199">
        <v>0</v>
      </c>
      <c r="CF481" s="199">
        <v>0</v>
      </c>
      <c r="CG481" s="199">
        <v>0</v>
      </c>
      <c r="CH481" s="199">
        <v>0</v>
      </c>
      <c r="CI481" s="199">
        <v>0</v>
      </c>
      <c r="CJ481" s="199">
        <v>0</v>
      </c>
      <c r="CK481" s="214" t="s">
        <v>1222</v>
      </c>
      <c r="CL481" s="214" t="s">
        <v>610</v>
      </c>
      <c r="CM481" s="211">
        <v>198</v>
      </c>
      <c r="CN481" s="215"/>
      <c r="CO481" s="215"/>
      <c r="CP481" s="216"/>
      <c r="CQ481" s="217"/>
      <c r="CR481" s="211"/>
      <c r="CS481" s="218"/>
      <c r="CT481" s="218"/>
      <c r="CU481" s="218"/>
      <c r="CV481" s="211"/>
      <c r="CW481" s="211"/>
      <c r="CX481" s="211"/>
      <c r="CY481" s="211"/>
      <c r="CZ481" s="211"/>
      <c r="DA481" s="211"/>
      <c r="DB481" s="211"/>
      <c r="DC481" s="219"/>
      <c r="DD481" s="219"/>
      <c r="DE481" s="219"/>
      <c r="DF481" s="211"/>
      <c r="DG481" s="211"/>
      <c r="DH481" s="211"/>
      <c r="DI481" s="211"/>
      <c r="DJ481" s="211"/>
      <c r="DK481" s="220" t="s">
        <v>32</v>
      </c>
      <c r="DT481" s="222"/>
    </row>
    <row r="482" spans="1:124" s="176" customFormat="1" ht="42" x14ac:dyDescent="0.2">
      <c r="A482" s="225" t="s">
        <v>208</v>
      </c>
      <c r="B482" s="197" t="s">
        <v>1223</v>
      </c>
      <c r="C482" s="198">
        <v>1</v>
      </c>
      <c r="D482" s="199">
        <v>2000000</v>
      </c>
      <c r="E482" s="198" t="s">
        <v>1078</v>
      </c>
      <c r="F482" s="198" t="s">
        <v>271</v>
      </c>
      <c r="G482" s="198" t="s">
        <v>151</v>
      </c>
      <c r="H482" s="200">
        <v>1</v>
      </c>
      <c r="I482" s="199">
        <f t="shared" si="482"/>
        <v>0</v>
      </c>
      <c r="J482" s="199">
        <f t="shared" si="483"/>
        <v>2000000</v>
      </c>
      <c r="K482" s="199">
        <f t="shared" si="484"/>
        <v>2000000</v>
      </c>
      <c r="L482" s="199"/>
      <c r="M482" s="199">
        <v>2000000</v>
      </c>
      <c r="N482" s="199">
        <f t="shared" si="485"/>
        <v>2000000</v>
      </c>
      <c r="O482" s="199"/>
      <c r="P482" s="201">
        <v>0</v>
      </c>
      <c r="Q482" s="202">
        <v>15</v>
      </c>
      <c r="R482" s="203">
        <v>45566</v>
      </c>
      <c r="S482" s="199"/>
      <c r="T482" s="199">
        <v>2000000</v>
      </c>
      <c r="U482" s="204">
        <f t="shared" si="486"/>
        <v>2000000</v>
      </c>
      <c r="V482" s="205">
        <v>2242</v>
      </c>
      <c r="W482" s="200">
        <v>45791</v>
      </c>
      <c r="X482" s="201"/>
      <c r="Y482" s="201">
        <v>-841.5</v>
      </c>
      <c r="Z482" s="201">
        <f t="shared" si="487"/>
        <v>-841.5</v>
      </c>
      <c r="AA482" s="198"/>
      <c r="AB482" s="206"/>
      <c r="AC482" s="207"/>
      <c r="AD482" s="201"/>
      <c r="AE482" s="204">
        <f t="shared" si="488"/>
        <v>0</v>
      </c>
      <c r="AF482" s="203">
        <f t="shared" si="489"/>
        <v>45566</v>
      </c>
      <c r="AG482" s="201">
        <f t="shared" si="490"/>
        <v>0</v>
      </c>
      <c r="AH482" s="201">
        <f t="shared" si="491"/>
        <v>1999158.5</v>
      </c>
      <c r="AI482" s="199">
        <f t="shared" si="492"/>
        <v>1999158.5</v>
      </c>
      <c r="AJ482" s="201">
        <f t="shared" si="477"/>
        <v>0</v>
      </c>
      <c r="AK482" s="201">
        <f t="shared" si="477"/>
        <v>1999158.5</v>
      </c>
      <c r="AL482" s="201">
        <f t="shared" si="493"/>
        <v>1999158.5</v>
      </c>
      <c r="AM482" s="198"/>
      <c r="AN482" s="203"/>
      <c r="AO482" s="208"/>
      <c r="AP482" s="201">
        <f t="shared" si="494"/>
        <v>0</v>
      </c>
      <c r="AQ482" s="201">
        <f t="shared" si="495"/>
        <v>1996680.5</v>
      </c>
      <c r="AR482" s="201">
        <f t="shared" si="496"/>
        <v>1996680.5</v>
      </c>
      <c r="AS482" s="201">
        <f t="shared" si="497"/>
        <v>99.876047847131687</v>
      </c>
      <c r="AT482" s="201"/>
      <c r="AU482" s="209">
        <v>1996680.5</v>
      </c>
      <c r="AV482" s="201">
        <f t="shared" si="498"/>
        <v>1996680.5</v>
      </c>
      <c r="AW482" s="201">
        <f t="shared" si="473"/>
        <v>7.5031569532880962</v>
      </c>
      <c r="AX482" s="201">
        <f t="shared" si="499"/>
        <v>99.876047847131687</v>
      </c>
      <c r="AY482" s="208"/>
      <c r="AZ482" s="201">
        <f t="shared" si="500"/>
        <v>0</v>
      </c>
      <c r="BA482" s="201">
        <f t="shared" si="501"/>
        <v>0</v>
      </c>
      <c r="BB482" s="201">
        <f t="shared" si="502"/>
        <v>0</v>
      </c>
      <c r="BC482" s="201"/>
      <c r="BD482" s="209">
        <v>0</v>
      </c>
      <c r="BE482" s="201">
        <f t="shared" si="478"/>
        <v>0</v>
      </c>
      <c r="BF482" s="208"/>
      <c r="BG482" s="201">
        <f t="shared" si="475"/>
        <v>0</v>
      </c>
      <c r="BH482" s="201">
        <f t="shared" si="475"/>
        <v>1996680.5</v>
      </c>
      <c r="BI482" s="201">
        <f t="shared" si="503"/>
        <v>1996680.5</v>
      </c>
      <c r="BJ482" s="201">
        <f t="shared" si="504"/>
        <v>99.876047847131687</v>
      </c>
      <c r="BK482" s="210">
        <v>40</v>
      </c>
      <c r="BL482" s="210">
        <v>95</v>
      </c>
      <c r="BM482" s="211"/>
      <c r="BN482" s="211"/>
      <c r="BO482" s="212">
        <f t="shared" si="505"/>
        <v>0</v>
      </c>
      <c r="BP482" s="201">
        <f t="shared" si="506"/>
        <v>2478</v>
      </c>
      <c r="BQ482" s="201">
        <f t="shared" si="479"/>
        <v>2478</v>
      </c>
      <c r="BR482" s="201">
        <f t="shared" si="476"/>
        <v>0</v>
      </c>
      <c r="BS482" s="201">
        <f t="shared" si="476"/>
        <v>2478</v>
      </c>
      <c r="BT482" s="201">
        <f t="shared" si="480"/>
        <v>2478</v>
      </c>
      <c r="BU482" s="213">
        <f t="shared" si="474"/>
        <v>0</v>
      </c>
      <c r="BV482" s="201">
        <v>841.5</v>
      </c>
      <c r="BW482" s="201"/>
      <c r="BX482" s="201">
        <f t="shared" si="481"/>
        <v>841.5</v>
      </c>
      <c r="BY482" s="199">
        <v>300000</v>
      </c>
      <c r="BZ482" s="199">
        <v>250000</v>
      </c>
      <c r="CA482" s="199">
        <v>250000</v>
      </c>
      <c r="CB482" s="199">
        <v>500000</v>
      </c>
      <c r="CC482" s="199">
        <v>150000</v>
      </c>
      <c r="CD482" s="199">
        <v>150000</v>
      </c>
      <c r="CE482" s="199">
        <v>150000</v>
      </c>
      <c r="CF482" s="199">
        <v>150000</v>
      </c>
      <c r="CG482" s="199">
        <v>100000</v>
      </c>
      <c r="CH482" s="199">
        <v>0</v>
      </c>
      <c r="CI482" s="199">
        <v>0</v>
      </c>
      <c r="CJ482" s="199">
        <v>0</v>
      </c>
      <c r="CK482" s="214" t="s">
        <v>1224</v>
      </c>
      <c r="CL482" s="214" t="s">
        <v>610</v>
      </c>
      <c r="CM482" s="211">
        <v>198</v>
      </c>
      <c r="CN482" s="215"/>
      <c r="CO482" s="215"/>
      <c r="CP482" s="216"/>
      <c r="CQ482" s="217"/>
      <c r="CR482" s="211"/>
      <c r="CS482" s="218"/>
      <c r="CT482" s="218"/>
      <c r="CU482" s="218"/>
      <c r="CV482" s="211"/>
      <c r="CW482" s="211"/>
      <c r="CX482" s="211"/>
      <c r="CY482" s="211"/>
      <c r="CZ482" s="211"/>
      <c r="DA482" s="211"/>
      <c r="DB482" s="211"/>
      <c r="DC482" s="219"/>
      <c r="DD482" s="219"/>
      <c r="DE482" s="219"/>
      <c r="DF482" s="211"/>
      <c r="DG482" s="211"/>
      <c r="DH482" s="211"/>
      <c r="DI482" s="211"/>
      <c r="DJ482" s="211"/>
      <c r="DK482" s="220" t="s">
        <v>32</v>
      </c>
      <c r="DT482" s="222"/>
    </row>
    <row r="483" spans="1:124" s="176" customFormat="1" ht="42" x14ac:dyDescent="0.2">
      <c r="A483" s="225" t="s">
        <v>208</v>
      </c>
      <c r="B483" s="197" t="s">
        <v>1225</v>
      </c>
      <c r="C483" s="198">
        <v>1</v>
      </c>
      <c r="D483" s="199">
        <v>3000000</v>
      </c>
      <c r="E483" s="198" t="s">
        <v>1113</v>
      </c>
      <c r="F483" s="198" t="s">
        <v>555</v>
      </c>
      <c r="G483" s="198" t="s">
        <v>151</v>
      </c>
      <c r="H483" s="200">
        <v>1</v>
      </c>
      <c r="I483" s="199">
        <f t="shared" si="482"/>
        <v>0</v>
      </c>
      <c r="J483" s="199">
        <f t="shared" si="483"/>
        <v>3000000</v>
      </c>
      <c r="K483" s="199">
        <f t="shared" si="484"/>
        <v>3000000</v>
      </c>
      <c r="L483" s="199"/>
      <c r="M483" s="199">
        <v>3000000</v>
      </c>
      <c r="N483" s="199">
        <f t="shared" si="485"/>
        <v>3000000</v>
      </c>
      <c r="O483" s="199"/>
      <c r="P483" s="201">
        <v>0</v>
      </c>
      <c r="Q483" s="202">
        <v>15</v>
      </c>
      <c r="R483" s="203">
        <v>45566</v>
      </c>
      <c r="S483" s="199"/>
      <c r="T483" s="199">
        <v>3000000</v>
      </c>
      <c r="U483" s="204">
        <f t="shared" si="486"/>
        <v>3000000</v>
      </c>
      <c r="V483" s="205">
        <v>2242</v>
      </c>
      <c r="W483" s="200">
        <v>45791</v>
      </c>
      <c r="X483" s="201"/>
      <c r="Y483" s="201">
        <v>-5567.35</v>
      </c>
      <c r="Z483" s="201">
        <f t="shared" si="487"/>
        <v>-5567.35</v>
      </c>
      <c r="AA483" s="198"/>
      <c r="AB483" s="206"/>
      <c r="AC483" s="207"/>
      <c r="AD483" s="201"/>
      <c r="AE483" s="204">
        <f t="shared" si="488"/>
        <v>0</v>
      </c>
      <c r="AF483" s="203">
        <f t="shared" si="489"/>
        <v>45566</v>
      </c>
      <c r="AG483" s="201">
        <f t="shared" si="490"/>
        <v>0</v>
      </c>
      <c r="AH483" s="201">
        <f t="shared" si="491"/>
        <v>2994432.65</v>
      </c>
      <c r="AI483" s="199">
        <f t="shared" si="492"/>
        <v>2994432.65</v>
      </c>
      <c r="AJ483" s="201">
        <f t="shared" si="477"/>
        <v>0</v>
      </c>
      <c r="AK483" s="201">
        <f t="shared" si="477"/>
        <v>2994432.65</v>
      </c>
      <c r="AL483" s="201">
        <f t="shared" si="493"/>
        <v>2994432.65</v>
      </c>
      <c r="AM483" s="198"/>
      <c r="AN483" s="203"/>
      <c r="AO483" s="208"/>
      <c r="AP483" s="201">
        <f t="shared" si="494"/>
        <v>0</v>
      </c>
      <c r="AQ483" s="201">
        <f t="shared" si="495"/>
        <v>2989461.65</v>
      </c>
      <c r="AR483" s="201">
        <f t="shared" si="496"/>
        <v>2989461.65</v>
      </c>
      <c r="AS483" s="201">
        <f t="shared" si="497"/>
        <v>99.833991924981191</v>
      </c>
      <c r="AT483" s="201"/>
      <c r="AU483" s="209">
        <v>2989461.65</v>
      </c>
      <c r="AV483" s="201">
        <f t="shared" si="498"/>
        <v>2989461.65</v>
      </c>
      <c r="AW483" s="201">
        <f t="shared" si="473"/>
        <v>0</v>
      </c>
      <c r="AX483" s="201">
        <f t="shared" si="499"/>
        <v>99.833991924981191</v>
      </c>
      <c r="AY483" s="208"/>
      <c r="AZ483" s="201">
        <f t="shared" si="500"/>
        <v>0</v>
      </c>
      <c r="BA483" s="201">
        <f t="shared" si="501"/>
        <v>0</v>
      </c>
      <c r="BB483" s="201">
        <f t="shared" si="502"/>
        <v>0</v>
      </c>
      <c r="BC483" s="201"/>
      <c r="BD483" s="209">
        <v>0</v>
      </c>
      <c r="BE483" s="201">
        <f t="shared" si="478"/>
        <v>0</v>
      </c>
      <c r="BF483" s="208"/>
      <c r="BG483" s="201">
        <f t="shared" si="475"/>
        <v>0</v>
      </c>
      <c r="BH483" s="201">
        <f t="shared" si="475"/>
        <v>2989461.65</v>
      </c>
      <c r="BI483" s="201">
        <f t="shared" si="503"/>
        <v>2989461.65</v>
      </c>
      <c r="BJ483" s="201">
        <f t="shared" si="504"/>
        <v>99.833991924981191</v>
      </c>
      <c r="BK483" s="210">
        <v>34</v>
      </c>
      <c r="BL483" s="210">
        <v>100</v>
      </c>
      <c r="BM483" s="211"/>
      <c r="BN483" s="211"/>
      <c r="BO483" s="212">
        <f t="shared" si="505"/>
        <v>0</v>
      </c>
      <c r="BP483" s="201">
        <f t="shared" si="506"/>
        <v>4971</v>
      </c>
      <c r="BQ483" s="201">
        <f t="shared" si="479"/>
        <v>4971</v>
      </c>
      <c r="BR483" s="201">
        <f t="shared" si="476"/>
        <v>0</v>
      </c>
      <c r="BS483" s="201">
        <f t="shared" si="476"/>
        <v>4971</v>
      </c>
      <c r="BT483" s="201">
        <f t="shared" si="480"/>
        <v>4971</v>
      </c>
      <c r="BU483" s="213">
        <f t="shared" si="474"/>
        <v>0</v>
      </c>
      <c r="BV483" s="201">
        <v>5567.35</v>
      </c>
      <c r="BW483" s="201"/>
      <c r="BX483" s="201">
        <f t="shared" si="481"/>
        <v>5567.35</v>
      </c>
      <c r="BY483" s="199">
        <v>300000</v>
      </c>
      <c r="BZ483" s="199">
        <v>360000</v>
      </c>
      <c r="CA483" s="199">
        <v>360000</v>
      </c>
      <c r="CB483" s="199">
        <v>540000</v>
      </c>
      <c r="CC483" s="199">
        <v>450000</v>
      </c>
      <c r="CD483" s="199">
        <v>600000</v>
      </c>
      <c r="CE483" s="199">
        <v>390000</v>
      </c>
      <c r="CF483" s="199">
        <v>0</v>
      </c>
      <c r="CG483" s="199">
        <v>0</v>
      </c>
      <c r="CH483" s="199">
        <v>0</v>
      </c>
      <c r="CI483" s="199">
        <v>0</v>
      </c>
      <c r="CJ483" s="199">
        <v>0</v>
      </c>
      <c r="CK483" s="214" t="s">
        <v>1226</v>
      </c>
      <c r="CL483" s="214" t="s">
        <v>610</v>
      </c>
      <c r="CM483" s="211">
        <v>198</v>
      </c>
      <c r="CN483" s="215"/>
      <c r="CO483" s="215"/>
      <c r="CP483" s="216"/>
      <c r="CQ483" s="217"/>
      <c r="CR483" s="211"/>
      <c r="CS483" s="218"/>
      <c r="CT483" s="218"/>
      <c r="CU483" s="218"/>
      <c r="CV483" s="211"/>
      <c r="CW483" s="211"/>
      <c r="CX483" s="211"/>
      <c r="CY483" s="211"/>
      <c r="CZ483" s="211"/>
      <c r="DA483" s="211"/>
      <c r="DB483" s="211"/>
      <c r="DC483" s="219"/>
      <c r="DD483" s="219"/>
      <c r="DE483" s="219"/>
      <c r="DF483" s="211"/>
      <c r="DG483" s="211"/>
      <c r="DH483" s="211"/>
      <c r="DI483" s="211"/>
      <c r="DJ483" s="211"/>
      <c r="DK483" s="220" t="s">
        <v>32</v>
      </c>
      <c r="DT483" s="222"/>
    </row>
    <row r="484" spans="1:124" s="176" customFormat="1" ht="42" x14ac:dyDescent="0.2">
      <c r="A484" s="195" t="s">
        <v>154</v>
      </c>
      <c r="B484" s="197" t="s">
        <v>1227</v>
      </c>
      <c r="C484" s="198">
        <v>1</v>
      </c>
      <c r="D484" s="199">
        <v>1700000</v>
      </c>
      <c r="E484" s="198" t="s">
        <v>1097</v>
      </c>
      <c r="F484" s="198" t="s">
        <v>1097</v>
      </c>
      <c r="G484" s="198" t="s">
        <v>151</v>
      </c>
      <c r="H484" s="200">
        <v>1</v>
      </c>
      <c r="I484" s="199">
        <f t="shared" si="482"/>
        <v>0</v>
      </c>
      <c r="J484" s="199">
        <f t="shared" si="483"/>
        <v>1700000</v>
      </c>
      <c r="K484" s="199">
        <f t="shared" si="484"/>
        <v>1700000</v>
      </c>
      <c r="L484" s="199"/>
      <c r="M484" s="199">
        <v>1700000</v>
      </c>
      <c r="N484" s="199">
        <f t="shared" si="485"/>
        <v>1700000</v>
      </c>
      <c r="O484" s="199"/>
      <c r="P484" s="201">
        <v>0</v>
      </c>
      <c r="Q484" s="202">
        <v>15</v>
      </c>
      <c r="R484" s="203">
        <v>45566</v>
      </c>
      <c r="S484" s="199"/>
      <c r="T484" s="199">
        <v>1700000</v>
      </c>
      <c r="U484" s="204">
        <f t="shared" si="486"/>
        <v>1700000</v>
      </c>
      <c r="V484" s="205">
        <v>690</v>
      </c>
      <c r="W484" s="200">
        <v>45622</v>
      </c>
      <c r="X484" s="201"/>
      <c r="Y484" s="201">
        <v>-1865</v>
      </c>
      <c r="Z484" s="201">
        <f t="shared" si="487"/>
        <v>-1865</v>
      </c>
      <c r="AA484" s="198">
        <v>1716</v>
      </c>
      <c r="AB484" s="206">
        <v>45723</v>
      </c>
      <c r="AC484" s="207"/>
      <c r="AD484" s="201">
        <v>-1917</v>
      </c>
      <c r="AE484" s="204">
        <f t="shared" si="488"/>
        <v>-1917</v>
      </c>
      <c r="AF484" s="203">
        <f t="shared" si="489"/>
        <v>45566</v>
      </c>
      <c r="AG484" s="201">
        <f t="shared" si="490"/>
        <v>0</v>
      </c>
      <c r="AH484" s="201">
        <f t="shared" si="491"/>
        <v>1696218</v>
      </c>
      <c r="AI484" s="199">
        <f t="shared" si="492"/>
        <v>1696218</v>
      </c>
      <c r="AJ484" s="201">
        <f t="shared" si="477"/>
        <v>0</v>
      </c>
      <c r="AK484" s="201">
        <f t="shared" si="477"/>
        <v>1696218</v>
      </c>
      <c r="AL484" s="201">
        <f t="shared" si="493"/>
        <v>1696218</v>
      </c>
      <c r="AM484" s="198"/>
      <c r="AN484" s="203"/>
      <c r="AO484" s="208"/>
      <c r="AP484" s="201">
        <f t="shared" si="494"/>
        <v>0</v>
      </c>
      <c r="AQ484" s="201">
        <f t="shared" si="495"/>
        <v>1453743.9</v>
      </c>
      <c r="AR484" s="201">
        <f t="shared" si="496"/>
        <v>1453743.9</v>
      </c>
      <c r="AS484" s="201">
        <f t="shared" si="497"/>
        <v>85.705015510977958</v>
      </c>
      <c r="AT484" s="201"/>
      <c r="AU484" s="223">
        <v>1453743.9</v>
      </c>
      <c r="AV484" s="201">
        <f t="shared" si="498"/>
        <v>1453743.9</v>
      </c>
      <c r="AW484" s="201">
        <f t="shared" si="473"/>
        <v>0</v>
      </c>
      <c r="AX484" s="201">
        <f t="shared" si="499"/>
        <v>85.705015510977958</v>
      </c>
      <c r="AY484" s="208"/>
      <c r="AZ484" s="201">
        <f t="shared" si="500"/>
        <v>0</v>
      </c>
      <c r="BA484" s="201">
        <f t="shared" si="501"/>
        <v>0</v>
      </c>
      <c r="BB484" s="201">
        <f t="shared" si="502"/>
        <v>0</v>
      </c>
      <c r="BC484" s="201"/>
      <c r="BD484" s="223">
        <v>0</v>
      </c>
      <c r="BE484" s="201">
        <f t="shared" si="478"/>
        <v>0</v>
      </c>
      <c r="BF484" s="208"/>
      <c r="BG484" s="201">
        <f t="shared" si="475"/>
        <v>0</v>
      </c>
      <c r="BH484" s="201">
        <f t="shared" si="475"/>
        <v>1453743.9</v>
      </c>
      <c r="BI484" s="201">
        <f t="shared" si="503"/>
        <v>1453743.9</v>
      </c>
      <c r="BJ484" s="201">
        <f t="shared" si="504"/>
        <v>85.705015510977958</v>
      </c>
      <c r="BK484" s="210">
        <v>6.54</v>
      </c>
      <c r="BL484" s="210">
        <v>75</v>
      </c>
      <c r="BM484" s="211"/>
      <c r="BN484" s="211"/>
      <c r="BO484" s="212">
        <f t="shared" si="505"/>
        <v>0</v>
      </c>
      <c r="BP484" s="201">
        <f t="shared" si="506"/>
        <v>242474.10000000009</v>
      </c>
      <c r="BQ484" s="201">
        <f t="shared" si="479"/>
        <v>242474.10000000009</v>
      </c>
      <c r="BR484" s="201">
        <f t="shared" si="476"/>
        <v>0</v>
      </c>
      <c r="BS484" s="201">
        <f t="shared" si="476"/>
        <v>242474.10000000009</v>
      </c>
      <c r="BT484" s="201">
        <f t="shared" si="480"/>
        <v>242474.10000000009</v>
      </c>
      <c r="BU484" s="213">
        <f t="shared" si="474"/>
        <v>0</v>
      </c>
      <c r="BV484" s="201">
        <f>1865+1917</f>
        <v>3782</v>
      </c>
      <c r="BW484" s="201"/>
      <c r="BX484" s="201">
        <f t="shared" si="481"/>
        <v>3782</v>
      </c>
      <c r="BY484" s="199">
        <v>300000</v>
      </c>
      <c r="BZ484" s="199">
        <v>300000</v>
      </c>
      <c r="CA484" s="199">
        <v>300000</v>
      </c>
      <c r="CB484" s="199">
        <v>300000</v>
      </c>
      <c r="CC484" s="199">
        <v>300000</v>
      </c>
      <c r="CD484" s="199">
        <v>200000</v>
      </c>
      <c r="CE484" s="199">
        <v>0</v>
      </c>
      <c r="CF484" s="199">
        <v>0</v>
      </c>
      <c r="CG484" s="199">
        <v>0</v>
      </c>
      <c r="CH484" s="199">
        <v>0</v>
      </c>
      <c r="CI484" s="199">
        <v>0</v>
      </c>
      <c r="CJ484" s="199">
        <v>0</v>
      </c>
      <c r="CK484" s="214" t="s">
        <v>1228</v>
      </c>
      <c r="CL484" s="214" t="s">
        <v>610</v>
      </c>
      <c r="CM484" s="211">
        <v>198</v>
      </c>
      <c r="CN484" s="215"/>
      <c r="CO484" s="215"/>
      <c r="CP484" s="216"/>
      <c r="CQ484" s="217"/>
      <c r="CR484" s="211"/>
      <c r="CS484" s="218"/>
      <c r="CT484" s="218"/>
      <c r="CU484" s="218"/>
      <c r="CV484" s="211"/>
      <c r="CW484" s="211"/>
      <c r="CX484" s="211"/>
      <c r="CY484" s="211"/>
      <c r="CZ484" s="211"/>
      <c r="DA484" s="211"/>
      <c r="DB484" s="211"/>
      <c r="DC484" s="219"/>
      <c r="DD484" s="219"/>
      <c r="DE484" s="219"/>
      <c r="DF484" s="211"/>
      <c r="DG484" s="211"/>
      <c r="DH484" s="211"/>
      <c r="DI484" s="211"/>
      <c r="DJ484" s="211"/>
      <c r="DK484" s="220" t="s">
        <v>32</v>
      </c>
      <c r="DT484" s="222"/>
    </row>
    <row r="485" spans="1:124" s="176" customFormat="1" ht="63" x14ac:dyDescent="0.2">
      <c r="A485" s="195" t="s">
        <v>154</v>
      </c>
      <c r="B485" s="197" t="s">
        <v>1229</v>
      </c>
      <c r="C485" s="198">
        <v>1</v>
      </c>
      <c r="D485" s="199">
        <v>2000000</v>
      </c>
      <c r="E485" s="198" t="s">
        <v>566</v>
      </c>
      <c r="F485" s="198" t="s">
        <v>566</v>
      </c>
      <c r="G485" s="198" t="s">
        <v>151</v>
      </c>
      <c r="H485" s="200">
        <v>1</v>
      </c>
      <c r="I485" s="199">
        <f t="shared" si="482"/>
        <v>432000</v>
      </c>
      <c r="J485" s="199">
        <f t="shared" si="483"/>
        <v>1568000</v>
      </c>
      <c r="K485" s="199">
        <f t="shared" si="484"/>
        <v>2000000</v>
      </c>
      <c r="L485" s="199">
        <v>432000</v>
      </c>
      <c r="M485" s="199">
        <f>8000+1560000</f>
        <v>1568000</v>
      </c>
      <c r="N485" s="199">
        <f t="shared" si="485"/>
        <v>2000000</v>
      </c>
      <c r="O485" s="199"/>
      <c r="P485" s="201">
        <v>0</v>
      </c>
      <c r="Q485" s="202">
        <v>13</v>
      </c>
      <c r="R485" s="203">
        <v>45566</v>
      </c>
      <c r="S485" s="199"/>
      <c r="T485" s="199">
        <v>1560000</v>
      </c>
      <c r="U485" s="204">
        <f t="shared" si="486"/>
        <v>1560000</v>
      </c>
      <c r="V485" s="205">
        <v>1099</v>
      </c>
      <c r="W485" s="200">
        <v>45664</v>
      </c>
      <c r="X485" s="201">
        <v>431984</v>
      </c>
      <c r="Y485" s="201">
        <v>7560</v>
      </c>
      <c r="Z485" s="201">
        <f t="shared" si="487"/>
        <v>439544</v>
      </c>
      <c r="AA485" s="198">
        <v>2340</v>
      </c>
      <c r="AB485" s="206">
        <v>45803</v>
      </c>
      <c r="AC485" s="207"/>
      <c r="AD485" s="201">
        <v>-11920</v>
      </c>
      <c r="AE485" s="204">
        <f t="shared" si="488"/>
        <v>-11920</v>
      </c>
      <c r="AF485" s="203">
        <f t="shared" si="489"/>
        <v>45566</v>
      </c>
      <c r="AG485" s="201">
        <f t="shared" si="490"/>
        <v>431984</v>
      </c>
      <c r="AH485" s="201">
        <f t="shared" si="491"/>
        <v>1555640</v>
      </c>
      <c r="AI485" s="199">
        <f t="shared" si="492"/>
        <v>1987624</v>
      </c>
      <c r="AJ485" s="201">
        <f t="shared" si="477"/>
        <v>431984</v>
      </c>
      <c r="AK485" s="201">
        <f t="shared" si="477"/>
        <v>1555640</v>
      </c>
      <c r="AL485" s="201">
        <f t="shared" si="493"/>
        <v>1987624</v>
      </c>
      <c r="AM485" s="198"/>
      <c r="AN485" s="203"/>
      <c r="AO485" s="208"/>
      <c r="AP485" s="201">
        <f t="shared" si="494"/>
        <v>0</v>
      </c>
      <c r="AQ485" s="201">
        <f t="shared" si="495"/>
        <v>1986897.55</v>
      </c>
      <c r="AR485" s="201">
        <f t="shared" si="496"/>
        <v>1986897.55</v>
      </c>
      <c r="AS485" s="201">
        <f t="shared" si="497"/>
        <v>99.963451336872566</v>
      </c>
      <c r="AT485" s="201"/>
      <c r="AU485" s="223">
        <v>1986897.55</v>
      </c>
      <c r="AV485" s="201">
        <f t="shared" si="498"/>
        <v>1986897.55</v>
      </c>
      <c r="AW485" s="201">
        <f t="shared" si="473"/>
        <v>10.062265297661932</v>
      </c>
      <c r="AX485" s="201">
        <f t="shared" si="499"/>
        <v>99.963451336872566</v>
      </c>
      <c r="AY485" s="208"/>
      <c r="AZ485" s="201">
        <f t="shared" si="500"/>
        <v>0</v>
      </c>
      <c r="BA485" s="201">
        <f t="shared" si="501"/>
        <v>0</v>
      </c>
      <c r="BB485" s="201">
        <f t="shared" si="502"/>
        <v>0</v>
      </c>
      <c r="BC485" s="201"/>
      <c r="BD485" s="223">
        <v>0</v>
      </c>
      <c r="BE485" s="201">
        <f t="shared" si="478"/>
        <v>0</v>
      </c>
      <c r="BF485" s="208"/>
      <c r="BG485" s="201">
        <f t="shared" si="475"/>
        <v>0</v>
      </c>
      <c r="BH485" s="201">
        <f t="shared" si="475"/>
        <v>1986897.55</v>
      </c>
      <c r="BI485" s="201">
        <f t="shared" si="503"/>
        <v>1986897.55</v>
      </c>
      <c r="BJ485" s="201">
        <f t="shared" si="504"/>
        <v>99.963451336872566</v>
      </c>
      <c r="BK485" s="210">
        <v>0</v>
      </c>
      <c r="BL485" s="210">
        <v>80</v>
      </c>
      <c r="BM485" s="211"/>
      <c r="BN485" s="211"/>
      <c r="BO485" s="212">
        <f t="shared" si="505"/>
        <v>431984</v>
      </c>
      <c r="BP485" s="201">
        <f t="shared" si="506"/>
        <v>-431257.55000000005</v>
      </c>
      <c r="BQ485" s="201">
        <f t="shared" si="479"/>
        <v>726.44999999995343</v>
      </c>
      <c r="BR485" s="201">
        <f t="shared" si="476"/>
        <v>431984</v>
      </c>
      <c r="BS485" s="201">
        <f t="shared" si="476"/>
        <v>-431257.55000000005</v>
      </c>
      <c r="BT485" s="201">
        <f t="shared" si="480"/>
        <v>726.44999999995343</v>
      </c>
      <c r="BU485" s="213">
        <f t="shared" si="474"/>
        <v>0</v>
      </c>
      <c r="BV485" s="201">
        <v>11920</v>
      </c>
      <c r="BW485" s="201"/>
      <c r="BX485" s="201">
        <f t="shared" si="481"/>
        <v>11920</v>
      </c>
      <c r="BY485" s="199">
        <v>200000</v>
      </c>
      <c r="BZ485" s="199">
        <v>350000</v>
      </c>
      <c r="CA485" s="199">
        <v>250000</v>
      </c>
      <c r="CB485" s="199">
        <v>200000</v>
      </c>
      <c r="CC485" s="199">
        <v>200000</v>
      </c>
      <c r="CD485" s="199">
        <v>200000</v>
      </c>
      <c r="CE485" s="199">
        <v>200000</v>
      </c>
      <c r="CF485" s="199">
        <v>200000</v>
      </c>
      <c r="CG485" s="199">
        <v>200000</v>
      </c>
      <c r="CH485" s="199">
        <v>0</v>
      </c>
      <c r="CI485" s="199">
        <v>0</v>
      </c>
      <c r="CJ485" s="199">
        <v>0</v>
      </c>
      <c r="CK485" s="214" t="s">
        <v>1230</v>
      </c>
      <c r="CL485" s="214" t="s">
        <v>610</v>
      </c>
      <c r="CM485" s="211">
        <v>198</v>
      </c>
      <c r="CN485" s="215"/>
      <c r="CO485" s="215"/>
      <c r="CP485" s="216"/>
      <c r="CQ485" s="217"/>
      <c r="CR485" s="211"/>
      <c r="CS485" s="218"/>
      <c r="CT485" s="218"/>
      <c r="CU485" s="218"/>
      <c r="CV485" s="211"/>
      <c r="CW485" s="211"/>
      <c r="CX485" s="211"/>
      <c r="CY485" s="211"/>
      <c r="CZ485" s="211"/>
      <c r="DA485" s="211"/>
      <c r="DB485" s="211"/>
      <c r="DC485" s="219"/>
      <c r="DD485" s="219"/>
      <c r="DE485" s="219"/>
      <c r="DF485" s="211"/>
      <c r="DG485" s="211"/>
      <c r="DH485" s="211"/>
      <c r="DI485" s="211"/>
      <c r="DJ485" s="211"/>
      <c r="DK485" s="220" t="s">
        <v>53</v>
      </c>
      <c r="DT485" s="222"/>
    </row>
    <row r="486" spans="1:124" s="176" customFormat="1" ht="63" x14ac:dyDescent="0.2">
      <c r="A486" s="195" t="s">
        <v>154</v>
      </c>
      <c r="B486" s="197" t="s">
        <v>1231</v>
      </c>
      <c r="C486" s="198">
        <v>1</v>
      </c>
      <c r="D486" s="199">
        <v>2500000</v>
      </c>
      <c r="E486" s="198" t="s">
        <v>255</v>
      </c>
      <c r="F486" s="198" t="s">
        <v>256</v>
      </c>
      <c r="G486" s="198" t="s">
        <v>151</v>
      </c>
      <c r="H486" s="200">
        <v>1</v>
      </c>
      <c r="I486" s="199">
        <f t="shared" si="482"/>
        <v>0</v>
      </c>
      <c r="J486" s="199">
        <f t="shared" si="483"/>
        <v>2500000</v>
      </c>
      <c r="K486" s="199">
        <f t="shared" si="484"/>
        <v>2500000</v>
      </c>
      <c r="L486" s="199"/>
      <c r="M486" s="199">
        <v>2500000</v>
      </c>
      <c r="N486" s="199">
        <f t="shared" si="485"/>
        <v>2500000</v>
      </c>
      <c r="O486" s="199"/>
      <c r="P486" s="201">
        <v>0</v>
      </c>
      <c r="Q486" s="202">
        <v>15</v>
      </c>
      <c r="R486" s="203">
        <v>45566</v>
      </c>
      <c r="S486" s="199"/>
      <c r="T486" s="199">
        <v>2500000</v>
      </c>
      <c r="U486" s="204">
        <f t="shared" si="486"/>
        <v>2500000</v>
      </c>
      <c r="V486" s="198">
        <v>1206</v>
      </c>
      <c r="W486" s="206">
        <v>45672</v>
      </c>
      <c r="X486" s="201"/>
      <c r="Y486" s="201">
        <v>-36322</v>
      </c>
      <c r="Z486" s="201">
        <f t="shared" si="487"/>
        <v>-36322</v>
      </c>
      <c r="AA486" s="198">
        <v>1716</v>
      </c>
      <c r="AB486" s="206" t="s">
        <v>1232</v>
      </c>
      <c r="AC486" s="207"/>
      <c r="AD486" s="201">
        <v>-3850</v>
      </c>
      <c r="AE486" s="204">
        <f t="shared" si="488"/>
        <v>-3850</v>
      </c>
      <c r="AF486" s="203">
        <f t="shared" si="489"/>
        <v>45566</v>
      </c>
      <c r="AG486" s="201">
        <f t="shared" si="490"/>
        <v>0</v>
      </c>
      <c r="AH486" s="201">
        <f t="shared" si="491"/>
        <v>2459828</v>
      </c>
      <c r="AI486" s="199">
        <f t="shared" si="492"/>
        <v>2459828</v>
      </c>
      <c r="AJ486" s="201">
        <f t="shared" si="477"/>
        <v>0</v>
      </c>
      <c r="AK486" s="201">
        <f t="shared" si="477"/>
        <v>2459828</v>
      </c>
      <c r="AL486" s="201">
        <f t="shared" si="493"/>
        <v>2459828</v>
      </c>
      <c r="AM486" s="198"/>
      <c r="AN486" s="203"/>
      <c r="AO486" s="208"/>
      <c r="AP486" s="201">
        <f t="shared" si="494"/>
        <v>0</v>
      </c>
      <c r="AQ486" s="201">
        <f t="shared" si="495"/>
        <v>2109375.5</v>
      </c>
      <c r="AR486" s="201">
        <f t="shared" si="496"/>
        <v>2109375.5</v>
      </c>
      <c r="AS486" s="201">
        <f t="shared" si="497"/>
        <v>85.75296728063914</v>
      </c>
      <c r="AT486" s="201"/>
      <c r="AU486" s="223">
        <v>2109375.5</v>
      </c>
      <c r="AV486" s="201">
        <f t="shared" si="498"/>
        <v>2109375.5</v>
      </c>
      <c r="AW486" s="201">
        <f t="shared" ref="AW486:AW549" si="507">+CF486*100/AL486</f>
        <v>8.1306497852695383</v>
      </c>
      <c r="AX486" s="201">
        <f t="shared" si="499"/>
        <v>85.75296728063914</v>
      </c>
      <c r="AY486" s="208"/>
      <c r="AZ486" s="201">
        <f t="shared" si="500"/>
        <v>0</v>
      </c>
      <c r="BA486" s="201">
        <f t="shared" si="501"/>
        <v>0</v>
      </c>
      <c r="BB486" s="201">
        <f t="shared" si="502"/>
        <v>0</v>
      </c>
      <c r="BC486" s="201"/>
      <c r="BD486" s="223">
        <v>0</v>
      </c>
      <c r="BE486" s="201">
        <f t="shared" si="478"/>
        <v>0</v>
      </c>
      <c r="BF486" s="208"/>
      <c r="BG486" s="201">
        <f t="shared" si="475"/>
        <v>0</v>
      </c>
      <c r="BH486" s="201">
        <f t="shared" si="475"/>
        <v>2109375.5</v>
      </c>
      <c r="BI486" s="201">
        <f t="shared" si="503"/>
        <v>2109375.5</v>
      </c>
      <c r="BJ486" s="201">
        <f t="shared" si="504"/>
        <v>85.75296728063914</v>
      </c>
      <c r="BK486" s="210">
        <v>20</v>
      </c>
      <c r="BL486" s="210">
        <v>60</v>
      </c>
      <c r="BM486" s="211"/>
      <c r="BN486" s="211"/>
      <c r="BO486" s="212">
        <f t="shared" si="505"/>
        <v>0</v>
      </c>
      <c r="BP486" s="201">
        <f t="shared" si="506"/>
        <v>350452.5</v>
      </c>
      <c r="BQ486" s="201">
        <f t="shared" si="479"/>
        <v>350452.5</v>
      </c>
      <c r="BR486" s="201">
        <f t="shared" si="476"/>
        <v>0</v>
      </c>
      <c r="BS486" s="201">
        <f t="shared" si="476"/>
        <v>350452.5</v>
      </c>
      <c r="BT486" s="201">
        <f t="shared" si="480"/>
        <v>350452.5</v>
      </c>
      <c r="BU486" s="213">
        <f t="shared" ref="BU486:BU549" si="508">+AO486-AY486</f>
        <v>0</v>
      </c>
      <c r="BV486" s="201">
        <f>36322+3850</f>
        <v>40172</v>
      </c>
      <c r="BW486" s="201"/>
      <c r="BX486" s="201">
        <f t="shared" si="481"/>
        <v>40172</v>
      </c>
      <c r="BY486" s="199">
        <v>200000</v>
      </c>
      <c r="BZ486" s="199">
        <v>300000</v>
      </c>
      <c r="CA486" s="199">
        <v>300000</v>
      </c>
      <c r="CB486" s="199">
        <v>200000</v>
      </c>
      <c r="CC486" s="199">
        <v>200000</v>
      </c>
      <c r="CD486" s="199">
        <v>200000</v>
      </c>
      <c r="CE486" s="199">
        <v>200000</v>
      </c>
      <c r="CF486" s="199">
        <v>200000</v>
      </c>
      <c r="CG486" s="199">
        <v>200000</v>
      </c>
      <c r="CH486" s="199">
        <v>200000</v>
      </c>
      <c r="CI486" s="199">
        <v>200000</v>
      </c>
      <c r="CJ486" s="199">
        <v>100000</v>
      </c>
      <c r="CK486" s="214" t="s">
        <v>1233</v>
      </c>
      <c r="CL486" s="214" t="s">
        <v>610</v>
      </c>
      <c r="CM486" s="211">
        <v>198</v>
      </c>
      <c r="CN486" s="215"/>
      <c r="CO486" s="215"/>
      <c r="CP486" s="216"/>
      <c r="CQ486" s="217"/>
      <c r="CR486" s="211"/>
      <c r="CS486" s="218"/>
      <c r="CT486" s="218"/>
      <c r="CU486" s="218"/>
      <c r="CV486" s="211"/>
      <c r="CW486" s="211"/>
      <c r="CX486" s="211"/>
      <c r="CY486" s="211"/>
      <c r="CZ486" s="211"/>
      <c r="DA486" s="211"/>
      <c r="DB486" s="211"/>
      <c r="DC486" s="219"/>
      <c r="DD486" s="219"/>
      <c r="DE486" s="219"/>
      <c r="DF486" s="211"/>
      <c r="DG486" s="211"/>
      <c r="DH486" s="211"/>
      <c r="DI486" s="211"/>
      <c r="DJ486" s="211"/>
      <c r="DK486" s="220" t="s">
        <v>32</v>
      </c>
      <c r="DT486" s="222"/>
    </row>
    <row r="487" spans="1:124" s="176" customFormat="1" ht="42" x14ac:dyDescent="0.2">
      <c r="A487" s="195" t="s">
        <v>154</v>
      </c>
      <c r="B487" s="197" t="s">
        <v>1234</v>
      </c>
      <c r="C487" s="198">
        <v>1</v>
      </c>
      <c r="D487" s="199">
        <v>240000</v>
      </c>
      <c r="E487" s="198" t="s">
        <v>270</v>
      </c>
      <c r="F487" s="198" t="s">
        <v>271</v>
      </c>
      <c r="G487" s="198" t="s">
        <v>151</v>
      </c>
      <c r="H487" s="200">
        <v>1</v>
      </c>
      <c r="I487" s="199">
        <f t="shared" si="482"/>
        <v>0</v>
      </c>
      <c r="J487" s="199">
        <f t="shared" si="483"/>
        <v>240000</v>
      </c>
      <c r="K487" s="199">
        <f t="shared" si="484"/>
        <v>240000</v>
      </c>
      <c r="L487" s="199"/>
      <c r="M487" s="199">
        <v>240000</v>
      </c>
      <c r="N487" s="199">
        <f t="shared" si="485"/>
        <v>240000</v>
      </c>
      <c r="O487" s="199"/>
      <c r="P487" s="201">
        <v>0</v>
      </c>
      <c r="Q487" s="202">
        <v>15</v>
      </c>
      <c r="R487" s="203">
        <v>45566</v>
      </c>
      <c r="S487" s="199"/>
      <c r="T487" s="199">
        <v>240000</v>
      </c>
      <c r="U487" s="204">
        <f t="shared" si="486"/>
        <v>240000</v>
      </c>
      <c r="V487" s="205">
        <v>1716</v>
      </c>
      <c r="W487" s="200">
        <v>45723</v>
      </c>
      <c r="X487" s="201"/>
      <c r="Y487" s="201">
        <v>-1630.34</v>
      </c>
      <c r="Z487" s="201">
        <f t="shared" si="487"/>
        <v>-1630.34</v>
      </c>
      <c r="AA487" s="198"/>
      <c r="AB487" s="206"/>
      <c r="AC487" s="207"/>
      <c r="AD487" s="201"/>
      <c r="AE487" s="204">
        <f t="shared" si="488"/>
        <v>0</v>
      </c>
      <c r="AF487" s="203">
        <f t="shared" si="489"/>
        <v>45566</v>
      </c>
      <c r="AG487" s="201">
        <f t="shared" si="490"/>
        <v>0</v>
      </c>
      <c r="AH487" s="201">
        <f t="shared" si="491"/>
        <v>238369.66</v>
      </c>
      <c r="AI487" s="199">
        <f t="shared" si="492"/>
        <v>238369.66</v>
      </c>
      <c r="AJ487" s="201">
        <f t="shared" si="477"/>
        <v>0</v>
      </c>
      <c r="AK487" s="201">
        <f t="shared" si="477"/>
        <v>238369.66</v>
      </c>
      <c r="AL487" s="201">
        <f t="shared" si="493"/>
        <v>238369.66</v>
      </c>
      <c r="AM487" s="198"/>
      <c r="AN487" s="203"/>
      <c r="AO487" s="208"/>
      <c r="AP487" s="201">
        <f t="shared" si="494"/>
        <v>0</v>
      </c>
      <c r="AQ487" s="201">
        <f t="shared" si="495"/>
        <v>238369.66</v>
      </c>
      <c r="AR487" s="201">
        <f t="shared" si="496"/>
        <v>238369.66</v>
      </c>
      <c r="AS487" s="201">
        <f t="shared" si="497"/>
        <v>100</v>
      </c>
      <c r="AT487" s="201"/>
      <c r="AU487" s="223">
        <v>238369.66</v>
      </c>
      <c r="AV487" s="201">
        <f t="shared" si="498"/>
        <v>238369.66</v>
      </c>
      <c r="AW487" s="201">
        <f t="shared" si="507"/>
        <v>0</v>
      </c>
      <c r="AX487" s="201">
        <f t="shared" si="499"/>
        <v>100</v>
      </c>
      <c r="AY487" s="208"/>
      <c r="AZ487" s="201">
        <f t="shared" si="500"/>
        <v>0</v>
      </c>
      <c r="BA487" s="201">
        <f t="shared" si="501"/>
        <v>0</v>
      </c>
      <c r="BB487" s="201">
        <f t="shared" si="502"/>
        <v>0</v>
      </c>
      <c r="BC487" s="201"/>
      <c r="BD487" s="209">
        <v>0</v>
      </c>
      <c r="BE487" s="201">
        <f t="shared" si="478"/>
        <v>0</v>
      </c>
      <c r="BF487" s="208"/>
      <c r="BG487" s="201">
        <f t="shared" si="475"/>
        <v>0</v>
      </c>
      <c r="BH487" s="201">
        <f t="shared" si="475"/>
        <v>238369.66</v>
      </c>
      <c r="BI487" s="201">
        <f t="shared" si="503"/>
        <v>238369.66</v>
      </c>
      <c r="BJ487" s="201">
        <f t="shared" si="504"/>
        <v>100</v>
      </c>
      <c r="BK487" s="210">
        <v>70</v>
      </c>
      <c r="BL487" s="210">
        <v>100</v>
      </c>
      <c r="BM487" s="211"/>
      <c r="BN487" s="211"/>
      <c r="BO487" s="212">
        <f t="shared" si="505"/>
        <v>0</v>
      </c>
      <c r="BP487" s="201">
        <f t="shared" si="506"/>
        <v>0</v>
      </c>
      <c r="BQ487" s="201">
        <f t="shared" si="479"/>
        <v>0</v>
      </c>
      <c r="BR487" s="201">
        <f t="shared" si="476"/>
        <v>0</v>
      </c>
      <c r="BS487" s="201">
        <f t="shared" si="476"/>
        <v>0</v>
      </c>
      <c r="BT487" s="201">
        <f t="shared" si="480"/>
        <v>0</v>
      </c>
      <c r="BU487" s="213">
        <f t="shared" si="508"/>
        <v>0</v>
      </c>
      <c r="BV487" s="201">
        <v>1630.34</v>
      </c>
      <c r="BW487" s="201"/>
      <c r="BX487" s="201">
        <f t="shared" si="481"/>
        <v>1630.34</v>
      </c>
      <c r="BY487" s="199">
        <v>100000</v>
      </c>
      <c r="BZ487" s="199">
        <v>100000</v>
      </c>
      <c r="CA487" s="199">
        <v>40000</v>
      </c>
      <c r="CB487" s="199">
        <v>0</v>
      </c>
      <c r="CC487" s="199">
        <v>0</v>
      </c>
      <c r="CD487" s="199">
        <v>0</v>
      </c>
      <c r="CE487" s="199">
        <v>0</v>
      </c>
      <c r="CF487" s="199">
        <v>0</v>
      </c>
      <c r="CG487" s="199">
        <v>0</v>
      </c>
      <c r="CH487" s="199">
        <v>0</v>
      </c>
      <c r="CI487" s="199">
        <v>0</v>
      </c>
      <c r="CJ487" s="199">
        <v>0</v>
      </c>
      <c r="CK487" s="214" t="s">
        <v>1235</v>
      </c>
      <c r="CL487" s="214" t="s">
        <v>610</v>
      </c>
      <c r="CM487" s="211">
        <v>198</v>
      </c>
      <c r="CN487" s="215"/>
      <c r="CO487" s="215"/>
      <c r="CP487" s="216"/>
      <c r="CQ487" s="217"/>
      <c r="CR487" s="211"/>
      <c r="CS487" s="218"/>
      <c r="CT487" s="218"/>
      <c r="CU487" s="218"/>
      <c r="CV487" s="211"/>
      <c r="CW487" s="211"/>
      <c r="CX487" s="211"/>
      <c r="CY487" s="211"/>
      <c r="CZ487" s="211"/>
      <c r="DA487" s="211"/>
      <c r="DB487" s="211"/>
      <c r="DC487" s="219"/>
      <c r="DD487" s="219"/>
      <c r="DE487" s="219"/>
      <c r="DF487" s="211"/>
      <c r="DG487" s="211"/>
      <c r="DH487" s="211"/>
      <c r="DI487" s="211"/>
      <c r="DJ487" s="211"/>
      <c r="DK487" s="220" t="s">
        <v>32</v>
      </c>
      <c r="DT487" s="222"/>
    </row>
    <row r="488" spans="1:124" s="176" customFormat="1" ht="42" x14ac:dyDescent="0.2">
      <c r="A488" s="225" t="s">
        <v>197</v>
      </c>
      <c r="B488" s="197" t="s">
        <v>1236</v>
      </c>
      <c r="C488" s="198">
        <v>1</v>
      </c>
      <c r="D488" s="199">
        <v>300000</v>
      </c>
      <c r="E488" s="198" t="s">
        <v>259</v>
      </c>
      <c r="F488" s="198" t="s">
        <v>150</v>
      </c>
      <c r="G488" s="198" t="s">
        <v>151</v>
      </c>
      <c r="H488" s="200">
        <v>1</v>
      </c>
      <c r="I488" s="199">
        <f t="shared" si="482"/>
        <v>0</v>
      </c>
      <c r="J488" s="199">
        <f t="shared" si="483"/>
        <v>300000</v>
      </c>
      <c r="K488" s="199">
        <f t="shared" si="484"/>
        <v>300000</v>
      </c>
      <c r="L488" s="199"/>
      <c r="M488" s="199">
        <v>300000</v>
      </c>
      <c r="N488" s="199">
        <f t="shared" si="485"/>
        <v>300000</v>
      </c>
      <c r="O488" s="199"/>
      <c r="P488" s="201">
        <v>0</v>
      </c>
      <c r="Q488" s="202">
        <v>15</v>
      </c>
      <c r="R488" s="203">
        <v>45566</v>
      </c>
      <c r="S488" s="199"/>
      <c r="T488" s="199">
        <v>300000</v>
      </c>
      <c r="U488" s="204">
        <f t="shared" si="486"/>
        <v>300000</v>
      </c>
      <c r="V488" s="205"/>
      <c r="W488" s="200"/>
      <c r="X488" s="201"/>
      <c r="Y488" s="201"/>
      <c r="Z488" s="201">
        <f t="shared" si="487"/>
        <v>0</v>
      </c>
      <c r="AA488" s="198"/>
      <c r="AB488" s="206"/>
      <c r="AC488" s="207"/>
      <c r="AD488" s="201"/>
      <c r="AE488" s="204">
        <f t="shared" si="488"/>
        <v>0</v>
      </c>
      <c r="AF488" s="203">
        <f t="shared" si="489"/>
        <v>45566</v>
      </c>
      <c r="AG488" s="201">
        <f t="shared" si="490"/>
        <v>0</v>
      </c>
      <c r="AH488" s="201">
        <f t="shared" si="491"/>
        <v>300000</v>
      </c>
      <c r="AI488" s="199">
        <f t="shared" si="492"/>
        <v>300000</v>
      </c>
      <c r="AJ488" s="201">
        <f t="shared" si="477"/>
        <v>0</v>
      </c>
      <c r="AK488" s="201">
        <f t="shared" si="477"/>
        <v>300000</v>
      </c>
      <c r="AL488" s="201">
        <f t="shared" si="493"/>
        <v>300000</v>
      </c>
      <c r="AM488" s="198"/>
      <c r="AN488" s="203"/>
      <c r="AO488" s="208"/>
      <c r="AP488" s="201">
        <f t="shared" si="494"/>
        <v>0</v>
      </c>
      <c r="AQ488" s="201">
        <f t="shared" si="495"/>
        <v>298597.58</v>
      </c>
      <c r="AR488" s="201">
        <f t="shared" si="496"/>
        <v>298597.58</v>
      </c>
      <c r="AS488" s="201">
        <f t="shared" si="497"/>
        <v>99.532526666666669</v>
      </c>
      <c r="AT488" s="201"/>
      <c r="AU488" s="209">
        <v>298597.58</v>
      </c>
      <c r="AV488" s="201">
        <f t="shared" si="498"/>
        <v>298597.58</v>
      </c>
      <c r="AW488" s="201">
        <f t="shared" si="507"/>
        <v>0</v>
      </c>
      <c r="AX488" s="201">
        <f t="shared" si="499"/>
        <v>99.532526666666669</v>
      </c>
      <c r="AY488" s="208"/>
      <c r="AZ488" s="201">
        <f t="shared" si="500"/>
        <v>0</v>
      </c>
      <c r="BA488" s="201">
        <f t="shared" si="501"/>
        <v>0</v>
      </c>
      <c r="BB488" s="201">
        <f t="shared" si="502"/>
        <v>0</v>
      </c>
      <c r="BC488" s="201"/>
      <c r="BD488" s="209">
        <v>0</v>
      </c>
      <c r="BE488" s="201">
        <f t="shared" si="478"/>
        <v>0</v>
      </c>
      <c r="BF488" s="208"/>
      <c r="BG488" s="201">
        <f t="shared" si="475"/>
        <v>0</v>
      </c>
      <c r="BH488" s="201">
        <f t="shared" si="475"/>
        <v>298597.58</v>
      </c>
      <c r="BI488" s="201">
        <f t="shared" si="503"/>
        <v>298597.58</v>
      </c>
      <c r="BJ488" s="201">
        <f t="shared" si="504"/>
        <v>99.532526666666669</v>
      </c>
      <c r="BK488" s="210">
        <v>73.58</v>
      </c>
      <c r="BL488" s="210">
        <v>100</v>
      </c>
      <c r="BM488" s="211"/>
      <c r="BN488" s="211"/>
      <c r="BO488" s="212">
        <f t="shared" si="505"/>
        <v>0</v>
      </c>
      <c r="BP488" s="201">
        <f t="shared" si="506"/>
        <v>1402.4199999999837</v>
      </c>
      <c r="BQ488" s="201">
        <f t="shared" si="479"/>
        <v>1402.4199999999837</v>
      </c>
      <c r="BR488" s="201">
        <f t="shared" si="476"/>
        <v>0</v>
      </c>
      <c r="BS488" s="201">
        <f t="shared" si="476"/>
        <v>1402.4199999999837</v>
      </c>
      <c r="BT488" s="201">
        <f t="shared" si="480"/>
        <v>1402.4199999999837</v>
      </c>
      <c r="BU488" s="213">
        <f t="shared" si="508"/>
        <v>0</v>
      </c>
      <c r="BV488" s="201"/>
      <c r="BW488" s="201"/>
      <c r="BX488" s="201">
        <f t="shared" si="481"/>
        <v>0</v>
      </c>
      <c r="BY488" s="199">
        <v>45000</v>
      </c>
      <c r="BZ488" s="199">
        <v>105000</v>
      </c>
      <c r="CA488" s="199">
        <v>105000</v>
      </c>
      <c r="CB488" s="199">
        <v>45000</v>
      </c>
      <c r="CC488" s="199">
        <v>0</v>
      </c>
      <c r="CD488" s="199">
        <v>0</v>
      </c>
      <c r="CE488" s="199">
        <v>0</v>
      </c>
      <c r="CF488" s="199">
        <v>0</v>
      </c>
      <c r="CG488" s="199">
        <v>0</v>
      </c>
      <c r="CH488" s="199">
        <v>0</v>
      </c>
      <c r="CI488" s="199">
        <v>0</v>
      </c>
      <c r="CJ488" s="199">
        <v>0</v>
      </c>
      <c r="CK488" s="214" t="s">
        <v>1237</v>
      </c>
      <c r="CL488" s="214" t="s">
        <v>610</v>
      </c>
      <c r="CM488" s="211">
        <v>198</v>
      </c>
      <c r="CN488" s="215"/>
      <c r="CO488" s="215"/>
      <c r="CP488" s="216"/>
      <c r="CQ488" s="217"/>
      <c r="CR488" s="211"/>
      <c r="CS488" s="218"/>
      <c r="CT488" s="218"/>
      <c r="CU488" s="218"/>
      <c r="CV488" s="211"/>
      <c r="CW488" s="211"/>
      <c r="CX488" s="211"/>
      <c r="CY488" s="211"/>
      <c r="CZ488" s="211"/>
      <c r="DA488" s="211"/>
      <c r="DB488" s="211"/>
      <c r="DC488" s="219"/>
      <c r="DD488" s="219"/>
      <c r="DE488" s="219"/>
      <c r="DF488" s="211"/>
      <c r="DG488" s="211"/>
      <c r="DH488" s="211"/>
      <c r="DI488" s="211"/>
      <c r="DJ488" s="211"/>
      <c r="DK488" s="220" t="s">
        <v>32</v>
      </c>
      <c r="DT488" s="222"/>
    </row>
    <row r="489" spans="1:124" s="176" customFormat="1" ht="42" x14ac:dyDescent="0.2">
      <c r="A489" s="225" t="s">
        <v>197</v>
      </c>
      <c r="B489" s="197" t="s">
        <v>1238</v>
      </c>
      <c r="C489" s="198">
        <v>1</v>
      </c>
      <c r="D489" s="199">
        <v>350000</v>
      </c>
      <c r="E489" s="198" t="s">
        <v>259</v>
      </c>
      <c r="F489" s="198" t="s">
        <v>150</v>
      </c>
      <c r="G489" s="198" t="s">
        <v>151</v>
      </c>
      <c r="H489" s="200">
        <v>1</v>
      </c>
      <c r="I489" s="199">
        <f t="shared" si="482"/>
        <v>0</v>
      </c>
      <c r="J489" s="199">
        <f t="shared" si="483"/>
        <v>350000</v>
      </c>
      <c r="K489" s="199">
        <f t="shared" si="484"/>
        <v>350000</v>
      </c>
      <c r="L489" s="199"/>
      <c r="M489" s="199">
        <v>350000</v>
      </c>
      <c r="N489" s="199">
        <f t="shared" si="485"/>
        <v>350000</v>
      </c>
      <c r="O489" s="199"/>
      <c r="P489" s="201">
        <v>0</v>
      </c>
      <c r="Q489" s="202">
        <v>15</v>
      </c>
      <c r="R489" s="203">
        <v>45566</v>
      </c>
      <c r="S489" s="199"/>
      <c r="T489" s="199">
        <v>350000</v>
      </c>
      <c r="U489" s="204">
        <f t="shared" si="486"/>
        <v>350000</v>
      </c>
      <c r="V489" s="205"/>
      <c r="W489" s="200"/>
      <c r="X489" s="201"/>
      <c r="Y489" s="201"/>
      <c r="Z489" s="201">
        <f t="shared" si="487"/>
        <v>0</v>
      </c>
      <c r="AA489" s="198"/>
      <c r="AB489" s="206"/>
      <c r="AC489" s="207"/>
      <c r="AD489" s="201"/>
      <c r="AE489" s="204">
        <f t="shared" si="488"/>
        <v>0</v>
      </c>
      <c r="AF489" s="203">
        <f t="shared" si="489"/>
        <v>45566</v>
      </c>
      <c r="AG489" s="201">
        <f t="shared" si="490"/>
        <v>0</v>
      </c>
      <c r="AH489" s="201">
        <f t="shared" si="491"/>
        <v>350000</v>
      </c>
      <c r="AI489" s="199">
        <f t="shared" si="492"/>
        <v>350000</v>
      </c>
      <c r="AJ489" s="201">
        <f t="shared" si="477"/>
        <v>0</v>
      </c>
      <c r="AK489" s="201">
        <f t="shared" si="477"/>
        <v>350000</v>
      </c>
      <c r="AL489" s="201">
        <f t="shared" si="493"/>
        <v>350000</v>
      </c>
      <c r="AM489" s="198"/>
      <c r="AN489" s="203"/>
      <c r="AO489" s="208"/>
      <c r="AP489" s="201">
        <f t="shared" si="494"/>
        <v>0</v>
      </c>
      <c r="AQ489" s="201">
        <f t="shared" si="495"/>
        <v>348704.9</v>
      </c>
      <c r="AR489" s="201">
        <f t="shared" si="496"/>
        <v>348704.9</v>
      </c>
      <c r="AS489" s="201">
        <f t="shared" si="497"/>
        <v>99.629971428571423</v>
      </c>
      <c r="AT489" s="201"/>
      <c r="AU489" s="209">
        <v>348704.9</v>
      </c>
      <c r="AV489" s="201">
        <f t="shared" si="498"/>
        <v>348704.9</v>
      </c>
      <c r="AW489" s="201">
        <f t="shared" si="507"/>
        <v>0</v>
      </c>
      <c r="AX489" s="201">
        <f t="shared" si="499"/>
        <v>99.629971428571423</v>
      </c>
      <c r="AY489" s="208"/>
      <c r="AZ489" s="201">
        <f t="shared" si="500"/>
        <v>0</v>
      </c>
      <c r="BA489" s="201">
        <f t="shared" si="501"/>
        <v>0</v>
      </c>
      <c r="BB489" s="201">
        <f t="shared" si="502"/>
        <v>0</v>
      </c>
      <c r="BC489" s="201"/>
      <c r="BD489" s="209">
        <v>0</v>
      </c>
      <c r="BE489" s="201">
        <f t="shared" si="478"/>
        <v>0</v>
      </c>
      <c r="BF489" s="208"/>
      <c r="BG489" s="201">
        <f t="shared" si="475"/>
        <v>0</v>
      </c>
      <c r="BH489" s="201">
        <f t="shared" si="475"/>
        <v>348704.9</v>
      </c>
      <c r="BI489" s="201">
        <f t="shared" si="503"/>
        <v>348704.9</v>
      </c>
      <c r="BJ489" s="201">
        <f t="shared" si="504"/>
        <v>99.629971428571423</v>
      </c>
      <c r="BK489" s="210">
        <v>71.94</v>
      </c>
      <c r="BL489" s="210">
        <v>100</v>
      </c>
      <c r="BM489" s="211"/>
      <c r="BN489" s="211"/>
      <c r="BO489" s="212">
        <f t="shared" si="505"/>
        <v>0</v>
      </c>
      <c r="BP489" s="201">
        <f t="shared" si="506"/>
        <v>1295.0999999999767</v>
      </c>
      <c r="BQ489" s="201">
        <f t="shared" si="479"/>
        <v>1295.0999999999767</v>
      </c>
      <c r="BR489" s="201">
        <f t="shared" si="476"/>
        <v>0</v>
      </c>
      <c r="BS489" s="201">
        <f t="shared" si="476"/>
        <v>1295.0999999999767</v>
      </c>
      <c r="BT489" s="201">
        <f t="shared" si="480"/>
        <v>1295.0999999999767</v>
      </c>
      <c r="BU489" s="213">
        <f t="shared" si="508"/>
        <v>0</v>
      </c>
      <c r="BV489" s="201"/>
      <c r="BW489" s="201"/>
      <c r="BX489" s="201">
        <f t="shared" si="481"/>
        <v>0</v>
      </c>
      <c r="BY489" s="199">
        <v>52500</v>
      </c>
      <c r="BZ489" s="199">
        <v>122500</v>
      </c>
      <c r="CA489" s="199">
        <v>122500</v>
      </c>
      <c r="CB489" s="199">
        <v>52500</v>
      </c>
      <c r="CC489" s="199">
        <v>0</v>
      </c>
      <c r="CD489" s="199">
        <v>0</v>
      </c>
      <c r="CE489" s="199">
        <v>0</v>
      </c>
      <c r="CF489" s="199">
        <v>0</v>
      </c>
      <c r="CG489" s="199">
        <v>0</v>
      </c>
      <c r="CH489" s="199">
        <v>0</v>
      </c>
      <c r="CI489" s="199">
        <v>0</v>
      </c>
      <c r="CJ489" s="199">
        <v>0</v>
      </c>
      <c r="CK489" s="214" t="s">
        <v>1239</v>
      </c>
      <c r="CL489" s="214" t="s">
        <v>610</v>
      </c>
      <c r="CM489" s="211">
        <v>198</v>
      </c>
      <c r="CN489" s="215"/>
      <c r="CO489" s="215"/>
      <c r="CP489" s="216"/>
      <c r="CQ489" s="217"/>
      <c r="CR489" s="211"/>
      <c r="CS489" s="218"/>
      <c r="CT489" s="218"/>
      <c r="CU489" s="218"/>
      <c r="CV489" s="211"/>
      <c r="CW489" s="211"/>
      <c r="CX489" s="211"/>
      <c r="CY489" s="211"/>
      <c r="CZ489" s="211"/>
      <c r="DA489" s="211"/>
      <c r="DB489" s="211"/>
      <c r="DC489" s="219"/>
      <c r="DD489" s="219"/>
      <c r="DE489" s="219"/>
      <c r="DF489" s="211"/>
      <c r="DG489" s="211"/>
      <c r="DH489" s="211"/>
      <c r="DI489" s="211"/>
      <c r="DJ489" s="211"/>
      <c r="DK489" s="220" t="s">
        <v>32</v>
      </c>
      <c r="DT489" s="222"/>
    </row>
    <row r="490" spans="1:124" s="176" customFormat="1" ht="42" x14ac:dyDescent="0.2">
      <c r="A490" s="225" t="s">
        <v>197</v>
      </c>
      <c r="B490" s="197" t="s">
        <v>1240</v>
      </c>
      <c r="C490" s="198">
        <v>1</v>
      </c>
      <c r="D490" s="199">
        <v>350000</v>
      </c>
      <c r="E490" s="198" t="s">
        <v>267</v>
      </c>
      <c r="F490" s="198" t="s">
        <v>150</v>
      </c>
      <c r="G490" s="198" t="s">
        <v>151</v>
      </c>
      <c r="H490" s="200">
        <v>1</v>
      </c>
      <c r="I490" s="199">
        <f t="shared" si="482"/>
        <v>0</v>
      </c>
      <c r="J490" s="199">
        <f t="shared" si="483"/>
        <v>350000</v>
      </c>
      <c r="K490" s="199">
        <f t="shared" si="484"/>
        <v>350000</v>
      </c>
      <c r="L490" s="199"/>
      <c r="M490" s="199">
        <v>350000</v>
      </c>
      <c r="N490" s="199">
        <f t="shared" si="485"/>
        <v>350000</v>
      </c>
      <c r="O490" s="199"/>
      <c r="P490" s="201">
        <v>0</v>
      </c>
      <c r="Q490" s="202">
        <v>15</v>
      </c>
      <c r="R490" s="203">
        <v>45566</v>
      </c>
      <c r="S490" s="199"/>
      <c r="T490" s="199">
        <v>350000</v>
      </c>
      <c r="U490" s="204">
        <f t="shared" si="486"/>
        <v>350000</v>
      </c>
      <c r="V490" s="205"/>
      <c r="W490" s="200"/>
      <c r="X490" s="201"/>
      <c r="Y490" s="201"/>
      <c r="Z490" s="201">
        <f t="shared" si="487"/>
        <v>0</v>
      </c>
      <c r="AA490" s="198"/>
      <c r="AB490" s="206"/>
      <c r="AC490" s="207"/>
      <c r="AD490" s="201"/>
      <c r="AE490" s="204">
        <f t="shared" si="488"/>
        <v>0</v>
      </c>
      <c r="AF490" s="203">
        <f t="shared" si="489"/>
        <v>45566</v>
      </c>
      <c r="AG490" s="201">
        <f t="shared" si="490"/>
        <v>0</v>
      </c>
      <c r="AH490" s="201">
        <f t="shared" si="491"/>
        <v>350000</v>
      </c>
      <c r="AI490" s="199">
        <f t="shared" si="492"/>
        <v>350000</v>
      </c>
      <c r="AJ490" s="201">
        <f t="shared" si="477"/>
        <v>0</v>
      </c>
      <c r="AK490" s="201">
        <f t="shared" si="477"/>
        <v>350000</v>
      </c>
      <c r="AL490" s="201">
        <f t="shared" si="493"/>
        <v>350000</v>
      </c>
      <c r="AM490" s="198"/>
      <c r="AN490" s="203"/>
      <c r="AO490" s="208"/>
      <c r="AP490" s="201">
        <f t="shared" si="494"/>
        <v>0</v>
      </c>
      <c r="AQ490" s="201">
        <f t="shared" si="495"/>
        <v>348455.5</v>
      </c>
      <c r="AR490" s="201">
        <f t="shared" si="496"/>
        <v>348455.5</v>
      </c>
      <c r="AS490" s="201">
        <f t="shared" si="497"/>
        <v>99.558714285714288</v>
      </c>
      <c r="AT490" s="201"/>
      <c r="AU490" s="209">
        <v>348455.5</v>
      </c>
      <c r="AV490" s="201">
        <f t="shared" si="498"/>
        <v>348455.5</v>
      </c>
      <c r="AW490" s="201">
        <f t="shared" si="507"/>
        <v>0</v>
      </c>
      <c r="AX490" s="201">
        <f t="shared" si="499"/>
        <v>99.558714285714288</v>
      </c>
      <c r="AY490" s="208"/>
      <c r="AZ490" s="201">
        <f t="shared" si="500"/>
        <v>0</v>
      </c>
      <c r="BA490" s="201">
        <f t="shared" si="501"/>
        <v>0</v>
      </c>
      <c r="BB490" s="201">
        <f t="shared" si="502"/>
        <v>0</v>
      </c>
      <c r="BC490" s="201"/>
      <c r="BD490" s="209">
        <v>0</v>
      </c>
      <c r="BE490" s="201">
        <f t="shared" si="478"/>
        <v>0</v>
      </c>
      <c r="BF490" s="208"/>
      <c r="BG490" s="201">
        <f t="shared" si="475"/>
        <v>0</v>
      </c>
      <c r="BH490" s="201">
        <f t="shared" si="475"/>
        <v>348455.5</v>
      </c>
      <c r="BI490" s="201">
        <f t="shared" si="503"/>
        <v>348455.5</v>
      </c>
      <c r="BJ490" s="201">
        <f t="shared" si="504"/>
        <v>99.558714285714288</v>
      </c>
      <c r="BK490" s="210">
        <v>70.150000000000006</v>
      </c>
      <c r="BL490" s="210">
        <v>100</v>
      </c>
      <c r="BM490" s="211"/>
      <c r="BN490" s="211"/>
      <c r="BO490" s="212">
        <f t="shared" si="505"/>
        <v>0</v>
      </c>
      <c r="BP490" s="201">
        <f t="shared" si="506"/>
        <v>1544.5</v>
      </c>
      <c r="BQ490" s="201">
        <f t="shared" si="479"/>
        <v>1544.5</v>
      </c>
      <c r="BR490" s="201">
        <f t="shared" si="476"/>
        <v>0</v>
      </c>
      <c r="BS490" s="201">
        <f t="shared" si="476"/>
        <v>1544.5</v>
      </c>
      <c r="BT490" s="201">
        <f t="shared" si="480"/>
        <v>1544.5</v>
      </c>
      <c r="BU490" s="213">
        <f t="shared" si="508"/>
        <v>0</v>
      </c>
      <c r="BV490" s="201"/>
      <c r="BW490" s="201"/>
      <c r="BX490" s="201">
        <f t="shared" si="481"/>
        <v>0</v>
      </c>
      <c r="BY490" s="199">
        <v>52500</v>
      </c>
      <c r="BZ490" s="199">
        <v>122500</v>
      </c>
      <c r="CA490" s="199">
        <v>122500</v>
      </c>
      <c r="CB490" s="199">
        <v>52500</v>
      </c>
      <c r="CC490" s="199">
        <v>0</v>
      </c>
      <c r="CD490" s="199">
        <v>0</v>
      </c>
      <c r="CE490" s="199">
        <v>0</v>
      </c>
      <c r="CF490" s="199">
        <v>0</v>
      </c>
      <c r="CG490" s="199">
        <v>0</v>
      </c>
      <c r="CH490" s="199">
        <v>0</v>
      </c>
      <c r="CI490" s="199">
        <v>0</v>
      </c>
      <c r="CJ490" s="199">
        <v>0</v>
      </c>
      <c r="CK490" s="214" t="s">
        <v>1241</v>
      </c>
      <c r="CL490" s="214" t="s">
        <v>610</v>
      </c>
      <c r="CM490" s="211">
        <v>198</v>
      </c>
      <c r="CN490" s="215"/>
      <c r="CO490" s="215"/>
      <c r="CP490" s="216"/>
      <c r="CQ490" s="217"/>
      <c r="CR490" s="211"/>
      <c r="CS490" s="218"/>
      <c r="CT490" s="218"/>
      <c r="CU490" s="218"/>
      <c r="CV490" s="211"/>
      <c r="CW490" s="211"/>
      <c r="CX490" s="211"/>
      <c r="CY490" s="211"/>
      <c r="CZ490" s="211"/>
      <c r="DA490" s="211"/>
      <c r="DB490" s="211"/>
      <c r="DC490" s="219"/>
      <c r="DD490" s="219"/>
      <c r="DE490" s="219"/>
      <c r="DF490" s="211"/>
      <c r="DG490" s="211"/>
      <c r="DH490" s="211"/>
      <c r="DI490" s="211"/>
      <c r="DJ490" s="211"/>
      <c r="DK490" s="220" t="s">
        <v>32</v>
      </c>
      <c r="DT490" s="222"/>
    </row>
    <row r="491" spans="1:124" s="176" customFormat="1" ht="42" x14ac:dyDescent="0.2">
      <c r="A491" s="225" t="s">
        <v>197</v>
      </c>
      <c r="B491" s="197" t="s">
        <v>1242</v>
      </c>
      <c r="C491" s="198">
        <v>1</v>
      </c>
      <c r="D491" s="199">
        <v>750000</v>
      </c>
      <c r="E491" s="198" t="s">
        <v>267</v>
      </c>
      <c r="F491" s="198" t="s">
        <v>150</v>
      </c>
      <c r="G491" s="198" t="s">
        <v>151</v>
      </c>
      <c r="H491" s="200">
        <v>1</v>
      </c>
      <c r="I491" s="199">
        <f t="shared" si="482"/>
        <v>0</v>
      </c>
      <c r="J491" s="199">
        <f t="shared" si="483"/>
        <v>750000</v>
      </c>
      <c r="K491" s="199">
        <f t="shared" si="484"/>
        <v>750000</v>
      </c>
      <c r="L491" s="199"/>
      <c r="M491" s="199">
        <v>750000</v>
      </c>
      <c r="N491" s="199">
        <f t="shared" si="485"/>
        <v>750000</v>
      </c>
      <c r="O491" s="199"/>
      <c r="P491" s="201">
        <v>0</v>
      </c>
      <c r="Q491" s="202">
        <v>15</v>
      </c>
      <c r="R491" s="203">
        <v>45566</v>
      </c>
      <c r="S491" s="199"/>
      <c r="T491" s="199">
        <v>750000</v>
      </c>
      <c r="U491" s="204">
        <f t="shared" si="486"/>
        <v>750000</v>
      </c>
      <c r="V491" s="205"/>
      <c r="W491" s="200"/>
      <c r="X491" s="201"/>
      <c r="Y491" s="201"/>
      <c r="Z491" s="201">
        <f t="shared" si="487"/>
        <v>0</v>
      </c>
      <c r="AA491" s="198"/>
      <c r="AB491" s="206"/>
      <c r="AC491" s="207"/>
      <c r="AD491" s="201"/>
      <c r="AE491" s="204">
        <f t="shared" si="488"/>
        <v>0</v>
      </c>
      <c r="AF491" s="203">
        <f t="shared" si="489"/>
        <v>45566</v>
      </c>
      <c r="AG491" s="201">
        <f t="shared" si="490"/>
        <v>0</v>
      </c>
      <c r="AH491" s="201">
        <f t="shared" si="491"/>
        <v>750000</v>
      </c>
      <c r="AI491" s="199">
        <f t="shared" si="492"/>
        <v>750000</v>
      </c>
      <c r="AJ491" s="201">
        <f t="shared" si="477"/>
        <v>0</v>
      </c>
      <c r="AK491" s="201">
        <f t="shared" si="477"/>
        <v>750000</v>
      </c>
      <c r="AL491" s="201">
        <f t="shared" si="493"/>
        <v>750000</v>
      </c>
      <c r="AM491" s="198"/>
      <c r="AN491" s="203"/>
      <c r="AO491" s="208"/>
      <c r="AP491" s="201">
        <f t="shared" si="494"/>
        <v>0</v>
      </c>
      <c r="AQ491" s="201">
        <f t="shared" si="495"/>
        <v>748639.55</v>
      </c>
      <c r="AR491" s="201">
        <f t="shared" si="496"/>
        <v>748639.55</v>
      </c>
      <c r="AS491" s="201">
        <f t="shared" si="497"/>
        <v>99.818606666666668</v>
      </c>
      <c r="AT491" s="201"/>
      <c r="AU491" s="209">
        <v>748639.55</v>
      </c>
      <c r="AV491" s="201">
        <f t="shared" si="498"/>
        <v>748639.55</v>
      </c>
      <c r="AW491" s="201">
        <f t="shared" si="507"/>
        <v>0</v>
      </c>
      <c r="AX491" s="201">
        <f t="shared" si="499"/>
        <v>99.818606666666668</v>
      </c>
      <c r="AY491" s="208"/>
      <c r="AZ491" s="201">
        <f t="shared" si="500"/>
        <v>0</v>
      </c>
      <c r="BA491" s="201">
        <f t="shared" si="501"/>
        <v>0</v>
      </c>
      <c r="BB491" s="201">
        <f t="shared" si="502"/>
        <v>0</v>
      </c>
      <c r="BC491" s="201"/>
      <c r="BD491" s="209">
        <v>0</v>
      </c>
      <c r="BE491" s="201">
        <f t="shared" si="478"/>
        <v>0</v>
      </c>
      <c r="BF491" s="208"/>
      <c r="BG491" s="201">
        <f t="shared" si="475"/>
        <v>0</v>
      </c>
      <c r="BH491" s="201">
        <f t="shared" si="475"/>
        <v>748639.55</v>
      </c>
      <c r="BI491" s="201">
        <f t="shared" si="503"/>
        <v>748639.55</v>
      </c>
      <c r="BJ491" s="201">
        <f t="shared" si="504"/>
        <v>99.818606666666668</v>
      </c>
      <c r="BK491" s="210">
        <v>62.06</v>
      </c>
      <c r="BL491" s="210">
        <v>100</v>
      </c>
      <c r="BM491" s="211"/>
      <c r="BN491" s="211"/>
      <c r="BO491" s="212">
        <f t="shared" si="505"/>
        <v>0</v>
      </c>
      <c r="BP491" s="201">
        <f t="shared" si="506"/>
        <v>1360.4499999999534</v>
      </c>
      <c r="BQ491" s="201">
        <f t="shared" si="479"/>
        <v>1360.4499999999534</v>
      </c>
      <c r="BR491" s="201">
        <f t="shared" si="476"/>
        <v>0</v>
      </c>
      <c r="BS491" s="201">
        <f t="shared" si="476"/>
        <v>1360.4499999999534</v>
      </c>
      <c r="BT491" s="201">
        <f t="shared" si="480"/>
        <v>1360.4499999999534</v>
      </c>
      <c r="BU491" s="213">
        <f t="shared" si="508"/>
        <v>0</v>
      </c>
      <c r="BV491" s="201"/>
      <c r="BW491" s="201"/>
      <c r="BX491" s="201">
        <f t="shared" si="481"/>
        <v>0</v>
      </c>
      <c r="BY491" s="199">
        <v>112500</v>
      </c>
      <c r="BZ491" s="199">
        <v>187500</v>
      </c>
      <c r="CA491" s="199">
        <v>187500</v>
      </c>
      <c r="CB491" s="199">
        <v>187500</v>
      </c>
      <c r="CC491" s="199">
        <v>75000</v>
      </c>
      <c r="CD491" s="199">
        <v>0</v>
      </c>
      <c r="CE491" s="199">
        <v>0</v>
      </c>
      <c r="CF491" s="199">
        <v>0</v>
      </c>
      <c r="CG491" s="199">
        <v>0</v>
      </c>
      <c r="CH491" s="199">
        <v>0</v>
      </c>
      <c r="CI491" s="199">
        <v>0</v>
      </c>
      <c r="CJ491" s="199">
        <v>0</v>
      </c>
      <c r="CK491" s="214" t="s">
        <v>1243</v>
      </c>
      <c r="CL491" s="214" t="s">
        <v>610</v>
      </c>
      <c r="CM491" s="211">
        <v>198</v>
      </c>
      <c r="CN491" s="215"/>
      <c r="CO491" s="215"/>
      <c r="CP491" s="216"/>
      <c r="CQ491" s="217"/>
      <c r="CR491" s="211"/>
      <c r="CS491" s="218"/>
      <c r="CT491" s="218"/>
      <c r="CU491" s="218"/>
      <c r="CV491" s="211"/>
      <c r="CW491" s="211"/>
      <c r="CX491" s="211"/>
      <c r="CY491" s="211"/>
      <c r="CZ491" s="211"/>
      <c r="DA491" s="211"/>
      <c r="DB491" s="211"/>
      <c r="DC491" s="219"/>
      <c r="DD491" s="219"/>
      <c r="DE491" s="219"/>
      <c r="DF491" s="211"/>
      <c r="DG491" s="211"/>
      <c r="DH491" s="211"/>
      <c r="DI491" s="211"/>
      <c r="DJ491" s="211"/>
      <c r="DK491" s="220" t="s">
        <v>32</v>
      </c>
      <c r="DT491" s="222"/>
    </row>
    <row r="492" spans="1:124" s="176" customFormat="1" ht="42" x14ac:dyDescent="0.2">
      <c r="A492" s="225" t="s">
        <v>197</v>
      </c>
      <c r="B492" s="197" t="s">
        <v>1244</v>
      </c>
      <c r="C492" s="198">
        <v>1</v>
      </c>
      <c r="D492" s="199">
        <v>400000</v>
      </c>
      <c r="E492" s="198" t="s">
        <v>149</v>
      </c>
      <c r="F492" s="198" t="s">
        <v>150</v>
      </c>
      <c r="G492" s="198" t="s">
        <v>151</v>
      </c>
      <c r="H492" s="200">
        <v>1</v>
      </c>
      <c r="I492" s="199">
        <f t="shared" si="482"/>
        <v>0</v>
      </c>
      <c r="J492" s="199">
        <f t="shared" si="483"/>
        <v>400000</v>
      </c>
      <c r="K492" s="199">
        <f t="shared" si="484"/>
        <v>400000</v>
      </c>
      <c r="L492" s="199"/>
      <c r="M492" s="199">
        <v>400000</v>
      </c>
      <c r="N492" s="199">
        <f t="shared" si="485"/>
        <v>400000</v>
      </c>
      <c r="O492" s="199"/>
      <c r="P492" s="201">
        <v>0</v>
      </c>
      <c r="Q492" s="202">
        <v>15</v>
      </c>
      <c r="R492" s="203">
        <v>45566</v>
      </c>
      <c r="S492" s="199"/>
      <c r="T492" s="199">
        <v>400000</v>
      </c>
      <c r="U492" s="204">
        <f t="shared" si="486"/>
        <v>400000</v>
      </c>
      <c r="V492" s="205"/>
      <c r="W492" s="200"/>
      <c r="X492" s="201"/>
      <c r="Y492" s="201"/>
      <c r="Z492" s="201">
        <f t="shared" si="487"/>
        <v>0</v>
      </c>
      <c r="AA492" s="198"/>
      <c r="AB492" s="206"/>
      <c r="AC492" s="207"/>
      <c r="AD492" s="201"/>
      <c r="AE492" s="204">
        <f t="shared" si="488"/>
        <v>0</v>
      </c>
      <c r="AF492" s="203">
        <f t="shared" si="489"/>
        <v>45566</v>
      </c>
      <c r="AG492" s="201">
        <f t="shared" si="490"/>
        <v>0</v>
      </c>
      <c r="AH492" s="201">
        <f t="shared" si="491"/>
        <v>400000</v>
      </c>
      <c r="AI492" s="199">
        <f t="shared" si="492"/>
        <v>400000</v>
      </c>
      <c r="AJ492" s="201">
        <f t="shared" si="477"/>
        <v>0</v>
      </c>
      <c r="AK492" s="201">
        <f t="shared" si="477"/>
        <v>400000</v>
      </c>
      <c r="AL492" s="201">
        <f t="shared" si="493"/>
        <v>400000</v>
      </c>
      <c r="AM492" s="198"/>
      <c r="AN492" s="203"/>
      <c r="AO492" s="208"/>
      <c r="AP492" s="201">
        <f t="shared" si="494"/>
        <v>0</v>
      </c>
      <c r="AQ492" s="201">
        <f t="shared" si="495"/>
        <v>398608.64000000001</v>
      </c>
      <c r="AR492" s="201">
        <f t="shared" si="496"/>
        <v>398608.64000000001</v>
      </c>
      <c r="AS492" s="201">
        <f t="shared" si="497"/>
        <v>99.652159999999995</v>
      </c>
      <c r="AT492" s="201"/>
      <c r="AU492" s="209">
        <v>398608.64000000001</v>
      </c>
      <c r="AV492" s="201">
        <f t="shared" si="498"/>
        <v>398608.64000000001</v>
      </c>
      <c r="AW492" s="201">
        <f t="shared" si="507"/>
        <v>0</v>
      </c>
      <c r="AX492" s="201">
        <f t="shared" si="499"/>
        <v>99.652159999999995</v>
      </c>
      <c r="AY492" s="208"/>
      <c r="AZ492" s="201">
        <f t="shared" si="500"/>
        <v>0</v>
      </c>
      <c r="BA492" s="201">
        <f t="shared" si="501"/>
        <v>0</v>
      </c>
      <c r="BB492" s="201">
        <f t="shared" si="502"/>
        <v>0</v>
      </c>
      <c r="BC492" s="201"/>
      <c r="BD492" s="209">
        <v>0</v>
      </c>
      <c r="BE492" s="201">
        <f t="shared" si="478"/>
        <v>0</v>
      </c>
      <c r="BF492" s="208"/>
      <c r="BG492" s="201">
        <f t="shared" si="475"/>
        <v>0</v>
      </c>
      <c r="BH492" s="201">
        <f t="shared" si="475"/>
        <v>398608.64000000001</v>
      </c>
      <c r="BI492" s="201">
        <f t="shared" si="503"/>
        <v>398608.64000000001</v>
      </c>
      <c r="BJ492" s="201">
        <f t="shared" si="504"/>
        <v>99.652159999999995</v>
      </c>
      <c r="BK492" s="210">
        <v>84.45</v>
      </c>
      <c r="BL492" s="210">
        <v>100</v>
      </c>
      <c r="BM492" s="211"/>
      <c r="BN492" s="211"/>
      <c r="BO492" s="212">
        <f t="shared" si="505"/>
        <v>0</v>
      </c>
      <c r="BP492" s="201">
        <f t="shared" si="506"/>
        <v>1391.359999999986</v>
      </c>
      <c r="BQ492" s="201">
        <f t="shared" si="479"/>
        <v>1391.359999999986</v>
      </c>
      <c r="BR492" s="201">
        <f t="shared" si="476"/>
        <v>0</v>
      </c>
      <c r="BS492" s="201">
        <f t="shared" si="476"/>
        <v>1391.359999999986</v>
      </c>
      <c r="BT492" s="201">
        <f t="shared" si="480"/>
        <v>1391.359999999986</v>
      </c>
      <c r="BU492" s="213">
        <f t="shared" si="508"/>
        <v>0</v>
      </c>
      <c r="BV492" s="201"/>
      <c r="BW492" s="201"/>
      <c r="BX492" s="201">
        <f t="shared" si="481"/>
        <v>0</v>
      </c>
      <c r="BY492" s="199">
        <v>60000</v>
      </c>
      <c r="BZ492" s="199">
        <v>160000</v>
      </c>
      <c r="CA492" s="199">
        <v>140000</v>
      </c>
      <c r="CB492" s="199">
        <v>40000</v>
      </c>
      <c r="CC492" s="199">
        <v>0</v>
      </c>
      <c r="CD492" s="199">
        <v>0</v>
      </c>
      <c r="CE492" s="199">
        <v>0</v>
      </c>
      <c r="CF492" s="199">
        <v>0</v>
      </c>
      <c r="CG492" s="199">
        <v>0</v>
      </c>
      <c r="CH492" s="199">
        <v>0</v>
      </c>
      <c r="CI492" s="199">
        <v>0</v>
      </c>
      <c r="CJ492" s="199">
        <v>0</v>
      </c>
      <c r="CK492" s="214" t="s">
        <v>1245</v>
      </c>
      <c r="CL492" s="214" t="s">
        <v>610</v>
      </c>
      <c r="CM492" s="211">
        <v>198</v>
      </c>
      <c r="CN492" s="215"/>
      <c r="CO492" s="215"/>
      <c r="CP492" s="216"/>
      <c r="CQ492" s="217"/>
      <c r="CR492" s="211"/>
      <c r="CS492" s="218"/>
      <c r="CT492" s="218"/>
      <c r="CU492" s="218"/>
      <c r="CV492" s="211"/>
      <c r="CW492" s="211"/>
      <c r="CX492" s="211"/>
      <c r="CY492" s="211"/>
      <c r="CZ492" s="211"/>
      <c r="DA492" s="211"/>
      <c r="DB492" s="211"/>
      <c r="DC492" s="219"/>
      <c r="DD492" s="219"/>
      <c r="DE492" s="219"/>
      <c r="DF492" s="211"/>
      <c r="DG492" s="211"/>
      <c r="DH492" s="211"/>
      <c r="DI492" s="211"/>
      <c r="DJ492" s="211"/>
      <c r="DK492" s="220" t="s">
        <v>32</v>
      </c>
      <c r="DT492" s="222"/>
    </row>
    <row r="493" spans="1:124" s="176" customFormat="1" ht="42" x14ac:dyDescent="0.2">
      <c r="A493" s="225" t="s">
        <v>208</v>
      </c>
      <c r="B493" s="197" t="s">
        <v>1246</v>
      </c>
      <c r="C493" s="198">
        <v>1</v>
      </c>
      <c r="D493" s="199">
        <v>1500000</v>
      </c>
      <c r="E493" s="198" t="s">
        <v>1068</v>
      </c>
      <c r="F493" s="198" t="s">
        <v>150</v>
      </c>
      <c r="G493" s="198" t="s">
        <v>151</v>
      </c>
      <c r="H493" s="200">
        <v>1</v>
      </c>
      <c r="I493" s="199">
        <f t="shared" si="482"/>
        <v>0</v>
      </c>
      <c r="J493" s="199">
        <f t="shared" si="483"/>
        <v>1500000</v>
      </c>
      <c r="K493" s="199">
        <f t="shared" si="484"/>
        <v>1500000</v>
      </c>
      <c r="L493" s="199"/>
      <c r="M493" s="199">
        <v>1500000</v>
      </c>
      <c r="N493" s="199">
        <f t="shared" si="485"/>
        <v>1500000</v>
      </c>
      <c r="O493" s="199"/>
      <c r="P493" s="201">
        <v>0</v>
      </c>
      <c r="Q493" s="202">
        <v>15</v>
      </c>
      <c r="R493" s="203">
        <v>45566</v>
      </c>
      <c r="S493" s="199"/>
      <c r="T493" s="199">
        <v>1500000</v>
      </c>
      <c r="U493" s="204">
        <f t="shared" si="486"/>
        <v>1500000</v>
      </c>
      <c r="V493" s="205">
        <v>2242</v>
      </c>
      <c r="W493" s="200">
        <v>45791</v>
      </c>
      <c r="X493" s="201"/>
      <c r="Y493" s="201">
        <v>-2471.1799999999998</v>
      </c>
      <c r="Z493" s="201">
        <f t="shared" si="487"/>
        <v>-2471.1799999999998</v>
      </c>
      <c r="AA493" s="198"/>
      <c r="AB493" s="206"/>
      <c r="AC493" s="207"/>
      <c r="AD493" s="201"/>
      <c r="AE493" s="204">
        <f t="shared" si="488"/>
        <v>0</v>
      </c>
      <c r="AF493" s="203">
        <f t="shared" si="489"/>
        <v>45566</v>
      </c>
      <c r="AG493" s="201">
        <f t="shared" si="490"/>
        <v>0</v>
      </c>
      <c r="AH493" s="201">
        <f t="shared" si="491"/>
        <v>1497528.82</v>
      </c>
      <c r="AI493" s="199">
        <f t="shared" si="492"/>
        <v>1497528.82</v>
      </c>
      <c r="AJ493" s="201">
        <f t="shared" si="477"/>
        <v>0</v>
      </c>
      <c r="AK493" s="201">
        <f t="shared" si="477"/>
        <v>1497528.82</v>
      </c>
      <c r="AL493" s="201">
        <f t="shared" si="493"/>
        <v>1497528.82</v>
      </c>
      <c r="AM493" s="198"/>
      <c r="AN493" s="203"/>
      <c r="AO493" s="208"/>
      <c r="AP493" s="201">
        <f t="shared" si="494"/>
        <v>0</v>
      </c>
      <c r="AQ493" s="201">
        <f t="shared" si="495"/>
        <v>1496794.32</v>
      </c>
      <c r="AR493" s="201">
        <f t="shared" si="496"/>
        <v>1496794.32</v>
      </c>
      <c r="AS493" s="201">
        <f t="shared" si="497"/>
        <v>99.950952529915241</v>
      </c>
      <c r="AT493" s="201"/>
      <c r="AU493" s="209">
        <v>1496794.32</v>
      </c>
      <c r="AV493" s="201">
        <f t="shared" si="498"/>
        <v>1496794.32</v>
      </c>
      <c r="AW493" s="201">
        <f t="shared" si="507"/>
        <v>0</v>
      </c>
      <c r="AX493" s="201">
        <f t="shared" si="499"/>
        <v>99.950952529915241</v>
      </c>
      <c r="AY493" s="208"/>
      <c r="AZ493" s="201">
        <f t="shared" si="500"/>
        <v>0</v>
      </c>
      <c r="BA493" s="201">
        <f t="shared" si="501"/>
        <v>0</v>
      </c>
      <c r="BB493" s="201">
        <f t="shared" si="502"/>
        <v>0</v>
      </c>
      <c r="BC493" s="201"/>
      <c r="BD493" s="209">
        <v>0</v>
      </c>
      <c r="BE493" s="201">
        <f t="shared" si="478"/>
        <v>0</v>
      </c>
      <c r="BF493" s="208"/>
      <c r="BG493" s="201">
        <f t="shared" si="475"/>
        <v>0</v>
      </c>
      <c r="BH493" s="201">
        <f t="shared" si="475"/>
        <v>1496794.32</v>
      </c>
      <c r="BI493" s="201">
        <f t="shared" si="503"/>
        <v>1496794.32</v>
      </c>
      <c r="BJ493" s="201">
        <f t="shared" si="504"/>
        <v>99.950952529915241</v>
      </c>
      <c r="BK493" s="210">
        <v>80</v>
      </c>
      <c r="BL493" s="210">
        <v>100</v>
      </c>
      <c r="BM493" s="211"/>
      <c r="BN493" s="211"/>
      <c r="BO493" s="212">
        <f t="shared" si="505"/>
        <v>0</v>
      </c>
      <c r="BP493" s="201">
        <f t="shared" si="506"/>
        <v>734.5</v>
      </c>
      <c r="BQ493" s="201">
        <f t="shared" si="479"/>
        <v>734.5</v>
      </c>
      <c r="BR493" s="201">
        <f t="shared" si="476"/>
        <v>0</v>
      </c>
      <c r="BS493" s="201">
        <f t="shared" si="476"/>
        <v>734.5</v>
      </c>
      <c r="BT493" s="201">
        <f t="shared" si="480"/>
        <v>734.5</v>
      </c>
      <c r="BU493" s="213">
        <f t="shared" si="508"/>
        <v>0</v>
      </c>
      <c r="BV493" s="201">
        <v>2471.1799999999998</v>
      </c>
      <c r="BW493" s="201"/>
      <c r="BX493" s="201">
        <f t="shared" si="481"/>
        <v>2471.1799999999998</v>
      </c>
      <c r="BY493" s="199">
        <v>300000</v>
      </c>
      <c r="BZ493" s="199">
        <v>450000</v>
      </c>
      <c r="CA493" s="199">
        <v>450000</v>
      </c>
      <c r="CB493" s="199">
        <v>300000</v>
      </c>
      <c r="CC493" s="199">
        <v>0</v>
      </c>
      <c r="CD493" s="199">
        <v>0</v>
      </c>
      <c r="CE493" s="199">
        <v>0</v>
      </c>
      <c r="CF493" s="199">
        <v>0</v>
      </c>
      <c r="CG493" s="199">
        <v>0</v>
      </c>
      <c r="CH493" s="199">
        <v>0</v>
      </c>
      <c r="CI493" s="199">
        <v>0</v>
      </c>
      <c r="CJ493" s="199">
        <v>0</v>
      </c>
      <c r="CK493" s="214" t="s">
        <v>1247</v>
      </c>
      <c r="CL493" s="214" t="s">
        <v>610</v>
      </c>
      <c r="CM493" s="211">
        <v>198</v>
      </c>
      <c r="CN493" s="215"/>
      <c r="CO493" s="215"/>
      <c r="CP493" s="216"/>
      <c r="CQ493" s="217"/>
      <c r="CR493" s="211"/>
      <c r="CS493" s="218"/>
      <c r="CT493" s="218"/>
      <c r="CU493" s="218"/>
      <c r="CV493" s="211"/>
      <c r="CW493" s="211"/>
      <c r="CX493" s="211"/>
      <c r="CY493" s="211"/>
      <c r="CZ493" s="211"/>
      <c r="DA493" s="211"/>
      <c r="DB493" s="211"/>
      <c r="DC493" s="219"/>
      <c r="DD493" s="219"/>
      <c r="DE493" s="219"/>
      <c r="DF493" s="211"/>
      <c r="DG493" s="211"/>
      <c r="DH493" s="211"/>
      <c r="DI493" s="211"/>
      <c r="DJ493" s="211"/>
      <c r="DK493" s="220" t="s">
        <v>32</v>
      </c>
      <c r="DT493" s="222"/>
    </row>
    <row r="494" spans="1:124" s="176" customFormat="1" ht="42" x14ac:dyDescent="0.2">
      <c r="A494" s="195" t="s">
        <v>154</v>
      </c>
      <c r="B494" s="197" t="s">
        <v>1248</v>
      </c>
      <c r="C494" s="198">
        <v>1</v>
      </c>
      <c r="D494" s="199">
        <v>500000</v>
      </c>
      <c r="E494" s="198" t="s">
        <v>156</v>
      </c>
      <c r="F494" s="198" t="s">
        <v>150</v>
      </c>
      <c r="G494" s="198" t="s">
        <v>151</v>
      </c>
      <c r="H494" s="200">
        <v>1</v>
      </c>
      <c r="I494" s="199">
        <f t="shared" si="482"/>
        <v>0</v>
      </c>
      <c r="J494" s="199">
        <f t="shared" si="483"/>
        <v>500000</v>
      </c>
      <c r="K494" s="199">
        <f t="shared" si="484"/>
        <v>500000</v>
      </c>
      <c r="L494" s="199"/>
      <c r="M494" s="199">
        <v>500000</v>
      </c>
      <c r="N494" s="199">
        <f t="shared" si="485"/>
        <v>500000</v>
      </c>
      <c r="O494" s="199"/>
      <c r="P494" s="201">
        <v>0</v>
      </c>
      <c r="Q494" s="202">
        <v>15</v>
      </c>
      <c r="R494" s="203">
        <v>45566</v>
      </c>
      <c r="S494" s="199"/>
      <c r="T494" s="199">
        <v>500000</v>
      </c>
      <c r="U494" s="204">
        <f t="shared" si="486"/>
        <v>500000</v>
      </c>
      <c r="V494" s="205"/>
      <c r="W494" s="200"/>
      <c r="X494" s="201"/>
      <c r="Y494" s="201"/>
      <c r="Z494" s="201">
        <f t="shared" si="487"/>
        <v>0</v>
      </c>
      <c r="AA494" s="198"/>
      <c r="AB494" s="206"/>
      <c r="AC494" s="207"/>
      <c r="AD494" s="201"/>
      <c r="AE494" s="204">
        <f t="shared" si="488"/>
        <v>0</v>
      </c>
      <c r="AF494" s="203">
        <f t="shared" si="489"/>
        <v>45566</v>
      </c>
      <c r="AG494" s="201">
        <f t="shared" si="490"/>
        <v>0</v>
      </c>
      <c r="AH494" s="201">
        <f t="shared" si="491"/>
        <v>500000</v>
      </c>
      <c r="AI494" s="199">
        <f t="shared" si="492"/>
        <v>500000</v>
      </c>
      <c r="AJ494" s="201">
        <f t="shared" si="477"/>
        <v>0</v>
      </c>
      <c r="AK494" s="201">
        <f t="shared" si="477"/>
        <v>500000</v>
      </c>
      <c r="AL494" s="201">
        <f t="shared" si="493"/>
        <v>500000</v>
      </c>
      <c r="AM494" s="198"/>
      <c r="AN494" s="203"/>
      <c r="AO494" s="208"/>
      <c r="AP494" s="201">
        <f t="shared" si="494"/>
        <v>0</v>
      </c>
      <c r="AQ494" s="201">
        <f t="shared" si="495"/>
        <v>266015.98</v>
      </c>
      <c r="AR494" s="201">
        <f t="shared" si="496"/>
        <v>266015.98</v>
      </c>
      <c r="AS494" s="201">
        <f t="shared" si="497"/>
        <v>53.203195999999998</v>
      </c>
      <c r="AT494" s="201"/>
      <c r="AU494" s="209">
        <v>266015.98</v>
      </c>
      <c r="AV494" s="201">
        <f t="shared" si="498"/>
        <v>266015.98</v>
      </c>
      <c r="AW494" s="201">
        <f t="shared" si="507"/>
        <v>9.1999999999999993</v>
      </c>
      <c r="AX494" s="201">
        <f t="shared" si="499"/>
        <v>53.203195999999998</v>
      </c>
      <c r="AY494" s="208"/>
      <c r="AZ494" s="201">
        <f t="shared" si="500"/>
        <v>0</v>
      </c>
      <c r="BA494" s="201">
        <f t="shared" si="501"/>
        <v>0</v>
      </c>
      <c r="BB494" s="201">
        <f t="shared" si="502"/>
        <v>0</v>
      </c>
      <c r="BC494" s="201"/>
      <c r="BD494" s="209">
        <v>0</v>
      </c>
      <c r="BE494" s="201">
        <f t="shared" si="478"/>
        <v>0</v>
      </c>
      <c r="BF494" s="208"/>
      <c r="BG494" s="201">
        <f t="shared" si="475"/>
        <v>0</v>
      </c>
      <c r="BH494" s="201">
        <f t="shared" si="475"/>
        <v>266015.98</v>
      </c>
      <c r="BI494" s="201">
        <f t="shared" si="503"/>
        <v>266015.98</v>
      </c>
      <c r="BJ494" s="201">
        <f t="shared" si="504"/>
        <v>53.203195999999998</v>
      </c>
      <c r="BK494" s="210">
        <v>42</v>
      </c>
      <c r="BL494" s="210">
        <v>45</v>
      </c>
      <c r="BM494" s="211"/>
      <c r="BN494" s="211"/>
      <c r="BO494" s="212">
        <f t="shared" si="505"/>
        <v>0</v>
      </c>
      <c r="BP494" s="201">
        <f t="shared" si="506"/>
        <v>233984.02000000002</v>
      </c>
      <c r="BQ494" s="201">
        <f t="shared" si="479"/>
        <v>233984.02000000002</v>
      </c>
      <c r="BR494" s="201">
        <f t="shared" si="476"/>
        <v>0</v>
      </c>
      <c r="BS494" s="201">
        <f t="shared" si="476"/>
        <v>233984.02000000002</v>
      </c>
      <c r="BT494" s="201">
        <f t="shared" si="480"/>
        <v>233984.02000000002</v>
      </c>
      <c r="BU494" s="213">
        <f t="shared" si="508"/>
        <v>0</v>
      </c>
      <c r="BV494" s="201"/>
      <c r="BW494" s="201"/>
      <c r="BX494" s="201">
        <f t="shared" si="481"/>
        <v>0</v>
      </c>
      <c r="BY494" s="199">
        <v>0</v>
      </c>
      <c r="BZ494" s="199">
        <v>95000</v>
      </c>
      <c r="CA494" s="199">
        <v>35000</v>
      </c>
      <c r="CB494" s="199">
        <v>35000</v>
      </c>
      <c r="CC494" s="199">
        <v>35000</v>
      </c>
      <c r="CD494" s="199">
        <v>35000</v>
      </c>
      <c r="CE494" s="199">
        <v>35000</v>
      </c>
      <c r="CF494" s="199">
        <v>46000</v>
      </c>
      <c r="CG494" s="199">
        <v>46000</v>
      </c>
      <c r="CH494" s="199">
        <v>46000</v>
      </c>
      <c r="CI494" s="199">
        <v>46000</v>
      </c>
      <c r="CJ494" s="199">
        <v>46000</v>
      </c>
      <c r="CK494" s="214" t="s">
        <v>1249</v>
      </c>
      <c r="CL494" s="214" t="s">
        <v>610</v>
      </c>
      <c r="CM494" s="211">
        <v>198</v>
      </c>
      <c r="CN494" s="215"/>
      <c r="CO494" s="215"/>
      <c r="CP494" s="216"/>
      <c r="CQ494" s="217"/>
      <c r="CR494" s="211"/>
      <c r="CS494" s="218"/>
      <c r="CT494" s="218"/>
      <c r="CU494" s="218"/>
      <c r="CV494" s="211"/>
      <c r="CW494" s="211"/>
      <c r="CX494" s="211"/>
      <c r="CY494" s="211"/>
      <c r="CZ494" s="211"/>
      <c r="DA494" s="211"/>
      <c r="DB494" s="211"/>
      <c r="DC494" s="219"/>
      <c r="DD494" s="219"/>
      <c r="DE494" s="219"/>
      <c r="DF494" s="211"/>
      <c r="DG494" s="211"/>
      <c r="DH494" s="211"/>
      <c r="DI494" s="211"/>
      <c r="DJ494" s="211"/>
      <c r="DK494" s="220" t="s">
        <v>32</v>
      </c>
      <c r="DT494" s="222"/>
    </row>
    <row r="495" spans="1:124" s="176" customFormat="1" ht="42" x14ac:dyDescent="0.2">
      <c r="A495" s="225" t="s">
        <v>208</v>
      </c>
      <c r="B495" s="197" t="s">
        <v>1250</v>
      </c>
      <c r="C495" s="198">
        <v>1</v>
      </c>
      <c r="D495" s="199">
        <v>1359600</v>
      </c>
      <c r="E495" s="198" t="s">
        <v>1068</v>
      </c>
      <c r="F495" s="198" t="s">
        <v>150</v>
      </c>
      <c r="G495" s="198" t="s">
        <v>151</v>
      </c>
      <c r="H495" s="200">
        <v>1</v>
      </c>
      <c r="I495" s="199">
        <f t="shared" si="482"/>
        <v>0</v>
      </c>
      <c r="J495" s="199">
        <f t="shared" si="483"/>
        <v>1359600</v>
      </c>
      <c r="K495" s="199">
        <f t="shared" si="484"/>
        <v>1359600</v>
      </c>
      <c r="L495" s="199"/>
      <c r="M495" s="199">
        <v>1359600</v>
      </c>
      <c r="N495" s="199">
        <f t="shared" si="485"/>
        <v>1359600</v>
      </c>
      <c r="O495" s="199"/>
      <c r="P495" s="201">
        <v>0</v>
      </c>
      <c r="Q495" s="202">
        <v>15</v>
      </c>
      <c r="R495" s="203">
        <v>45566</v>
      </c>
      <c r="S495" s="199"/>
      <c r="T495" s="199">
        <v>1359600</v>
      </c>
      <c r="U495" s="204">
        <f t="shared" si="486"/>
        <v>1359600</v>
      </c>
      <c r="V495" s="205"/>
      <c r="W495" s="200"/>
      <c r="X495" s="201"/>
      <c r="Y495" s="201"/>
      <c r="Z495" s="201">
        <f t="shared" si="487"/>
        <v>0</v>
      </c>
      <c r="AA495" s="198"/>
      <c r="AB495" s="206"/>
      <c r="AC495" s="207"/>
      <c r="AD495" s="201"/>
      <c r="AE495" s="204">
        <f t="shared" si="488"/>
        <v>0</v>
      </c>
      <c r="AF495" s="203">
        <f t="shared" si="489"/>
        <v>45566</v>
      </c>
      <c r="AG495" s="201">
        <f t="shared" si="490"/>
        <v>0</v>
      </c>
      <c r="AH495" s="201">
        <f t="shared" si="491"/>
        <v>1359600</v>
      </c>
      <c r="AI495" s="199">
        <f t="shared" si="492"/>
        <v>1359600</v>
      </c>
      <c r="AJ495" s="201">
        <f t="shared" si="477"/>
        <v>0</v>
      </c>
      <c r="AK495" s="201">
        <f t="shared" si="477"/>
        <v>1359600</v>
      </c>
      <c r="AL495" s="201">
        <f t="shared" si="493"/>
        <v>1359600</v>
      </c>
      <c r="AM495" s="198"/>
      <c r="AN495" s="203"/>
      <c r="AO495" s="208"/>
      <c r="AP495" s="201">
        <f t="shared" si="494"/>
        <v>0</v>
      </c>
      <c r="AQ495" s="201">
        <f t="shared" si="495"/>
        <v>938647.75</v>
      </c>
      <c r="AR495" s="201">
        <f t="shared" si="496"/>
        <v>938647.75</v>
      </c>
      <c r="AS495" s="201">
        <f t="shared" si="497"/>
        <v>69.038522359517501</v>
      </c>
      <c r="AT495" s="201"/>
      <c r="AU495" s="209">
        <v>938647.75</v>
      </c>
      <c r="AV495" s="201">
        <f t="shared" si="498"/>
        <v>938647.75</v>
      </c>
      <c r="AW495" s="201">
        <f t="shared" si="507"/>
        <v>8.3252427184466011</v>
      </c>
      <c r="AX495" s="201">
        <f t="shared" si="499"/>
        <v>69.038522359517501</v>
      </c>
      <c r="AY495" s="208"/>
      <c r="AZ495" s="201">
        <f t="shared" si="500"/>
        <v>0</v>
      </c>
      <c r="BA495" s="201">
        <f t="shared" si="501"/>
        <v>0</v>
      </c>
      <c r="BB495" s="201">
        <f t="shared" si="502"/>
        <v>0</v>
      </c>
      <c r="BC495" s="201"/>
      <c r="BD495" s="209">
        <v>0</v>
      </c>
      <c r="BE495" s="201">
        <f t="shared" si="478"/>
        <v>0</v>
      </c>
      <c r="BF495" s="208"/>
      <c r="BG495" s="201">
        <f t="shared" si="475"/>
        <v>0</v>
      </c>
      <c r="BH495" s="201">
        <f t="shared" si="475"/>
        <v>938647.75</v>
      </c>
      <c r="BI495" s="201">
        <f t="shared" si="503"/>
        <v>938647.75</v>
      </c>
      <c r="BJ495" s="201">
        <f t="shared" si="504"/>
        <v>69.038522359517501</v>
      </c>
      <c r="BK495" s="210">
        <v>25</v>
      </c>
      <c r="BL495" s="210">
        <v>50</v>
      </c>
      <c r="BM495" s="211"/>
      <c r="BN495" s="211"/>
      <c r="BO495" s="212">
        <f t="shared" si="505"/>
        <v>0</v>
      </c>
      <c r="BP495" s="201">
        <f t="shared" si="506"/>
        <v>420952.25</v>
      </c>
      <c r="BQ495" s="201">
        <f t="shared" si="479"/>
        <v>420952.25</v>
      </c>
      <c r="BR495" s="201">
        <f t="shared" si="476"/>
        <v>0</v>
      </c>
      <c r="BS495" s="201">
        <f t="shared" si="476"/>
        <v>420952.25</v>
      </c>
      <c r="BT495" s="201">
        <f t="shared" si="480"/>
        <v>420952.25</v>
      </c>
      <c r="BU495" s="213">
        <f t="shared" si="508"/>
        <v>0</v>
      </c>
      <c r="BV495" s="201"/>
      <c r="BW495" s="201"/>
      <c r="BX495" s="201">
        <f t="shared" si="481"/>
        <v>0</v>
      </c>
      <c r="BY495" s="199">
        <v>113190</v>
      </c>
      <c r="BZ495" s="199">
        <v>113190</v>
      </c>
      <c r="CA495" s="199">
        <v>113190</v>
      </c>
      <c r="CB495" s="199">
        <v>113190</v>
      </c>
      <c r="CC495" s="199">
        <v>113190</v>
      </c>
      <c r="CD495" s="199">
        <v>113190</v>
      </c>
      <c r="CE495" s="199">
        <v>113190</v>
      </c>
      <c r="CF495" s="199">
        <v>113190</v>
      </c>
      <c r="CG495" s="199">
        <v>113190</v>
      </c>
      <c r="CH495" s="199">
        <v>113630</v>
      </c>
      <c r="CI495" s="199">
        <v>113630</v>
      </c>
      <c r="CJ495" s="199">
        <v>113630</v>
      </c>
      <c r="CK495" s="214" t="s">
        <v>1251</v>
      </c>
      <c r="CL495" s="214" t="s">
        <v>610</v>
      </c>
      <c r="CM495" s="211">
        <v>198</v>
      </c>
      <c r="CN495" s="215"/>
      <c r="CO495" s="215"/>
      <c r="CP495" s="216"/>
      <c r="CQ495" s="217"/>
      <c r="CR495" s="211"/>
      <c r="CS495" s="218"/>
      <c r="CT495" s="218"/>
      <c r="CU495" s="218"/>
      <c r="CV495" s="211"/>
      <c r="CW495" s="211"/>
      <c r="CX495" s="211"/>
      <c r="CY495" s="211"/>
      <c r="CZ495" s="211"/>
      <c r="DA495" s="211"/>
      <c r="DB495" s="211"/>
      <c r="DC495" s="219"/>
      <c r="DD495" s="219"/>
      <c r="DE495" s="219"/>
      <c r="DF495" s="211"/>
      <c r="DG495" s="211"/>
      <c r="DH495" s="211"/>
      <c r="DI495" s="211"/>
      <c r="DJ495" s="211"/>
      <c r="DK495" s="220" t="s">
        <v>32</v>
      </c>
      <c r="DT495" s="222"/>
    </row>
    <row r="496" spans="1:124" s="176" customFormat="1" ht="42" x14ac:dyDescent="0.2">
      <c r="A496" s="225" t="s">
        <v>197</v>
      </c>
      <c r="B496" s="197" t="s">
        <v>1252</v>
      </c>
      <c r="C496" s="198">
        <v>1</v>
      </c>
      <c r="D496" s="199">
        <v>650000</v>
      </c>
      <c r="E496" s="198" t="s">
        <v>1068</v>
      </c>
      <c r="F496" s="198" t="s">
        <v>150</v>
      </c>
      <c r="G496" s="198" t="s">
        <v>151</v>
      </c>
      <c r="H496" s="200">
        <v>1</v>
      </c>
      <c r="I496" s="199">
        <f t="shared" si="482"/>
        <v>0</v>
      </c>
      <c r="J496" s="199">
        <f t="shared" si="483"/>
        <v>650000</v>
      </c>
      <c r="K496" s="199">
        <f t="shared" si="484"/>
        <v>650000</v>
      </c>
      <c r="L496" s="199"/>
      <c r="M496" s="199">
        <v>650000</v>
      </c>
      <c r="N496" s="199">
        <f t="shared" si="485"/>
        <v>650000</v>
      </c>
      <c r="O496" s="199"/>
      <c r="P496" s="201">
        <v>0</v>
      </c>
      <c r="Q496" s="202">
        <v>15</v>
      </c>
      <c r="R496" s="203">
        <v>45566</v>
      </c>
      <c r="S496" s="199"/>
      <c r="T496" s="199">
        <v>650000</v>
      </c>
      <c r="U496" s="204">
        <f t="shared" si="486"/>
        <v>650000</v>
      </c>
      <c r="V496" s="205"/>
      <c r="W496" s="200"/>
      <c r="X496" s="201"/>
      <c r="Y496" s="201"/>
      <c r="Z496" s="201">
        <f t="shared" si="487"/>
        <v>0</v>
      </c>
      <c r="AA496" s="198"/>
      <c r="AB496" s="206"/>
      <c r="AC496" s="207"/>
      <c r="AD496" s="201"/>
      <c r="AE496" s="204">
        <f t="shared" si="488"/>
        <v>0</v>
      </c>
      <c r="AF496" s="203">
        <f t="shared" si="489"/>
        <v>45566</v>
      </c>
      <c r="AG496" s="201">
        <f t="shared" si="490"/>
        <v>0</v>
      </c>
      <c r="AH496" s="201">
        <f t="shared" si="491"/>
        <v>650000</v>
      </c>
      <c r="AI496" s="199">
        <f t="shared" si="492"/>
        <v>650000</v>
      </c>
      <c r="AJ496" s="201">
        <f t="shared" si="477"/>
        <v>0</v>
      </c>
      <c r="AK496" s="201">
        <f t="shared" si="477"/>
        <v>650000</v>
      </c>
      <c r="AL496" s="201">
        <f t="shared" si="493"/>
        <v>650000</v>
      </c>
      <c r="AM496" s="198"/>
      <c r="AN496" s="203"/>
      <c r="AO496" s="208"/>
      <c r="AP496" s="201">
        <f t="shared" si="494"/>
        <v>0</v>
      </c>
      <c r="AQ496" s="201">
        <f t="shared" si="495"/>
        <v>544261</v>
      </c>
      <c r="AR496" s="201">
        <f t="shared" si="496"/>
        <v>544261</v>
      </c>
      <c r="AS496" s="201">
        <f t="shared" si="497"/>
        <v>83.732461538461536</v>
      </c>
      <c r="AT496" s="201"/>
      <c r="AU496" s="209">
        <v>544261</v>
      </c>
      <c r="AV496" s="201">
        <f t="shared" si="498"/>
        <v>544261</v>
      </c>
      <c r="AW496" s="201">
        <f t="shared" si="507"/>
        <v>5.9846153846153847</v>
      </c>
      <c r="AX496" s="201">
        <f t="shared" si="499"/>
        <v>83.732461538461536</v>
      </c>
      <c r="AY496" s="208"/>
      <c r="AZ496" s="201">
        <f t="shared" si="500"/>
        <v>0</v>
      </c>
      <c r="BA496" s="201">
        <f t="shared" si="501"/>
        <v>0</v>
      </c>
      <c r="BB496" s="201">
        <f t="shared" si="502"/>
        <v>0</v>
      </c>
      <c r="BC496" s="201"/>
      <c r="BD496" s="209">
        <v>0</v>
      </c>
      <c r="BE496" s="201">
        <f t="shared" si="478"/>
        <v>0</v>
      </c>
      <c r="BF496" s="208"/>
      <c r="BG496" s="201">
        <f t="shared" si="475"/>
        <v>0</v>
      </c>
      <c r="BH496" s="201">
        <f t="shared" si="475"/>
        <v>544261</v>
      </c>
      <c r="BI496" s="201">
        <f t="shared" si="503"/>
        <v>544261</v>
      </c>
      <c r="BJ496" s="201">
        <f t="shared" si="504"/>
        <v>83.732461538461536</v>
      </c>
      <c r="BK496" s="210">
        <v>26.23</v>
      </c>
      <c r="BL496" s="210">
        <v>60</v>
      </c>
      <c r="BM496" s="211"/>
      <c r="BN496" s="211"/>
      <c r="BO496" s="212">
        <f t="shared" si="505"/>
        <v>0</v>
      </c>
      <c r="BP496" s="201">
        <f t="shared" si="506"/>
        <v>105739</v>
      </c>
      <c r="BQ496" s="201">
        <f t="shared" si="479"/>
        <v>105739</v>
      </c>
      <c r="BR496" s="201">
        <f t="shared" si="476"/>
        <v>0</v>
      </c>
      <c r="BS496" s="201">
        <f t="shared" si="476"/>
        <v>105739</v>
      </c>
      <c r="BT496" s="201">
        <f t="shared" si="480"/>
        <v>105739</v>
      </c>
      <c r="BU496" s="213">
        <f t="shared" si="508"/>
        <v>0</v>
      </c>
      <c r="BV496" s="201"/>
      <c r="BW496" s="201"/>
      <c r="BX496" s="201">
        <f t="shared" si="481"/>
        <v>0</v>
      </c>
      <c r="BY496" s="199">
        <v>91200</v>
      </c>
      <c r="BZ496" s="199">
        <v>91100</v>
      </c>
      <c r="CA496" s="199">
        <v>91500</v>
      </c>
      <c r="CB496" s="199">
        <v>37600</v>
      </c>
      <c r="CC496" s="199">
        <v>36400</v>
      </c>
      <c r="CD496" s="199">
        <v>40200</v>
      </c>
      <c r="CE496" s="199">
        <v>37200</v>
      </c>
      <c r="CF496" s="199">
        <v>38900</v>
      </c>
      <c r="CG496" s="199">
        <v>38500</v>
      </c>
      <c r="CH496" s="199">
        <v>44200</v>
      </c>
      <c r="CI496" s="199">
        <v>52800</v>
      </c>
      <c r="CJ496" s="199">
        <v>50400</v>
      </c>
      <c r="CK496" s="214" t="s">
        <v>1253</v>
      </c>
      <c r="CL496" s="214" t="s">
        <v>610</v>
      </c>
      <c r="CM496" s="211">
        <v>198</v>
      </c>
      <c r="CN496" s="215"/>
      <c r="CO496" s="215"/>
      <c r="CP496" s="216"/>
      <c r="CQ496" s="217"/>
      <c r="CR496" s="211"/>
      <c r="CS496" s="218"/>
      <c r="CT496" s="218"/>
      <c r="CU496" s="218"/>
      <c r="CV496" s="211"/>
      <c r="CW496" s="211"/>
      <c r="CX496" s="211"/>
      <c r="CY496" s="211"/>
      <c r="CZ496" s="211"/>
      <c r="DA496" s="211"/>
      <c r="DB496" s="211"/>
      <c r="DC496" s="219"/>
      <c r="DD496" s="219"/>
      <c r="DE496" s="219"/>
      <c r="DF496" s="211"/>
      <c r="DG496" s="211"/>
      <c r="DH496" s="211"/>
      <c r="DI496" s="211"/>
      <c r="DJ496" s="211"/>
      <c r="DK496" s="220" t="s">
        <v>32</v>
      </c>
      <c r="DT496" s="222"/>
    </row>
    <row r="497" spans="1:124" s="278" customFormat="1" ht="42" x14ac:dyDescent="0.2">
      <c r="A497" s="249" t="s">
        <v>227</v>
      </c>
      <c r="B497" s="250" t="s">
        <v>1254</v>
      </c>
      <c r="C497" s="251">
        <v>1</v>
      </c>
      <c r="D497" s="252">
        <v>2200000</v>
      </c>
      <c r="E497" s="251" t="s">
        <v>616</v>
      </c>
      <c r="F497" s="251" t="s">
        <v>150</v>
      </c>
      <c r="G497" s="251" t="s">
        <v>151</v>
      </c>
      <c r="H497" s="253">
        <v>1</v>
      </c>
      <c r="I497" s="252">
        <f t="shared" si="482"/>
        <v>0</v>
      </c>
      <c r="J497" s="252">
        <f t="shared" si="483"/>
        <v>2200000</v>
      </c>
      <c r="K497" s="252">
        <f t="shared" si="484"/>
        <v>2200000</v>
      </c>
      <c r="L497" s="252"/>
      <c r="M497" s="252">
        <v>2200000</v>
      </c>
      <c r="N497" s="252">
        <f t="shared" si="485"/>
        <v>2200000</v>
      </c>
      <c r="O497" s="252"/>
      <c r="P497" s="209">
        <v>0</v>
      </c>
      <c r="Q497" s="254">
        <v>15</v>
      </c>
      <c r="R497" s="255">
        <v>45566</v>
      </c>
      <c r="S497" s="271"/>
      <c r="T497" s="271">
        <v>2200000</v>
      </c>
      <c r="U497" s="256">
        <f t="shared" si="486"/>
        <v>2200000</v>
      </c>
      <c r="V497" s="257"/>
      <c r="W497" s="258"/>
      <c r="X497" s="259"/>
      <c r="Y497" s="259"/>
      <c r="Z497" s="259">
        <f t="shared" si="487"/>
        <v>0</v>
      </c>
      <c r="AA497" s="260"/>
      <c r="AB497" s="261"/>
      <c r="AC497" s="262"/>
      <c r="AD497" s="259"/>
      <c r="AE497" s="256">
        <f t="shared" si="488"/>
        <v>0</v>
      </c>
      <c r="AF497" s="263">
        <f t="shared" si="489"/>
        <v>45566</v>
      </c>
      <c r="AG497" s="209">
        <f t="shared" si="490"/>
        <v>0</v>
      </c>
      <c r="AH497" s="209">
        <f t="shared" si="491"/>
        <v>2200000</v>
      </c>
      <c r="AI497" s="252">
        <f t="shared" si="492"/>
        <v>2200000</v>
      </c>
      <c r="AJ497" s="259">
        <f t="shared" si="477"/>
        <v>0</v>
      </c>
      <c r="AK497" s="259">
        <f t="shared" si="477"/>
        <v>2200000</v>
      </c>
      <c r="AL497" s="259">
        <f t="shared" si="493"/>
        <v>2200000</v>
      </c>
      <c r="AM497" s="251"/>
      <c r="AN497" s="263"/>
      <c r="AO497" s="259"/>
      <c r="AP497" s="209">
        <f t="shared" si="494"/>
        <v>0</v>
      </c>
      <c r="AQ497" s="209">
        <f t="shared" si="495"/>
        <v>1522641.06</v>
      </c>
      <c r="AR497" s="209">
        <f t="shared" si="496"/>
        <v>1522641.06</v>
      </c>
      <c r="AS497" s="209">
        <f t="shared" si="497"/>
        <v>69.210957272727271</v>
      </c>
      <c r="AT497" s="259"/>
      <c r="AU497" s="259">
        <v>1522641.06</v>
      </c>
      <c r="AV497" s="259">
        <f t="shared" si="498"/>
        <v>1522641.06</v>
      </c>
      <c r="AW497" s="209">
        <f t="shared" si="507"/>
        <v>8</v>
      </c>
      <c r="AX497" s="259">
        <f t="shared" si="499"/>
        <v>69.210957272727271</v>
      </c>
      <c r="AY497" s="209"/>
      <c r="AZ497" s="209">
        <f t="shared" si="500"/>
        <v>0</v>
      </c>
      <c r="BA497" s="209">
        <f t="shared" si="501"/>
        <v>5170</v>
      </c>
      <c r="BB497" s="209">
        <f t="shared" si="502"/>
        <v>5170</v>
      </c>
      <c r="BC497" s="259"/>
      <c r="BD497" s="259">
        <v>5170</v>
      </c>
      <c r="BE497" s="259">
        <f t="shared" si="478"/>
        <v>5170</v>
      </c>
      <c r="BF497" s="209"/>
      <c r="BG497" s="259">
        <f t="shared" si="475"/>
        <v>0</v>
      </c>
      <c r="BH497" s="259">
        <f t="shared" si="475"/>
        <v>1527811.06</v>
      </c>
      <c r="BI497" s="259">
        <f t="shared" si="503"/>
        <v>1527811.06</v>
      </c>
      <c r="BJ497" s="259">
        <f t="shared" si="504"/>
        <v>69.44595727272727</v>
      </c>
      <c r="BK497" s="266">
        <v>15</v>
      </c>
      <c r="BL497" s="266">
        <v>50</v>
      </c>
      <c r="BM497" s="267"/>
      <c r="BN497" s="268" t="s">
        <v>152</v>
      </c>
      <c r="BO497" s="269">
        <f t="shared" si="505"/>
        <v>0</v>
      </c>
      <c r="BP497" s="259">
        <f t="shared" si="506"/>
        <v>677358.94</v>
      </c>
      <c r="BQ497" s="259">
        <f t="shared" si="479"/>
        <v>677358.94</v>
      </c>
      <c r="BR497" s="259">
        <f t="shared" si="476"/>
        <v>0</v>
      </c>
      <c r="BS497" s="259">
        <f t="shared" si="476"/>
        <v>677358.94</v>
      </c>
      <c r="BT497" s="259">
        <f t="shared" si="480"/>
        <v>677358.94</v>
      </c>
      <c r="BU497" s="270">
        <f t="shared" si="508"/>
        <v>0</v>
      </c>
      <c r="BV497" s="259"/>
      <c r="BW497" s="259"/>
      <c r="BX497" s="259">
        <f t="shared" si="481"/>
        <v>0</v>
      </c>
      <c r="BY497" s="271">
        <v>110000</v>
      </c>
      <c r="BZ497" s="271">
        <v>330000</v>
      </c>
      <c r="CA497" s="271">
        <v>330000</v>
      </c>
      <c r="CB497" s="271">
        <v>110000</v>
      </c>
      <c r="CC497" s="271">
        <v>198000</v>
      </c>
      <c r="CD497" s="271">
        <v>176000</v>
      </c>
      <c r="CE497" s="271">
        <v>198000</v>
      </c>
      <c r="CF497" s="271">
        <v>176000</v>
      </c>
      <c r="CG497" s="271">
        <v>176000</v>
      </c>
      <c r="CH497" s="271">
        <v>176000</v>
      </c>
      <c r="CI497" s="271">
        <v>110000</v>
      </c>
      <c r="CJ497" s="271">
        <v>110000</v>
      </c>
      <c r="CK497" s="268" t="s">
        <v>1255</v>
      </c>
      <c r="CL497" s="268" t="s">
        <v>610</v>
      </c>
      <c r="CM497" s="267">
        <v>198</v>
      </c>
      <c r="CN497" s="272"/>
      <c r="CO497" s="272"/>
      <c r="CP497" s="273"/>
      <c r="CQ497" s="274"/>
      <c r="CR497" s="267"/>
      <c r="CS497" s="275"/>
      <c r="CT497" s="275"/>
      <c r="CU497" s="275"/>
      <c r="CV497" s="267"/>
      <c r="CW497" s="267"/>
      <c r="CX497" s="267"/>
      <c r="CY497" s="267"/>
      <c r="CZ497" s="267"/>
      <c r="DA497" s="267"/>
      <c r="DB497" s="267"/>
      <c r="DC497" s="276"/>
      <c r="DD497" s="276"/>
      <c r="DE497" s="276"/>
      <c r="DF497" s="267"/>
      <c r="DG497" s="267"/>
      <c r="DH497" s="267"/>
      <c r="DI497" s="267"/>
      <c r="DJ497" s="267"/>
      <c r="DK497" s="277" t="s">
        <v>32</v>
      </c>
      <c r="DT497" s="279"/>
    </row>
    <row r="498" spans="1:124" s="176" customFormat="1" ht="42" x14ac:dyDescent="0.2">
      <c r="A498" s="225" t="s">
        <v>197</v>
      </c>
      <c r="B498" s="197" t="s">
        <v>1256</v>
      </c>
      <c r="C498" s="198">
        <v>1</v>
      </c>
      <c r="D498" s="199">
        <v>318000</v>
      </c>
      <c r="E498" s="198" t="s">
        <v>213</v>
      </c>
      <c r="F498" s="198" t="s">
        <v>150</v>
      </c>
      <c r="G498" s="198" t="s">
        <v>151</v>
      </c>
      <c r="H498" s="200">
        <v>1</v>
      </c>
      <c r="I498" s="199">
        <f t="shared" si="482"/>
        <v>0</v>
      </c>
      <c r="J498" s="199">
        <f t="shared" si="483"/>
        <v>318000</v>
      </c>
      <c r="K498" s="199">
        <f t="shared" si="484"/>
        <v>318000</v>
      </c>
      <c r="L498" s="199"/>
      <c r="M498" s="199">
        <v>318000</v>
      </c>
      <c r="N498" s="199">
        <f t="shared" si="485"/>
        <v>318000</v>
      </c>
      <c r="O498" s="199"/>
      <c r="P498" s="201">
        <v>0</v>
      </c>
      <c r="Q498" s="202">
        <v>15</v>
      </c>
      <c r="R498" s="203">
        <v>45566</v>
      </c>
      <c r="S498" s="199"/>
      <c r="T498" s="199">
        <v>318000</v>
      </c>
      <c r="U498" s="204">
        <f t="shared" si="486"/>
        <v>318000</v>
      </c>
      <c r="V498" s="205"/>
      <c r="W498" s="200"/>
      <c r="X498" s="201"/>
      <c r="Y498" s="201"/>
      <c r="Z498" s="201">
        <f t="shared" si="487"/>
        <v>0</v>
      </c>
      <c r="AA498" s="198"/>
      <c r="AB498" s="206"/>
      <c r="AC498" s="207"/>
      <c r="AD498" s="201"/>
      <c r="AE498" s="204">
        <f t="shared" si="488"/>
        <v>0</v>
      </c>
      <c r="AF498" s="203">
        <f t="shared" si="489"/>
        <v>45566</v>
      </c>
      <c r="AG498" s="201">
        <f t="shared" si="490"/>
        <v>0</v>
      </c>
      <c r="AH498" s="201">
        <f t="shared" si="491"/>
        <v>318000</v>
      </c>
      <c r="AI498" s="199">
        <f t="shared" si="492"/>
        <v>318000</v>
      </c>
      <c r="AJ498" s="201">
        <f t="shared" si="477"/>
        <v>0</v>
      </c>
      <c r="AK498" s="201">
        <f t="shared" si="477"/>
        <v>318000</v>
      </c>
      <c r="AL498" s="201">
        <f t="shared" si="493"/>
        <v>318000</v>
      </c>
      <c r="AM498" s="198"/>
      <c r="AN498" s="203"/>
      <c r="AO498" s="208"/>
      <c r="AP498" s="201">
        <f t="shared" si="494"/>
        <v>0</v>
      </c>
      <c r="AQ498" s="201">
        <f t="shared" si="495"/>
        <v>317511.2</v>
      </c>
      <c r="AR498" s="201">
        <f t="shared" si="496"/>
        <v>317511.2</v>
      </c>
      <c r="AS498" s="201">
        <f t="shared" si="497"/>
        <v>99.846289308176097</v>
      </c>
      <c r="AT498" s="201"/>
      <c r="AU498" s="209">
        <v>317511.2</v>
      </c>
      <c r="AV498" s="201">
        <f t="shared" si="498"/>
        <v>317511.2</v>
      </c>
      <c r="AW498" s="201">
        <f t="shared" si="507"/>
        <v>0</v>
      </c>
      <c r="AX498" s="201">
        <f t="shared" si="499"/>
        <v>99.846289308176097</v>
      </c>
      <c r="AY498" s="208"/>
      <c r="AZ498" s="201">
        <f t="shared" si="500"/>
        <v>0</v>
      </c>
      <c r="BA498" s="201">
        <f t="shared" si="501"/>
        <v>0</v>
      </c>
      <c r="BB498" s="201">
        <f t="shared" si="502"/>
        <v>0</v>
      </c>
      <c r="BC498" s="201"/>
      <c r="BD498" s="209">
        <v>0</v>
      </c>
      <c r="BE498" s="201">
        <f t="shared" si="478"/>
        <v>0</v>
      </c>
      <c r="BF498" s="208"/>
      <c r="BG498" s="201">
        <f t="shared" si="475"/>
        <v>0</v>
      </c>
      <c r="BH498" s="201">
        <f t="shared" si="475"/>
        <v>317511.2</v>
      </c>
      <c r="BI498" s="201">
        <f t="shared" si="503"/>
        <v>317511.2</v>
      </c>
      <c r="BJ498" s="201">
        <f t="shared" si="504"/>
        <v>99.846289308176097</v>
      </c>
      <c r="BK498" s="210">
        <v>79.06</v>
      </c>
      <c r="BL498" s="210">
        <v>100</v>
      </c>
      <c r="BM498" s="211"/>
      <c r="BN498" s="211"/>
      <c r="BO498" s="212">
        <f t="shared" si="505"/>
        <v>0</v>
      </c>
      <c r="BP498" s="201">
        <f t="shared" si="506"/>
        <v>488.79999999998836</v>
      </c>
      <c r="BQ498" s="201">
        <f t="shared" si="479"/>
        <v>488.79999999998836</v>
      </c>
      <c r="BR498" s="201">
        <f t="shared" si="476"/>
        <v>0</v>
      </c>
      <c r="BS498" s="201">
        <f t="shared" si="476"/>
        <v>488.79999999998836</v>
      </c>
      <c r="BT498" s="201">
        <f t="shared" si="480"/>
        <v>488.79999999998836</v>
      </c>
      <c r="BU498" s="213">
        <f t="shared" si="508"/>
        <v>0</v>
      </c>
      <c r="BV498" s="201"/>
      <c r="BW498" s="201"/>
      <c r="BX498" s="201">
        <f t="shared" si="481"/>
        <v>0</v>
      </c>
      <c r="BY498" s="199">
        <v>76300</v>
      </c>
      <c r="BZ498" s="199">
        <v>82700</v>
      </c>
      <c r="CA498" s="199">
        <v>89000</v>
      </c>
      <c r="CB498" s="199">
        <v>70000</v>
      </c>
      <c r="CC498" s="199">
        <v>0</v>
      </c>
      <c r="CD498" s="199">
        <v>0</v>
      </c>
      <c r="CE498" s="199">
        <v>0</v>
      </c>
      <c r="CF498" s="199">
        <v>0</v>
      </c>
      <c r="CG498" s="199">
        <v>0</v>
      </c>
      <c r="CH498" s="199">
        <v>0</v>
      </c>
      <c r="CI498" s="199">
        <v>0</v>
      </c>
      <c r="CJ498" s="199">
        <v>0</v>
      </c>
      <c r="CK498" s="214" t="s">
        <v>1257</v>
      </c>
      <c r="CL498" s="214" t="s">
        <v>610</v>
      </c>
      <c r="CM498" s="211">
        <v>198</v>
      </c>
      <c r="CN498" s="215"/>
      <c r="CO498" s="215"/>
      <c r="CP498" s="216"/>
      <c r="CQ498" s="217"/>
      <c r="CR498" s="211"/>
      <c r="CS498" s="218"/>
      <c r="CT498" s="218"/>
      <c r="CU498" s="218"/>
      <c r="CV498" s="211"/>
      <c r="CW498" s="211"/>
      <c r="CX498" s="211"/>
      <c r="CY498" s="211"/>
      <c r="CZ498" s="211"/>
      <c r="DA498" s="211"/>
      <c r="DB498" s="211"/>
      <c r="DC498" s="219"/>
      <c r="DD498" s="219"/>
      <c r="DE498" s="219"/>
      <c r="DF498" s="211"/>
      <c r="DG498" s="211"/>
      <c r="DH498" s="211"/>
      <c r="DI498" s="211"/>
      <c r="DJ498" s="211"/>
      <c r="DK498" s="220" t="s">
        <v>32</v>
      </c>
      <c r="DT498" s="222"/>
    </row>
    <row r="499" spans="1:124" s="176" customFormat="1" ht="42" x14ac:dyDescent="0.2">
      <c r="A499" s="195" t="s">
        <v>154</v>
      </c>
      <c r="B499" s="197" t="s">
        <v>1258</v>
      </c>
      <c r="C499" s="198">
        <v>1</v>
      </c>
      <c r="D499" s="199">
        <v>6956000</v>
      </c>
      <c r="E499" s="198" t="s">
        <v>156</v>
      </c>
      <c r="F499" s="198" t="s">
        <v>150</v>
      </c>
      <c r="G499" s="198" t="s">
        <v>151</v>
      </c>
      <c r="H499" s="200">
        <v>1</v>
      </c>
      <c r="I499" s="199">
        <f t="shared" si="482"/>
        <v>0</v>
      </c>
      <c r="J499" s="199">
        <f t="shared" si="483"/>
        <v>6956000</v>
      </c>
      <c r="K499" s="199">
        <f t="shared" si="484"/>
        <v>6956000</v>
      </c>
      <c r="L499" s="199"/>
      <c r="M499" s="199">
        <v>6956000</v>
      </c>
      <c r="N499" s="199">
        <f t="shared" si="485"/>
        <v>6956000</v>
      </c>
      <c r="O499" s="199"/>
      <c r="P499" s="201">
        <v>0</v>
      </c>
      <c r="Q499" s="202">
        <v>15</v>
      </c>
      <c r="R499" s="203">
        <v>45566</v>
      </c>
      <c r="S499" s="199"/>
      <c r="T499" s="199">
        <v>6956000</v>
      </c>
      <c r="U499" s="204">
        <f t="shared" si="486"/>
        <v>6956000</v>
      </c>
      <c r="V499" s="205"/>
      <c r="W499" s="200"/>
      <c r="X499" s="201"/>
      <c r="Y499" s="201"/>
      <c r="Z499" s="201">
        <f t="shared" si="487"/>
        <v>0</v>
      </c>
      <c r="AA499" s="198"/>
      <c r="AB499" s="206"/>
      <c r="AC499" s="207"/>
      <c r="AD499" s="201"/>
      <c r="AE499" s="204">
        <f t="shared" si="488"/>
        <v>0</v>
      </c>
      <c r="AF499" s="203">
        <f t="shared" si="489"/>
        <v>45566</v>
      </c>
      <c r="AG499" s="201">
        <f t="shared" si="490"/>
        <v>0</v>
      </c>
      <c r="AH499" s="201">
        <f t="shared" si="491"/>
        <v>6956000</v>
      </c>
      <c r="AI499" s="199">
        <f t="shared" si="492"/>
        <v>6956000</v>
      </c>
      <c r="AJ499" s="201">
        <f t="shared" si="477"/>
        <v>0</v>
      </c>
      <c r="AK499" s="201">
        <f t="shared" si="477"/>
        <v>6956000</v>
      </c>
      <c r="AL499" s="201">
        <f t="shared" si="493"/>
        <v>6956000</v>
      </c>
      <c r="AM499" s="198"/>
      <c r="AN499" s="203"/>
      <c r="AO499" s="208"/>
      <c r="AP499" s="201">
        <f t="shared" si="494"/>
        <v>0</v>
      </c>
      <c r="AQ499" s="201">
        <f t="shared" si="495"/>
        <v>4279509.5</v>
      </c>
      <c r="AR499" s="201">
        <f t="shared" si="496"/>
        <v>4279509.5</v>
      </c>
      <c r="AS499" s="201">
        <f t="shared" si="497"/>
        <v>61.522563254744107</v>
      </c>
      <c r="AT499" s="201"/>
      <c r="AU499" s="223">
        <v>4279509.5</v>
      </c>
      <c r="AV499" s="201">
        <f t="shared" si="498"/>
        <v>4279509.5</v>
      </c>
      <c r="AW499" s="201">
        <f t="shared" si="507"/>
        <v>9.0569292696952264</v>
      </c>
      <c r="AX499" s="201">
        <f t="shared" si="499"/>
        <v>61.522563254744107</v>
      </c>
      <c r="AY499" s="208"/>
      <c r="AZ499" s="201">
        <f t="shared" si="500"/>
        <v>0</v>
      </c>
      <c r="BA499" s="201">
        <f t="shared" si="501"/>
        <v>0</v>
      </c>
      <c r="BB499" s="201">
        <f t="shared" si="502"/>
        <v>0</v>
      </c>
      <c r="BC499" s="201"/>
      <c r="BD499" s="223">
        <v>0</v>
      </c>
      <c r="BE499" s="201">
        <f t="shared" si="478"/>
        <v>0</v>
      </c>
      <c r="BF499" s="208"/>
      <c r="BG499" s="201">
        <f t="shared" si="475"/>
        <v>0</v>
      </c>
      <c r="BH499" s="201">
        <f t="shared" si="475"/>
        <v>4279509.5</v>
      </c>
      <c r="BI499" s="201">
        <f t="shared" si="503"/>
        <v>4279509.5</v>
      </c>
      <c r="BJ499" s="201">
        <f t="shared" si="504"/>
        <v>61.522563254744107</v>
      </c>
      <c r="BK499" s="210">
        <v>7.91</v>
      </c>
      <c r="BL499" s="210">
        <v>45</v>
      </c>
      <c r="BM499" s="211"/>
      <c r="BN499" s="211"/>
      <c r="BO499" s="212">
        <f t="shared" si="505"/>
        <v>0</v>
      </c>
      <c r="BP499" s="201">
        <f t="shared" si="506"/>
        <v>2676490.5</v>
      </c>
      <c r="BQ499" s="201">
        <f t="shared" si="479"/>
        <v>2676490.5</v>
      </c>
      <c r="BR499" s="201">
        <f t="shared" si="476"/>
        <v>0</v>
      </c>
      <c r="BS499" s="201">
        <f t="shared" si="476"/>
        <v>2676490.5</v>
      </c>
      <c r="BT499" s="201">
        <f t="shared" si="480"/>
        <v>2676490.5</v>
      </c>
      <c r="BU499" s="213">
        <f t="shared" si="508"/>
        <v>0</v>
      </c>
      <c r="BV499" s="201"/>
      <c r="BW499" s="201"/>
      <c r="BX499" s="201">
        <f t="shared" si="481"/>
        <v>0</v>
      </c>
      <c r="BY499" s="199">
        <v>656000</v>
      </c>
      <c r="BZ499" s="199">
        <v>630000</v>
      </c>
      <c r="CA499" s="199">
        <v>630000</v>
      </c>
      <c r="CB499" s="199">
        <v>630000</v>
      </c>
      <c r="CC499" s="199">
        <v>630000</v>
      </c>
      <c r="CD499" s="199">
        <v>630000</v>
      </c>
      <c r="CE499" s="199">
        <v>630000</v>
      </c>
      <c r="CF499" s="199">
        <v>630000</v>
      </c>
      <c r="CG499" s="199">
        <v>630000</v>
      </c>
      <c r="CH499" s="199">
        <v>630000</v>
      </c>
      <c r="CI499" s="199">
        <v>630000</v>
      </c>
      <c r="CJ499" s="199">
        <v>0</v>
      </c>
      <c r="CK499" s="214" t="s">
        <v>1259</v>
      </c>
      <c r="CL499" s="214" t="s">
        <v>610</v>
      </c>
      <c r="CM499" s="211">
        <v>198</v>
      </c>
      <c r="CN499" s="215"/>
      <c r="CO499" s="215"/>
      <c r="CP499" s="216"/>
      <c r="CQ499" s="217"/>
      <c r="CR499" s="211"/>
      <c r="CS499" s="218"/>
      <c r="CT499" s="218"/>
      <c r="CU499" s="218"/>
      <c r="CV499" s="211"/>
      <c r="CW499" s="211"/>
      <c r="CX499" s="211"/>
      <c r="CY499" s="211"/>
      <c r="CZ499" s="211"/>
      <c r="DA499" s="211"/>
      <c r="DB499" s="211"/>
      <c r="DC499" s="219"/>
      <c r="DD499" s="219"/>
      <c r="DE499" s="219"/>
      <c r="DF499" s="211"/>
      <c r="DG499" s="211"/>
      <c r="DH499" s="211"/>
      <c r="DI499" s="211"/>
      <c r="DJ499" s="211"/>
      <c r="DK499" s="220" t="s">
        <v>32</v>
      </c>
      <c r="DT499" s="222"/>
    </row>
    <row r="500" spans="1:124" s="176" customFormat="1" ht="42" x14ac:dyDescent="0.2">
      <c r="A500" s="225" t="s">
        <v>197</v>
      </c>
      <c r="B500" s="197" t="s">
        <v>1260</v>
      </c>
      <c r="C500" s="198">
        <v>1</v>
      </c>
      <c r="D500" s="199">
        <v>3600000</v>
      </c>
      <c r="E500" s="198" t="s">
        <v>1068</v>
      </c>
      <c r="F500" s="198" t="s">
        <v>150</v>
      </c>
      <c r="G500" s="198" t="s">
        <v>151</v>
      </c>
      <c r="H500" s="200">
        <v>1</v>
      </c>
      <c r="I500" s="199">
        <f t="shared" si="482"/>
        <v>0</v>
      </c>
      <c r="J500" s="199">
        <f t="shared" si="483"/>
        <v>3600000</v>
      </c>
      <c r="K500" s="199">
        <f t="shared" si="484"/>
        <v>3600000</v>
      </c>
      <c r="L500" s="199"/>
      <c r="M500" s="199">
        <v>3600000</v>
      </c>
      <c r="N500" s="199">
        <f t="shared" si="485"/>
        <v>3600000</v>
      </c>
      <c r="O500" s="199"/>
      <c r="P500" s="201">
        <v>0</v>
      </c>
      <c r="Q500" s="202">
        <v>15</v>
      </c>
      <c r="R500" s="203">
        <v>45566</v>
      </c>
      <c r="S500" s="199"/>
      <c r="T500" s="199">
        <v>3600000</v>
      </c>
      <c r="U500" s="204">
        <f t="shared" si="486"/>
        <v>3600000</v>
      </c>
      <c r="V500" s="205"/>
      <c r="W500" s="200"/>
      <c r="X500" s="201"/>
      <c r="Y500" s="201"/>
      <c r="Z500" s="201">
        <f t="shared" si="487"/>
        <v>0</v>
      </c>
      <c r="AA500" s="198"/>
      <c r="AB500" s="206"/>
      <c r="AC500" s="207"/>
      <c r="AD500" s="201"/>
      <c r="AE500" s="204">
        <f t="shared" si="488"/>
        <v>0</v>
      </c>
      <c r="AF500" s="203">
        <f t="shared" si="489"/>
        <v>45566</v>
      </c>
      <c r="AG500" s="201">
        <f t="shared" si="490"/>
        <v>0</v>
      </c>
      <c r="AH500" s="201">
        <f t="shared" si="491"/>
        <v>3600000</v>
      </c>
      <c r="AI500" s="199">
        <f t="shared" si="492"/>
        <v>3600000</v>
      </c>
      <c r="AJ500" s="201">
        <f t="shared" si="477"/>
        <v>0</v>
      </c>
      <c r="AK500" s="201">
        <f t="shared" si="477"/>
        <v>3600000</v>
      </c>
      <c r="AL500" s="201">
        <f t="shared" si="493"/>
        <v>3600000</v>
      </c>
      <c r="AM500" s="198"/>
      <c r="AN500" s="203"/>
      <c r="AO500" s="208"/>
      <c r="AP500" s="201">
        <f t="shared" si="494"/>
        <v>0</v>
      </c>
      <c r="AQ500" s="201">
        <f t="shared" si="495"/>
        <v>2512365.6</v>
      </c>
      <c r="AR500" s="201">
        <f t="shared" si="496"/>
        <v>2512365.6</v>
      </c>
      <c r="AS500" s="201">
        <f t="shared" si="497"/>
        <v>69.787933333333328</v>
      </c>
      <c r="AT500" s="201"/>
      <c r="AU500" s="209">
        <v>2512365.6</v>
      </c>
      <c r="AV500" s="201">
        <f t="shared" si="498"/>
        <v>2512365.6</v>
      </c>
      <c r="AW500" s="201">
        <f t="shared" si="507"/>
        <v>13</v>
      </c>
      <c r="AX500" s="201">
        <f t="shared" si="499"/>
        <v>69.787933333333328</v>
      </c>
      <c r="AY500" s="208"/>
      <c r="AZ500" s="201">
        <f t="shared" si="500"/>
        <v>0</v>
      </c>
      <c r="BA500" s="201">
        <f t="shared" si="501"/>
        <v>0</v>
      </c>
      <c r="BB500" s="201">
        <f t="shared" si="502"/>
        <v>0</v>
      </c>
      <c r="BC500" s="201"/>
      <c r="BD500" s="209">
        <v>0</v>
      </c>
      <c r="BE500" s="201">
        <f t="shared" si="478"/>
        <v>0</v>
      </c>
      <c r="BF500" s="208"/>
      <c r="BG500" s="201">
        <f t="shared" si="475"/>
        <v>0</v>
      </c>
      <c r="BH500" s="201">
        <f t="shared" si="475"/>
        <v>2512365.6</v>
      </c>
      <c r="BI500" s="201">
        <f t="shared" si="503"/>
        <v>2512365.6</v>
      </c>
      <c r="BJ500" s="201">
        <f t="shared" si="504"/>
        <v>69.787933333333328</v>
      </c>
      <c r="BK500" s="210">
        <v>20.69</v>
      </c>
      <c r="BL500" s="210">
        <v>45</v>
      </c>
      <c r="BM500" s="211"/>
      <c r="BN500" s="211"/>
      <c r="BO500" s="212">
        <f t="shared" si="505"/>
        <v>0</v>
      </c>
      <c r="BP500" s="201">
        <f t="shared" si="506"/>
        <v>1087634.3999999999</v>
      </c>
      <c r="BQ500" s="201">
        <f t="shared" si="479"/>
        <v>1087634.3999999999</v>
      </c>
      <c r="BR500" s="201">
        <f t="shared" si="476"/>
        <v>0</v>
      </c>
      <c r="BS500" s="201">
        <f t="shared" si="476"/>
        <v>1087634.3999999999</v>
      </c>
      <c r="BT500" s="201">
        <f t="shared" si="480"/>
        <v>1087634.3999999999</v>
      </c>
      <c r="BU500" s="213">
        <f t="shared" si="508"/>
        <v>0</v>
      </c>
      <c r="BV500" s="201"/>
      <c r="BW500" s="201"/>
      <c r="BX500" s="201">
        <f t="shared" si="481"/>
        <v>0</v>
      </c>
      <c r="BY500" s="199">
        <v>108000</v>
      </c>
      <c r="BZ500" s="199">
        <v>144000</v>
      </c>
      <c r="CA500" s="199">
        <v>180000</v>
      </c>
      <c r="CB500" s="199">
        <v>288000</v>
      </c>
      <c r="CC500" s="199">
        <v>324000</v>
      </c>
      <c r="CD500" s="199">
        <v>360000</v>
      </c>
      <c r="CE500" s="199">
        <v>360000</v>
      </c>
      <c r="CF500" s="199">
        <v>468000</v>
      </c>
      <c r="CG500" s="199">
        <v>468000</v>
      </c>
      <c r="CH500" s="199">
        <v>360000</v>
      </c>
      <c r="CI500" s="199">
        <v>324000</v>
      </c>
      <c r="CJ500" s="199">
        <v>216000</v>
      </c>
      <c r="CK500" s="214" t="s">
        <v>1261</v>
      </c>
      <c r="CL500" s="214" t="s">
        <v>610</v>
      </c>
      <c r="CM500" s="211">
        <v>198</v>
      </c>
      <c r="CN500" s="215"/>
      <c r="CO500" s="215"/>
      <c r="CP500" s="216"/>
      <c r="CQ500" s="217"/>
      <c r="CR500" s="211"/>
      <c r="CS500" s="218"/>
      <c r="CT500" s="218"/>
      <c r="CU500" s="218"/>
      <c r="CV500" s="211"/>
      <c r="CW500" s="211"/>
      <c r="CX500" s="211"/>
      <c r="CY500" s="211"/>
      <c r="CZ500" s="211"/>
      <c r="DA500" s="211"/>
      <c r="DB500" s="211"/>
      <c r="DC500" s="219"/>
      <c r="DD500" s="219"/>
      <c r="DE500" s="219"/>
      <c r="DF500" s="211"/>
      <c r="DG500" s="211"/>
      <c r="DH500" s="211"/>
      <c r="DI500" s="211"/>
      <c r="DJ500" s="211"/>
      <c r="DK500" s="220" t="s">
        <v>32</v>
      </c>
      <c r="DT500" s="222"/>
    </row>
    <row r="501" spans="1:124" s="176" customFormat="1" ht="42" x14ac:dyDescent="0.2">
      <c r="A501" s="225" t="s">
        <v>136</v>
      </c>
      <c r="B501" s="197" t="s">
        <v>1262</v>
      </c>
      <c r="C501" s="198">
        <v>1</v>
      </c>
      <c r="D501" s="199">
        <v>300000</v>
      </c>
      <c r="E501" s="198" t="s">
        <v>142</v>
      </c>
      <c r="F501" s="198" t="s">
        <v>143</v>
      </c>
      <c r="G501" s="198" t="s">
        <v>139</v>
      </c>
      <c r="H501" s="200">
        <v>1</v>
      </c>
      <c r="I501" s="199">
        <f t="shared" si="482"/>
        <v>0</v>
      </c>
      <c r="J501" s="199">
        <f t="shared" si="483"/>
        <v>300000</v>
      </c>
      <c r="K501" s="199">
        <f t="shared" si="484"/>
        <v>300000</v>
      </c>
      <c r="L501" s="199"/>
      <c r="M501" s="199">
        <v>300000</v>
      </c>
      <c r="N501" s="199">
        <f t="shared" si="485"/>
        <v>300000</v>
      </c>
      <c r="O501" s="199"/>
      <c r="P501" s="201">
        <v>0</v>
      </c>
      <c r="Q501" s="202">
        <v>15</v>
      </c>
      <c r="R501" s="203">
        <v>45566</v>
      </c>
      <c r="S501" s="199"/>
      <c r="T501" s="199">
        <v>300000</v>
      </c>
      <c r="U501" s="204">
        <f t="shared" si="486"/>
        <v>300000</v>
      </c>
      <c r="V501" s="205"/>
      <c r="W501" s="200"/>
      <c r="X501" s="201"/>
      <c r="Y501" s="201"/>
      <c r="Z501" s="201">
        <f t="shared" si="487"/>
        <v>0</v>
      </c>
      <c r="AA501" s="198"/>
      <c r="AB501" s="206"/>
      <c r="AC501" s="207"/>
      <c r="AD501" s="201"/>
      <c r="AE501" s="204">
        <f t="shared" si="488"/>
        <v>0</v>
      </c>
      <c r="AF501" s="203">
        <f t="shared" si="489"/>
        <v>45566</v>
      </c>
      <c r="AG501" s="201">
        <f t="shared" si="490"/>
        <v>0</v>
      </c>
      <c r="AH501" s="201">
        <f t="shared" si="491"/>
        <v>300000</v>
      </c>
      <c r="AI501" s="199">
        <f t="shared" si="492"/>
        <v>300000</v>
      </c>
      <c r="AJ501" s="201">
        <f t="shared" si="477"/>
        <v>0</v>
      </c>
      <c r="AK501" s="201">
        <f t="shared" si="477"/>
        <v>300000</v>
      </c>
      <c r="AL501" s="201">
        <f t="shared" si="493"/>
        <v>300000</v>
      </c>
      <c r="AM501" s="198"/>
      <c r="AN501" s="203"/>
      <c r="AO501" s="208"/>
      <c r="AP501" s="201">
        <f t="shared" si="494"/>
        <v>0</v>
      </c>
      <c r="AQ501" s="201">
        <f t="shared" si="495"/>
        <v>297569.63</v>
      </c>
      <c r="AR501" s="201">
        <f t="shared" si="496"/>
        <v>297569.63</v>
      </c>
      <c r="AS501" s="201">
        <f t="shared" si="497"/>
        <v>99.189876666666663</v>
      </c>
      <c r="AT501" s="201"/>
      <c r="AU501" s="209">
        <v>297569.63</v>
      </c>
      <c r="AV501" s="201">
        <f t="shared" si="498"/>
        <v>297569.63</v>
      </c>
      <c r="AW501" s="201">
        <f t="shared" si="507"/>
        <v>0</v>
      </c>
      <c r="AX501" s="201">
        <f t="shared" si="499"/>
        <v>99.189876666666663</v>
      </c>
      <c r="AY501" s="208"/>
      <c r="AZ501" s="201">
        <f t="shared" si="500"/>
        <v>0</v>
      </c>
      <c r="BA501" s="201">
        <f t="shared" si="501"/>
        <v>0</v>
      </c>
      <c r="BB501" s="201">
        <f t="shared" si="502"/>
        <v>0</v>
      </c>
      <c r="BC501" s="201"/>
      <c r="BD501" s="209">
        <v>0</v>
      </c>
      <c r="BE501" s="201">
        <f t="shared" si="478"/>
        <v>0</v>
      </c>
      <c r="BF501" s="208"/>
      <c r="BG501" s="201">
        <f t="shared" si="475"/>
        <v>0</v>
      </c>
      <c r="BH501" s="201">
        <f t="shared" si="475"/>
        <v>297569.63</v>
      </c>
      <c r="BI501" s="201">
        <f t="shared" si="503"/>
        <v>297569.63</v>
      </c>
      <c r="BJ501" s="201">
        <f t="shared" si="504"/>
        <v>99.189876666666663</v>
      </c>
      <c r="BK501" s="210">
        <v>40</v>
      </c>
      <c r="BL501" s="210">
        <v>100</v>
      </c>
      <c r="BM501" s="211"/>
      <c r="BN501" s="211"/>
      <c r="BO501" s="212">
        <f t="shared" si="505"/>
        <v>0</v>
      </c>
      <c r="BP501" s="201">
        <f t="shared" si="506"/>
        <v>2430.3699999999953</v>
      </c>
      <c r="BQ501" s="201">
        <f t="shared" si="479"/>
        <v>2430.3699999999953</v>
      </c>
      <c r="BR501" s="201">
        <f t="shared" si="476"/>
        <v>0</v>
      </c>
      <c r="BS501" s="201">
        <f t="shared" si="476"/>
        <v>2430.3699999999953</v>
      </c>
      <c r="BT501" s="201">
        <f t="shared" si="480"/>
        <v>2430.3699999999953</v>
      </c>
      <c r="BU501" s="213">
        <f t="shared" si="508"/>
        <v>0</v>
      </c>
      <c r="BV501" s="201"/>
      <c r="BW501" s="201"/>
      <c r="BX501" s="201">
        <f t="shared" si="481"/>
        <v>0</v>
      </c>
      <c r="BY501" s="199">
        <v>100000</v>
      </c>
      <c r="BZ501" s="199">
        <v>100000</v>
      </c>
      <c r="CA501" s="199">
        <v>100000</v>
      </c>
      <c r="CB501" s="199">
        <v>0</v>
      </c>
      <c r="CC501" s="199">
        <v>0</v>
      </c>
      <c r="CD501" s="199">
        <v>0</v>
      </c>
      <c r="CE501" s="199">
        <v>0</v>
      </c>
      <c r="CF501" s="199">
        <v>0</v>
      </c>
      <c r="CG501" s="199">
        <v>0</v>
      </c>
      <c r="CH501" s="199">
        <v>0</v>
      </c>
      <c r="CI501" s="199">
        <v>0</v>
      </c>
      <c r="CJ501" s="199">
        <v>0</v>
      </c>
      <c r="CK501" s="214" t="s">
        <v>1263</v>
      </c>
      <c r="CL501" s="214" t="s">
        <v>610</v>
      </c>
      <c r="CM501" s="211">
        <v>198</v>
      </c>
      <c r="CN501" s="215"/>
      <c r="CO501" s="215"/>
      <c r="CP501" s="216"/>
      <c r="CQ501" s="217"/>
      <c r="CR501" s="211"/>
      <c r="CS501" s="218"/>
      <c r="CT501" s="218"/>
      <c r="CU501" s="218"/>
      <c r="CV501" s="211"/>
      <c r="CW501" s="211"/>
      <c r="CX501" s="211"/>
      <c r="CY501" s="211"/>
      <c r="CZ501" s="211"/>
      <c r="DA501" s="211"/>
      <c r="DB501" s="211"/>
      <c r="DC501" s="219"/>
      <c r="DD501" s="219"/>
      <c r="DE501" s="219"/>
      <c r="DF501" s="211"/>
      <c r="DG501" s="211"/>
      <c r="DH501" s="211"/>
      <c r="DI501" s="211"/>
      <c r="DJ501" s="211"/>
      <c r="DK501" s="220" t="s">
        <v>32</v>
      </c>
      <c r="DT501" s="222"/>
    </row>
    <row r="502" spans="1:124" s="278" customFormat="1" ht="42" x14ac:dyDescent="0.2">
      <c r="A502" s="249" t="s">
        <v>227</v>
      </c>
      <c r="B502" s="250" t="s">
        <v>1264</v>
      </c>
      <c r="C502" s="251">
        <v>1</v>
      </c>
      <c r="D502" s="252">
        <v>10000000</v>
      </c>
      <c r="E502" s="251" t="s">
        <v>961</v>
      </c>
      <c r="F502" s="251" t="s">
        <v>409</v>
      </c>
      <c r="G502" s="251" t="s">
        <v>123</v>
      </c>
      <c r="H502" s="253">
        <v>1</v>
      </c>
      <c r="I502" s="252">
        <f t="shared" si="482"/>
        <v>9503100</v>
      </c>
      <c r="J502" s="252">
        <f t="shared" si="483"/>
        <v>496900</v>
      </c>
      <c r="K502" s="252">
        <f t="shared" si="484"/>
        <v>10000000</v>
      </c>
      <c r="L502" s="252">
        <v>9503100</v>
      </c>
      <c r="M502" s="252">
        <v>496900</v>
      </c>
      <c r="N502" s="252">
        <f t="shared" si="485"/>
        <v>10000000</v>
      </c>
      <c r="O502" s="252"/>
      <c r="P502" s="209">
        <v>0</v>
      </c>
      <c r="Q502" s="254">
        <v>13</v>
      </c>
      <c r="R502" s="255">
        <v>45566</v>
      </c>
      <c r="S502" s="271"/>
      <c r="T502" s="271">
        <v>496900</v>
      </c>
      <c r="U502" s="256">
        <f t="shared" si="486"/>
        <v>496900</v>
      </c>
      <c r="V502" s="257">
        <v>313</v>
      </c>
      <c r="W502" s="258">
        <v>45594</v>
      </c>
      <c r="X502" s="259">
        <v>9396400</v>
      </c>
      <c r="Y502" s="259"/>
      <c r="Z502" s="259">
        <f t="shared" si="487"/>
        <v>9396400</v>
      </c>
      <c r="AA502" s="260"/>
      <c r="AB502" s="261"/>
      <c r="AC502" s="262"/>
      <c r="AD502" s="259">
        <v>-20258.04</v>
      </c>
      <c r="AE502" s="256">
        <f t="shared" si="488"/>
        <v>-20258.04</v>
      </c>
      <c r="AF502" s="263">
        <f t="shared" si="489"/>
        <v>45566</v>
      </c>
      <c r="AG502" s="209">
        <f t="shared" si="490"/>
        <v>9396400</v>
      </c>
      <c r="AH502" s="209">
        <f t="shared" si="491"/>
        <v>476641.96</v>
      </c>
      <c r="AI502" s="252">
        <f t="shared" si="492"/>
        <v>9873041.9600000009</v>
      </c>
      <c r="AJ502" s="259">
        <f t="shared" si="477"/>
        <v>9396400</v>
      </c>
      <c r="AK502" s="259">
        <f t="shared" si="477"/>
        <v>476641.96</v>
      </c>
      <c r="AL502" s="259">
        <f t="shared" si="493"/>
        <v>9873041.9600000009</v>
      </c>
      <c r="AM502" s="251"/>
      <c r="AN502" s="263"/>
      <c r="AO502" s="259"/>
      <c r="AP502" s="209">
        <f t="shared" si="494"/>
        <v>9396400</v>
      </c>
      <c r="AQ502" s="209">
        <f t="shared" si="495"/>
        <v>476641.96</v>
      </c>
      <c r="AR502" s="209">
        <f t="shared" si="496"/>
        <v>9873041.9600000009</v>
      </c>
      <c r="AS502" s="209">
        <f t="shared" si="497"/>
        <v>100</v>
      </c>
      <c r="AT502" s="259">
        <f>7536800+1859600</f>
        <v>9396400</v>
      </c>
      <c r="AU502" s="259">
        <v>476641.96</v>
      </c>
      <c r="AV502" s="259">
        <f t="shared" si="498"/>
        <v>9873041.9600000009</v>
      </c>
      <c r="AW502" s="209">
        <f t="shared" si="507"/>
        <v>8.1028724808539145</v>
      </c>
      <c r="AX502" s="259">
        <f t="shared" si="499"/>
        <v>100</v>
      </c>
      <c r="AY502" s="209"/>
      <c r="AZ502" s="209">
        <f t="shared" si="500"/>
        <v>0</v>
      </c>
      <c r="BA502" s="209">
        <f t="shared" si="501"/>
        <v>0</v>
      </c>
      <c r="BB502" s="209">
        <f t="shared" si="502"/>
        <v>0</v>
      </c>
      <c r="BC502" s="259"/>
      <c r="BD502" s="259">
        <v>0</v>
      </c>
      <c r="BE502" s="259">
        <f t="shared" si="478"/>
        <v>0</v>
      </c>
      <c r="BF502" s="209"/>
      <c r="BG502" s="259">
        <f t="shared" si="475"/>
        <v>9396400</v>
      </c>
      <c r="BH502" s="259">
        <f t="shared" si="475"/>
        <v>476641.96</v>
      </c>
      <c r="BI502" s="259">
        <f t="shared" si="503"/>
        <v>9873041.9600000009</v>
      </c>
      <c r="BJ502" s="259">
        <f t="shared" si="504"/>
        <v>100</v>
      </c>
      <c r="BK502" s="266">
        <v>27</v>
      </c>
      <c r="BL502" s="266">
        <v>99</v>
      </c>
      <c r="BM502" s="267"/>
      <c r="BN502" s="268"/>
      <c r="BO502" s="269">
        <f t="shared" si="505"/>
        <v>0</v>
      </c>
      <c r="BP502" s="259">
        <f t="shared" si="506"/>
        <v>0</v>
      </c>
      <c r="BQ502" s="259">
        <f t="shared" si="479"/>
        <v>0</v>
      </c>
      <c r="BR502" s="259">
        <f t="shared" si="476"/>
        <v>0</v>
      </c>
      <c r="BS502" s="259">
        <f t="shared" si="476"/>
        <v>0</v>
      </c>
      <c r="BT502" s="259">
        <f t="shared" si="480"/>
        <v>0</v>
      </c>
      <c r="BU502" s="270">
        <f t="shared" si="508"/>
        <v>0</v>
      </c>
      <c r="BV502" s="259">
        <v>20258.04</v>
      </c>
      <c r="BW502" s="259"/>
      <c r="BX502" s="259">
        <f t="shared" si="481"/>
        <v>20258.04</v>
      </c>
      <c r="BY502" s="271">
        <v>200000</v>
      </c>
      <c r="BZ502" s="271">
        <v>300000</v>
      </c>
      <c r="CA502" s="271">
        <v>3000000</v>
      </c>
      <c r="CB502" s="271">
        <v>700000.00000000012</v>
      </c>
      <c r="CC502" s="271">
        <v>700000.00000000012</v>
      </c>
      <c r="CD502" s="271">
        <v>800000</v>
      </c>
      <c r="CE502" s="271">
        <v>900000</v>
      </c>
      <c r="CF502" s="271">
        <v>800000</v>
      </c>
      <c r="CG502" s="271">
        <v>800000</v>
      </c>
      <c r="CH502" s="271">
        <v>600000</v>
      </c>
      <c r="CI502" s="271">
        <v>600000</v>
      </c>
      <c r="CJ502" s="271">
        <v>600000</v>
      </c>
      <c r="CK502" s="268" t="s">
        <v>1265</v>
      </c>
      <c r="CL502" s="268" t="s">
        <v>610</v>
      </c>
      <c r="CM502" s="267">
        <v>198</v>
      </c>
      <c r="CN502" s="272"/>
      <c r="CO502" s="272"/>
      <c r="CP502" s="273"/>
      <c r="CQ502" s="274"/>
      <c r="CR502" s="267"/>
      <c r="CS502" s="275"/>
      <c r="CT502" s="275"/>
      <c r="CU502" s="275"/>
      <c r="CV502" s="267"/>
      <c r="CW502" s="267"/>
      <c r="CX502" s="267"/>
      <c r="CY502" s="267"/>
      <c r="CZ502" s="267"/>
      <c r="DA502" s="267"/>
      <c r="DB502" s="267"/>
      <c r="DC502" s="276"/>
      <c r="DD502" s="276"/>
      <c r="DE502" s="276"/>
      <c r="DF502" s="267"/>
      <c r="DG502" s="267"/>
      <c r="DH502" s="267"/>
      <c r="DI502" s="267"/>
      <c r="DJ502" s="267"/>
      <c r="DK502" s="277" t="s">
        <v>53</v>
      </c>
      <c r="DT502" s="279"/>
    </row>
    <row r="503" spans="1:124" s="176" customFormat="1" ht="42" x14ac:dyDescent="0.2">
      <c r="A503" s="225" t="s">
        <v>136</v>
      </c>
      <c r="B503" s="197" t="s">
        <v>1266</v>
      </c>
      <c r="C503" s="198">
        <v>1</v>
      </c>
      <c r="D503" s="199">
        <v>25000000</v>
      </c>
      <c r="E503" s="198"/>
      <c r="F503" s="198"/>
      <c r="G503" s="198" t="s">
        <v>139</v>
      </c>
      <c r="H503" s="200">
        <v>1</v>
      </c>
      <c r="I503" s="199">
        <f t="shared" si="482"/>
        <v>0</v>
      </c>
      <c r="J503" s="199">
        <f t="shared" si="483"/>
        <v>25000000</v>
      </c>
      <c r="K503" s="199">
        <f t="shared" si="484"/>
        <v>25000000</v>
      </c>
      <c r="L503" s="199"/>
      <c r="M503" s="199">
        <v>25000000</v>
      </c>
      <c r="N503" s="199">
        <f t="shared" si="485"/>
        <v>25000000</v>
      </c>
      <c r="O503" s="199"/>
      <c r="P503" s="201">
        <v>0</v>
      </c>
      <c r="Q503" s="202">
        <v>15</v>
      </c>
      <c r="R503" s="203">
        <v>45566</v>
      </c>
      <c r="S503" s="199"/>
      <c r="T503" s="199">
        <v>25000000</v>
      </c>
      <c r="U503" s="204">
        <f t="shared" si="486"/>
        <v>25000000</v>
      </c>
      <c r="V503" s="205"/>
      <c r="W503" s="200"/>
      <c r="X503" s="201"/>
      <c r="Y503" s="201"/>
      <c r="Z503" s="201">
        <f t="shared" si="487"/>
        <v>0</v>
      </c>
      <c r="AA503" s="198"/>
      <c r="AB503" s="206"/>
      <c r="AC503" s="207"/>
      <c r="AD503" s="201"/>
      <c r="AE503" s="204">
        <f t="shared" si="488"/>
        <v>0</v>
      </c>
      <c r="AF503" s="203">
        <f t="shared" si="489"/>
        <v>45566</v>
      </c>
      <c r="AG503" s="201">
        <f t="shared" si="490"/>
        <v>0</v>
      </c>
      <c r="AH503" s="201">
        <f t="shared" si="491"/>
        <v>25000000</v>
      </c>
      <c r="AI503" s="199">
        <f t="shared" si="492"/>
        <v>25000000</v>
      </c>
      <c r="AJ503" s="201">
        <f t="shared" si="477"/>
        <v>0</v>
      </c>
      <c r="AK503" s="201">
        <f t="shared" si="477"/>
        <v>25000000</v>
      </c>
      <c r="AL503" s="201">
        <f t="shared" si="493"/>
        <v>25000000</v>
      </c>
      <c r="AM503" s="198"/>
      <c r="AN503" s="203"/>
      <c r="AO503" s="208"/>
      <c r="AP503" s="201">
        <f t="shared" si="494"/>
        <v>0</v>
      </c>
      <c r="AQ503" s="201">
        <f t="shared" si="495"/>
        <v>14264687</v>
      </c>
      <c r="AR503" s="201">
        <f t="shared" si="496"/>
        <v>14264687</v>
      </c>
      <c r="AS503" s="201">
        <f t="shared" si="497"/>
        <v>57.058748000000001</v>
      </c>
      <c r="AT503" s="201"/>
      <c r="AU503" s="209">
        <v>14264687</v>
      </c>
      <c r="AV503" s="201">
        <f t="shared" si="498"/>
        <v>14264687</v>
      </c>
      <c r="AW503" s="201">
        <f t="shared" si="507"/>
        <v>8</v>
      </c>
      <c r="AX503" s="201">
        <f t="shared" si="499"/>
        <v>57.058748000000001</v>
      </c>
      <c r="AY503" s="208"/>
      <c r="AZ503" s="201">
        <f t="shared" si="500"/>
        <v>0</v>
      </c>
      <c r="BA503" s="201">
        <f t="shared" si="501"/>
        <v>5794260</v>
      </c>
      <c r="BB503" s="201">
        <f t="shared" si="502"/>
        <v>5794260</v>
      </c>
      <c r="BC503" s="201"/>
      <c r="BD503" s="209">
        <v>5794260</v>
      </c>
      <c r="BE503" s="201">
        <f t="shared" si="478"/>
        <v>5794260</v>
      </c>
      <c r="BF503" s="208"/>
      <c r="BG503" s="201">
        <f t="shared" si="475"/>
        <v>0</v>
      </c>
      <c r="BH503" s="201">
        <f t="shared" si="475"/>
        <v>20058947</v>
      </c>
      <c r="BI503" s="201">
        <f t="shared" si="503"/>
        <v>20058947</v>
      </c>
      <c r="BJ503" s="201">
        <f t="shared" si="504"/>
        <v>80.235787999999999</v>
      </c>
      <c r="BK503" s="210">
        <v>10</v>
      </c>
      <c r="BL503" s="210">
        <v>75</v>
      </c>
      <c r="BM503" s="211"/>
      <c r="BN503" s="211"/>
      <c r="BO503" s="212">
        <f t="shared" si="505"/>
        <v>0</v>
      </c>
      <c r="BP503" s="201">
        <f t="shared" si="506"/>
        <v>10735313</v>
      </c>
      <c r="BQ503" s="201">
        <f t="shared" si="479"/>
        <v>10735313</v>
      </c>
      <c r="BR503" s="201">
        <f t="shared" si="476"/>
        <v>0</v>
      </c>
      <c r="BS503" s="201">
        <f t="shared" si="476"/>
        <v>10735313</v>
      </c>
      <c r="BT503" s="201">
        <f t="shared" si="480"/>
        <v>10735313</v>
      </c>
      <c r="BU503" s="213">
        <f t="shared" si="508"/>
        <v>0</v>
      </c>
      <c r="BV503" s="201"/>
      <c r="BW503" s="201"/>
      <c r="BX503" s="201">
        <f t="shared" si="481"/>
        <v>0</v>
      </c>
      <c r="BY503" s="199">
        <v>750000</v>
      </c>
      <c r="BZ503" s="199">
        <v>4250000</v>
      </c>
      <c r="CA503" s="199">
        <v>4250000</v>
      </c>
      <c r="CB503" s="199">
        <v>3000000</v>
      </c>
      <c r="CC503" s="199">
        <v>3000000</v>
      </c>
      <c r="CD503" s="199">
        <v>3250000</v>
      </c>
      <c r="CE503" s="199">
        <v>2000000</v>
      </c>
      <c r="CF503" s="199">
        <v>2000000</v>
      </c>
      <c r="CG503" s="199">
        <v>2000000</v>
      </c>
      <c r="CH503" s="199">
        <v>500000</v>
      </c>
      <c r="CI503" s="199">
        <v>0</v>
      </c>
      <c r="CJ503" s="199">
        <v>0</v>
      </c>
      <c r="CK503" s="214" t="s">
        <v>1267</v>
      </c>
      <c r="CL503" s="214" t="s">
        <v>610</v>
      </c>
      <c r="CM503" s="211">
        <v>198</v>
      </c>
      <c r="CN503" s="215"/>
      <c r="CO503" s="215"/>
      <c r="CP503" s="216"/>
      <c r="CQ503" s="217"/>
      <c r="CR503" s="211"/>
      <c r="CS503" s="218"/>
      <c r="CT503" s="218"/>
      <c r="CU503" s="218"/>
      <c r="CV503" s="211"/>
      <c r="CW503" s="211"/>
      <c r="CX503" s="211"/>
      <c r="CY503" s="211"/>
      <c r="CZ503" s="211"/>
      <c r="DA503" s="211"/>
      <c r="DB503" s="211"/>
      <c r="DC503" s="219"/>
      <c r="DD503" s="219"/>
      <c r="DE503" s="219"/>
      <c r="DF503" s="211"/>
      <c r="DG503" s="211"/>
      <c r="DH503" s="211"/>
      <c r="DI503" s="211"/>
      <c r="DJ503" s="211"/>
      <c r="DK503" s="220" t="s">
        <v>32</v>
      </c>
      <c r="DT503" s="222"/>
    </row>
    <row r="504" spans="1:124" s="278" customFormat="1" ht="42" x14ac:dyDescent="0.2">
      <c r="A504" s="249" t="s">
        <v>227</v>
      </c>
      <c r="B504" s="250" t="s">
        <v>1268</v>
      </c>
      <c r="C504" s="251">
        <v>1</v>
      </c>
      <c r="D504" s="252">
        <v>12000000</v>
      </c>
      <c r="E504" s="251" t="s">
        <v>462</v>
      </c>
      <c r="F504" s="251" t="s">
        <v>462</v>
      </c>
      <c r="G504" s="251" t="s">
        <v>139</v>
      </c>
      <c r="H504" s="253">
        <v>1</v>
      </c>
      <c r="I504" s="252">
        <f t="shared" si="482"/>
        <v>11153790</v>
      </c>
      <c r="J504" s="252">
        <f t="shared" si="483"/>
        <v>846210</v>
      </c>
      <c r="K504" s="252">
        <f t="shared" si="484"/>
        <v>12000000</v>
      </c>
      <c r="L504" s="252">
        <v>11153790</v>
      </c>
      <c r="M504" s="252">
        <f>20540+825670</f>
        <v>846210</v>
      </c>
      <c r="N504" s="252">
        <f t="shared" si="485"/>
        <v>12000000</v>
      </c>
      <c r="O504" s="252"/>
      <c r="P504" s="209">
        <v>0</v>
      </c>
      <c r="Q504" s="254">
        <v>13</v>
      </c>
      <c r="R504" s="255">
        <v>45566</v>
      </c>
      <c r="S504" s="271"/>
      <c r="T504" s="271">
        <v>825670</v>
      </c>
      <c r="U504" s="256">
        <f t="shared" si="486"/>
        <v>825670</v>
      </c>
      <c r="V504" s="257">
        <v>359</v>
      </c>
      <c r="W504" s="258">
        <v>45597</v>
      </c>
      <c r="X504" s="259">
        <v>10749800</v>
      </c>
      <c r="Y504" s="259">
        <v>22348</v>
      </c>
      <c r="Z504" s="259">
        <f t="shared" si="487"/>
        <v>10772148</v>
      </c>
      <c r="AA504" s="260"/>
      <c r="AB504" s="261"/>
      <c r="AC504" s="262"/>
      <c r="AD504" s="259"/>
      <c r="AE504" s="256">
        <f t="shared" si="488"/>
        <v>0</v>
      </c>
      <c r="AF504" s="263">
        <f t="shared" si="489"/>
        <v>45566</v>
      </c>
      <c r="AG504" s="209">
        <f t="shared" si="490"/>
        <v>10749800</v>
      </c>
      <c r="AH504" s="209">
        <f t="shared" si="491"/>
        <v>848018</v>
      </c>
      <c r="AI504" s="252">
        <f t="shared" si="492"/>
        <v>11597818</v>
      </c>
      <c r="AJ504" s="259">
        <f t="shared" si="477"/>
        <v>10749800</v>
      </c>
      <c r="AK504" s="259">
        <f t="shared" si="477"/>
        <v>848018</v>
      </c>
      <c r="AL504" s="259">
        <f t="shared" si="493"/>
        <v>11597818</v>
      </c>
      <c r="AM504" s="251"/>
      <c r="AN504" s="263"/>
      <c r="AO504" s="259"/>
      <c r="AP504" s="209">
        <f t="shared" si="494"/>
        <v>10749800</v>
      </c>
      <c r="AQ504" s="209">
        <f t="shared" si="495"/>
        <v>806782.21</v>
      </c>
      <c r="AR504" s="209">
        <f t="shared" si="496"/>
        <v>11556582.210000001</v>
      </c>
      <c r="AS504" s="209">
        <f t="shared" si="497"/>
        <v>99.644452171951656</v>
      </c>
      <c r="AT504" s="259">
        <v>10749800</v>
      </c>
      <c r="AU504" s="259">
        <f>784538.21+22244</f>
        <v>806782.21</v>
      </c>
      <c r="AV504" s="259">
        <f t="shared" si="498"/>
        <v>11556582.210000001</v>
      </c>
      <c r="AW504" s="209">
        <f t="shared" si="507"/>
        <v>8.277419080037296</v>
      </c>
      <c r="AX504" s="259">
        <f t="shared" si="499"/>
        <v>99.644452171951656</v>
      </c>
      <c r="AY504" s="209"/>
      <c r="AZ504" s="209">
        <f t="shared" si="500"/>
        <v>0</v>
      </c>
      <c r="BA504" s="209">
        <f t="shared" si="501"/>
        <v>0</v>
      </c>
      <c r="BB504" s="209">
        <f t="shared" si="502"/>
        <v>0</v>
      </c>
      <c r="BC504" s="259"/>
      <c r="BD504" s="259">
        <v>0</v>
      </c>
      <c r="BE504" s="259">
        <f t="shared" si="478"/>
        <v>0</v>
      </c>
      <c r="BF504" s="209"/>
      <c r="BG504" s="259">
        <f t="shared" ref="BG504:BH516" si="509">+AP504+AZ504</f>
        <v>10749800</v>
      </c>
      <c r="BH504" s="259">
        <f t="shared" si="509"/>
        <v>806782.21</v>
      </c>
      <c r="BI504" s="259">
        <f t="shared" si="503"/>
        <v>11556582.210000001</v>
      </c>
      <c r="BJ504" s="259">
        <f t="shared" si="504"/>
        <v>99.644452171951656</v>
      </c>
      <c r="BK504" s="266">
        <v>32</v>
      </c>
      <c r="BL504" s="266">
        <v>99</v>
      </c>
      <c r="BM504" s="267"/>
      <c r="BN504" s="268"/>
      <c r="BO504" s="269">
        <f t="shared" si="505"/>
        <v>0</v>
      </c>
      <c r="BP504" s="259">
        <f t="shared" si="506"/>
        <v>41235.790000000037</v>
      </c>
      <c r="BQ504" s="259">
        <f t="shared" si="479"/>
        <v>41235.790000000037</v>
      </c>
      <c r="BR504" s="259">
        <f t="shared" si="476"/>
        <v>0</v>
      </c>
      <c r="BS504" s="259">
        <f t="shared" si="476"/>
        <v>41235.790000000037</v>
      </c>
      <c r="BT504" s="259">
        <f t="shared" si="480"/>
        <v>41235.790000000037</v>
      </c>
      <c r="BU504" s="270">
        <f t="shared" si="508"/>
        <v>0</v>
      </c>
      <c r="BV504" s="259"/>
      <c r="BW504" s="259"/>
      <c r="BX504" s="259">
        <f t="shared" si="481"/>
        <v>0</v>
      </c>
      <c r="BY504" s="271">
        <v>200000</v>
      </c>
      <c r="BZ504" s="271">
        <v>200000</v>
      </c>
      <c r="CA504" s="271">
        <v>3800000</v>
      </c>
      <c r="CB504" s="271">
        <v>840000.00000000012</v>
      </c>
      <c r="CC504" s="271">
        <v>840000.00000000012</v>
      </c>
      <c r="CD504" s="271">
        <v>960000</v>
      </c>
      <c r="CE504" s="271">
        <v>1080000</v>
      </c>
      <c r="CF504" s="271">
        <v>960000</v>
      </c>
      <c r="CG504" s="271">
        <v>960000</v>
      </c>
      <c r="CH504" s="271">
        <v>720000</v>
      </c>
      <c r="CI504" s="271">
        <v>720000</v>
      </c>
      <c r="CJ504" s="271">
        <v>720000</v>
      </c>
      <c r="CK504" s="268" t="s">
        <v>1269</v>
      </c>
      <c r="CL504" s="268" t="s">
        <v>610</v>
      </c>
      <c r="CM504" s="267">
        <v>198</v>
      </c>
      <c r="CN504" s="272"/>
      <c r="CO504" s="272"/>
      <c r="CP504" s="273"/>
      <c r="CQ504" s="274"/>
      <c r="CR504" s="267"/>
      <c r="CS504" s="275"/>
      <c r="CT504" s="275"/>
      <c r="CU504" s="275"/>
      <c r="CV504" s="267"/>
      <c r="CW504" s="267"/>
      <c r="CX504" s="267"/>
      <c r="CY504" s="267"/>
      <c r="CZ504" s="267"/>
      <c r="DA504" s="267"/>
      <c r="DB504" s="267"/>
      <c r="DC504" s="276"/>
      <c r="DD504" s="276"/>
      <c r="DE504" s="276"/>
      <c r="DF504" s="267"/>
      <c r="DG504" s="267"/>
      <c r="DH504" s="267"/>
      <c r="DI504" s="267"/>
      <c r="DJ504" s="267"/>
      <c r="DK504" s="277" t="s">
        <v>53</v>
      </c>
      <c r="DT504" s="279"/>
    </row>
    <row r="505" spans="1:124" s="278" customFormat="1" ht="42" x14ac:dyDescent="0.2">
      <c r="A505" s="249" t="s">
        <v>227</v>
      </c>
      <c r="B505" s="250" t="s">
        <v>1270</v>
      </c>
      <c r="C505" s="251">
        <v>1</v>
      </c>
      <c r="D505" s="252">
        <v>13000000</v>
      </c>
      <c r="E505" s="251" t="s">
        <v>1068</v>
      </c>
      <c r="F505" s="251" t="s">
        <v>150</v>
      </c>
      <c r="G505" s="251" t="s">
        <v>151</v>
      </c>
      <c r="H505" s="253">
        <v>1</v>
      </c>
      <c r="I505" s="252">
        <f t="shared" si="482"/>
        <v>12614400</v>
      </c>
      <c r="J505" s="252">
        <f t="shared" si="483"/>
        <v>385600</v>
      </c>
      <c r="K505" s="252">
        <f t="shared" si="484"/>
        <v>13000000</v>
      </c>
      <c r="L505" s="252">
        <v>12614400</v>
      </c>
      <c r="M505" s="252">
        <v>385600</v>
      </c>
      <c r="N505" s="252">
        <f t="shared" si="485"/>
        <v>13000000</v>
      </c>
      <c r="O505" s="252"/>
      <c r="P505" s="209">
        <v>0</v>
      </c>
      <c r="Q505" s="254">
        <v>13</v>
      </c>
      <c r="R505" s="255">
        <v>45566</v>
      </c>
      <c r="S505" s="271"/>
      <c r="T505" s="271">
        <v>385600</v>
      </c>
      <c r="U505" s="256">
        <f t="shared" si="486"/>
        <v>385600</v>
      </c>
      <c r="V505" s="257">
        <v>371</v>
      </c>
      <c r="W505" s="258">
        <v>45600</v>
      </c>
      <c r="X505" s="259">
        <v>12216400</v>
      </c>
      <c r="Y505" s="259"/>
      <c r="Z505" s="259">
        <f t="shared" si="487"/>
        <v>12216400</v>
      </c>
      <c r="AA505" s="260"/>
      <c r="AB505" s="261"/>
      <c r="AC505" s="262"/>
      <c r="AD505" s="259">
        <v>-105.17</v>
      </c>
      <c r="AE505" s="256">
        <f t="shared" si="488"/>
        <v>-105.17</v>
      </c>
      <c r="AF505" s="263">
        <f t="shared" si="489"/>
        <v>45566</v>
      </c>
      <c r="AG505" s="209">
        <f t="shared" si="490"/>
        <v>12216400</v>
      </c>
      <c r="AH505" s="209">
        <f t="shared" si="491"/>
        <v>385494.83</v>
      </c>
      <c r="AI505" s="252">
        <f t="shared" si="492"/>
        <v>12601894.83</v>
      </c>
      <c r="AJ505" s="259">
        <f t="shared" si="477"/>
        <v>12216400</v>
      </c>
      <c r="AK505" s="259">
        <f t="shared" si="477"/>
        <v>385494.83</v>
      </c>
      <c r="AL505" s="259">
        <f t="shared" si="493"/>
        <v>12601894.83</v>
      </c>
      <c r="AM505" s="251"/>
      <c r="AN505" s="263"/>
      <c r="AO505" s="259"/>
      <c r="AP505" s="209">
        <f t="shared" si="494"/>
        <v>12216400</v>
      </c>
      <c r="AQ505" s="209">
        <f t="shared" si="495"/>
        <v>385494.83</v>
      </c>
      <c r="AR505" s="209">
        <f t="shared" si="496"/>
        <v>12601894.83</v>
      </c>
      <c r="AS505" s="209">
        <f t="shared" si="497"/>
        <v>100</v>
      </c>
      <c r="AT505" s="259">
        <v>12216400</v>
      </c>
      <c r="AU505" s="259">
        <v>385494.83</v>
      </c>
      <c r="AV505" s="259">
        <f t="shared" si="498"/>
        <v>12601894.83</v>
      </c>
      <c r="AW505" s="209">
        <f t="shared" si="507"/>
        <v>8.252727181345632</v>
      </c>
      <c r="AX505" s="259">
        <f t="shared" si="499"/>
        <v>100</v>
      </c>
      <c r="AY505" s="209"/>
      <c r="AZ505" s="209">
        <f t="shared" si="500"/>
        <v>0</v>
      </c>
      <c r="BA505" s="209">
        <f t="shared" si="501"/>
        <v>0</v>
      </c>
      <c r="BB505" s="209">
        <f t="shared" si="502"/>
        <v>0</v>
      </c>
      <c r="BC505" s="259"/>
      <c r="BD505" s="259">
        <v>0</v>
      </c>
      <c r="BE505" s="259">
        <f t="shared" si="478"/>
        <v>0</v>
      </c>
      <c r="BF505" s="209"/>
      <c r="BG505" s="259">
        <f t="shared" si="509"/>
        <v>12216400</v>
      </c>
      <c r="BH505" s="259">
        <f t="shared" si="509"/>
        <v>385494.83</v>
      </c>
      <c r="BI505" s="259">
        <f t="shared" si="503"/>
        <v>12601894.83</v>
      </c>
      <c r="BJ505" s="259">
        <f t="shared" si="504"/>
        <v>100</v>
      </c>
      <c r="BK505" s="266">
        <v>28</v>
      </c>
      <c r="BL505" s="266">
        <v>90</v>
      </c>
      <c r="BM505" s="267"/>
      <c r="BN505" s="268" t="s">
        <v>152</v>
      </c>
      <c r="BO505" s="269">
        <f t="shared" si="505"/>
        <v>0</v>
      </c>
      <c r="BP505" s="259">
        <f t="shared" si="506"/>
        <v>0</v>
      </c>
      <c r="BQ505" s="259">
        <f t="shared" si="479"/>
        <v>0</v>
      </c>
      <c r="BR505" s="259">
        <f t="shared" ref="BR505:BS517" si="510">+AJ505-AT505</f>
        <v>0</v>
      </c>
      <c r="BS505" s="259">
        <f t="shared" si="510"/>
        <v>0</v>
      </c>
      <c r="BT505" s="259">
        <f t="shared" si="480"/>
        <v>0</v>
      </c>
      <c r="BU505" s="270">
        <f t="shared" si="508"/>
        <v>0</v>
      </c>
      <c r="BV505" s="259">
        <v>105.17</v>
      </c>
      <c r="BW505" s="259"/>
      <c r="BX505" s="259">
        <f t="shared" si="481"/>
        <v>105.17</v>
      </c>
      <c r="BY505" s="271">
        <v>250000</v>
      </c>
      <c r="BZ505" s="271">
        <v>300000</v>
      </c>
      <c r="CA505" s="271">
        <v>4000000</v>
      </c>
      <c r="CB505" s="271">
        <v>910000.00000000012</v>
      </c>
      <c r="CC505" s="271">
        <v>910000.00000000012</v>
      </c>
      <c r="CD505" s="271">
        <v>1040000</v>
      </c>
      <c r="CE505" s="271">
        <v>1170000</v>
      </c>
      <c r="CF505" s="271">
        <v>1040000</v>
      </c>
      <c r="CG505" s="271">
        <v>1040000</v>
      </c>
      <c r="CH505" s="271">
        <v>780000</v>
      </c>
      <c r="CI505" s="271">
        <v>780000</v>
      </c>
      <c r="CJ505" s="271">
        <v>780000</v>
      </c>
      <c r="CK505" s="268" t="s">
        <v>1271</v>
      </c>
      <c r="CL505" s="268" t="s">
        <v>610</v>
      </c>
      <c r="CM505" s="267">
        <v>198</v>
      </c>
      <c r="CN505" s="272"/>
      <c r="CO505" s="272"/>
      <c r="CP505" s="273"/>
      <c r="CQ505" s="274"/>
      <c r="CR505" s="267"/>
      <c r="CS505" s="275"/>
      <c r="CT505" s="275"/>
      <c r="CU505" s="275"/>
      <c r="CV505" s="267"/>
      <c r="CW505" s="267"/>
      <c r="CX505" s="267"/>
      <c r="CY505" s="267"/>
      <c r="CZ505" s="267"/>
      <c r="DA505" s="267"/>
      <c r="DB505" s="267"/>
      <c r="DC505" s="276"/>
      <c r="DD505" s="276"/>
      <c r="DE505" s="276"/>
      <c r="DF505" s="267"/>
      <c r="DG505" s="267"/>
      <c r="DH505" s="267"/>
      <c r="DI505" s="267"/>
      <c r="DJ505" s="267"/>
      <c r="DK505" s="277" t="s">
        <v>53</v>
      </c>
      <c r="DT505" s="279"/>
    </row>
    <row r="506" spans="1:124" s="176" customFormat="1" ht="63" x14ac:dyDescent="0.2">
      <c r="A506" s="225" t="s">
        <v>208</v>
      </c>
      <c r="B506" s="197" t="s">
        <v>1272</v>
      </c>
      <c r="C506" s="198">
        <v>1</v>
      </c>
      <c r="D506" s="199">
        <v>10000000</v>
      </c>
      <c r="E506" s="198" t="s">
        <v>1068</v>
      </c>
      <c r="F506" s="198" t="s">
        <v>150</v>
      </c>
      <c r="G506" s="198" t="s">
        <v>151</v>
      </c>
      <c r="H506" s="200">
        <v>1</v>
      </c>
      <c r="I506" s="199">
        <f t="shared" si="482"/>
        <v>0</v>
      </c>
      <c r="J506" s="199">
        <f t="shared" si="483"/>
        <v>10000000</v>
      </c>
      <c r="K506" s="199">
        <f t="shared" si="484"/>
        <v>10000000</v>
      </c>
      <c r="L506" s="199"/>
      <c r="M506" s="199">
        <v>10000000</v>
      </c>
      <c r="N506" s="199">
        <f t="shared" si="485"/>
        <v>10000000</v>
      </c>
      <c r="O506" s="199"/>
      <c r="P506" s="201">
        <v>0</v>
      </c>
      <c r="Q506" s="202">
        <v>15</v>
      </c>
      <c r="R506" s="203">
        <v>45566</v>
      </c>
      <c r="S506" s="199"/>
      <c r="T506" s="199">
        <v>390000</v>
      </c>
      <c r="U506" s="204">
        <f t="shared" si="486"/>
        <v>390000</v>
      </c>
      <c r="V506" s="205">
        <v>2242</v>
      </c>
      <c r="W506" s="200">
        <v>45791</v>
      </c>
      <c r="X506" s="201"/>
      <c r="Y506" s="201">
        <v>-415.83</v>
      </c>
      <c r="Z506" s="201">
        <f t="shared" si="487"/>
        <v>-415.83</v>
      </c>
      <c r="AA506" s="198"/>
      <c r="AB506" s="206"/>
      <c r="AC506" s="207"/>
      <c r="AD506" s="201"/>
      <c r="AE506" s="204">
        <f t="shared" si="488"/>
        <v>0</v>
      </c>
      <c r="AF506" s="203">
        <f t="shared" si="489"/>
        <v>45566</v>
      </c>
      <c r="AG506" s="201">
        <f t="shared" si="490"/>
        <v>0</v>
      </c>
      <c r="AH506" s="201">
        <f t="shared" si="491"/>
        <v>389584.17</v>
      </c>
      <c r="AI506" s="199">
        <f t="shared" si="492"/>
        <v>389584.17</v>
      </c>
      <c r="AJ506" s="201">
        <f t="shared" si="477"/>
        <v>0</v>
      </c>
      <c r="AK506" s="201">
        <f t="shared" si="477"/>
        <v>389584.17</v>
      </c>
      <c r="AL506" s="201">
        <f t="shared" si="493"/>
        <v>389584.17</v>
      </c>
      <c r="AM506" s="198"/>
      <c r="AN506" s="203"/>
      <c r="AO506" s="208"/>
      <c r="AP506" s="201">
        <f t="shared" si="494"/>
        <v>0</v>
      </c>
      <c r="AQ506" s="201">
        <f t="shared" si="495"/>
        <v>389584.17</v>
      </c>
      <c r="AR506" s="201">
        <f t="shared" si="496"/>
        <v>389584.17</v>
      </c>
      <c r="AS506" s="201">
        <f t="shared" si="497"/>
        <v>100</v>
      </c>
      <c r="AT506" s="201"/>
      <c r="AU506" s="209">
        <v>389584.17</v>
      </c>
      <c r="AV506" s="201">
        <f t="shared" si="498"/>
        <v>389584.17</v>
      </c>
      <c r="AW506" s="201">
        <f t="shared" si="507"/>
        <v>231.01554665324312</v>
      </c>
      <c r="AX506" s="201">
        <f t="shared" si="499"/>
        <v>100</v>
      </c>
      <c r="AY506" s="208"/>
      <c r="AZ506" s="201">
        <f t="shared" si="500"/>
        <v>0</v>
      </c>
      <c r="BA506" s="201">
        <f t="shared" si="501"/>
        <v>0</v>
      </c>
      <c r="BB506" s="201">
        <f t="shared" si="502"/>
        <v>0</v>
      </c>
      <c r="BC506" s="201"/>
      <c r="BD506" s="209">
        <v>0</v>
      </c>
      <c r="BE506" s="201">
        <f t="shared" si="478"/>
        <v>0</v>
      </c>
      <c r="BF506" s="208"/>
      <c r="BG506" s="201">
        <f t="shared" si="509"/>
        <v>0</v>
      </c>
      <c r="BH506" s="201">
        <f t="shared" si="509"/>
        <v>389584.17</v>
      </c>
      <c r="BI506" s="201">
        <f t="shared" si="503"/>
        <v>389584.17</v>
      </c>
      <c r="BJ506" s="201">
        <f t="shared" si="504"/>
        <v>100</v>
      </c>
      <c r="BK506" s="210">
        <v>50</v>
      </c>
      <c r="BL506" s="210">
        <v>100</v>
      </c>
      <c r="BM506" s="211"/>
      <c r="BN506" s="211"/>
      <c r="BO506" s="212">
        <f t="shared" si="505"/>
        <v>0</v>
      </c>
      <c r="BP506" s="201">
        <f t="shared" si="506"/>
        <v>0</v>
      </c>
      <c r="BQ506" s="201">
        <f t="shared" si="479"/>
        <v>0</v>
      </c>
      <c r="BR506" s="201">
        <f t="shared" si="510"/>
        <v>0</v>
      </c>
      <c r="BS506" s="201">
        <f t="shared" si="510"/>
        <v>0</v>
      </c>
      <c r="BT506" s="201">
        <f t="shared" si="480"/>
        <v>0</v>
      </c>
      <c r="BU506" s="213">
        <f t="shared" si="508"/>
        <v>0</v>
      </c>
      <c r="BV506" s="201">
        <v>415.83</v>
      </c>
      <c r="BW506" s="201"/>
      <c r="BX506" s="201">
        <f t="shared" si="481"/>
        <v>415.83</v>
      </c>
      <c r="BY506" s="199">
        <v>540000</v>
      </c>
      <c r="BZ506" s="199">
        <v>900000</v>
      </c>
      <c r="CA506" s="199">
        <v>1350000</v>
      </c>
      <c r="CB506" s="199">
        <v>900000</v>
      </c>
      <c r="CC506" s="199">
        <v>1080000</v>
      </c>
      <c r="CD506" s="199">
        <v>1260000</v>
      </c>
      <c r="CE506" s="199">
        <v>900000</v>
      </c>
      <c r="CF506" s="199">
        <v>900000</v>
      </c>
      <c r="CG506" s="199">
        <v>630000</v>
      </c>
      <c r="CH506" s="199">
        <v>540000</v>
      </c>
      <c r="CI506" s="199">
        <v>500000</v>
      </c>
      <c r="CJ506" s="199">
        <v>500000</v>
      </c>
      <c r="CK506" s="214" t="s">
        <v>1273</v>
      </c>
      <c r="CL506" s="214" t="s">
        <v>610</v>
      </c>
      <c r="CM506" s="211">
        <v>198</v>
      </c>
      <c r="CN506" s="215"/>
      <c r="CO506" s="215"/>
      <c r="CP506" s="216"/>
      <c r="CQ506" s="217"/>
      <c r="CR506" s="211"/>
      <c r="CS506" s="218"/>
      <c r="CT506" s="218"/>
      <c r="CU506" s="218"/>
      <c r="CV506" s="211"/>
      <c r="CW506" s="211"/>
      <c r="CX506" s="211"/>
      <c r="CY506" s="211"/>
      <c r="CZ506" s="211"/>
      <c r="DA506" s="211"/>
      <c r="DB506" s="211"/>
      <c r="DC506" s="219"/>
      <c r="DD506" s="219"/>
      <c r="DE506" s="219"/>
      <c r="DF506" s="211"/>
      <c r="DG506" s="211"/>
      <c r="DH506" s="211"/>
      <c r="DI506" s="211"/>
      <c r="DJ506" s="211"/>
      <c r="DK506" s="220" t="s">
        <v>32</v>
      </c>
      <c r="DT506" s="222"/>
    </row>
    <row r="507" spans="1:124" s="176" customFormat="1" ht="42" x14ac:dyDescent="0.2">
      <c r="A507" s="225" t="s">
        <v>208</v>
      </c>
      <c r="B507" s="197" t="s">
        <v>1274</v>
      </c>
      <c r="C507" s="198">
        <v>1</v>
      </c>
      <c r="D507" s="199">
        <v>10688500</v>
      </c>
      <c r="E507" s="198" t="s">
        <v>1068</v>
      </c>
      <c r="F507" s="198" t="s">
        <v>150</v>
      </c>
      <c r="G507" s="198" t="s">
        <v>151</v>
      </c>
      <c r="H507" s="200">
        <v>1</v>
      </c>
      <c r="I507" s="199">
        <f t="shared" si="482"/>
        <v>0</v>
      </c>
      <c r="J507" s="199">
        <f t="shared" si="483"/>
        <v>10688500</v>
      </c>
      <c r="K507" s="199">
        <f t="shared" si="484"/>
        <v>10688500</v>
      </c>
      <c r="L507" s="199"/>
      <c r="M507" s="199">
        <v>10688500</v>
      </c>
      <c r="N507" s="199">
        <f t="shared" si="485"/>
        <v>10688500</v>
      </c>
      <c r="O507" s="199"/>
      <c r="P507" s="201">
        <v>0</v>
      </c>
      <c r="Q507" s="202">
        <v>15</v>
      </c>
      <c r="R507" s="203">
        <v>45566</v>
      </c>
      <c r="S507" s="199"/>
      <c r="T507" s="199">
        <v>10688500</v>
      </c>
      <c r="U507" s="204">
        <f t="shared" si="486"/>
        <v>10688500</v>
      </c>
      <c r="V507" s="205"/>
      <c r="W507" s="200"/>
      <c r="X507" s="201"/>
      <c r="Y507" s="201"/>
      <c r="Z507" s="201">
        <f t="shared" si="487"/>
        <v>0</v>
      </c>
      <c r="AA507" s="198"/>
      <c r="AB507" s="206"/>
      <c r="AC507" s="207"/>
      <c r="AD507" s="201"/>
      <c r="AE507" s="204">
        <f t="shared" si="488"/>
        <v>0</v>
      </c>
      <c r="AF507" s="203">
        <f t="shared" si="489"/>
        <v>45566</v>
      </c>
      <c r="AG507" s="201">
        <f t="shared" si="490"/>
        <v>0</v>
      </c>
      <c r="AH507" s="201">
        <f t="shared" si="491"/>
        <v>10688500</v>
      </c>
      <c r="AI507" s="199">
        <f t="shared" si="492"/>
        <v>10688500</v>
      </c>
      <c r="AJ507" s="201">
        <f t="shared" si="477"/>
        <v>0</v>
      </c>
      <c r="AK507" s="201">
        <f t="shared" si="477"/>
        <v>10688500</v>
      </c>
      <c r="AL507" s="201">
        <f t="shared" si="493"/>
        <v>10688500</v>
      </c>
      <c r="AM507" s="198"/>
      <c r="AN507" s="203"/>
      <c r="AO507" s="208"/>
      <c r="AP507" s="201">
        <f t="shared" si="494"/>
        <v>0</v>
      </c>
      <c r="AQ507" s="201">
        <f t="shared" si="495"/>
        <v>7127803.96</v>
      </c>
      <c r="AR507" s="201">
        <f t="shared" si="496"/>
        <v>7127803.96</v>
      </c>
      <c r="AS507" s="201">
        <f t="shared" si="497"/>
        <v>66.686662861954431</v>
      </c>
      <c r="AT507" s="201"/>
      <c r="AU507" s="209">
        <v>7127803.96</v>
      </c>
      <c r="AV507" s="201">
        <f t="shared" si="498"/>
        <v>7127803.96</v>
      </c>
      <c r="AW507" s="201">
        <f t="shared" si="507"/>
        <v>9.4961874912288913</v>
      </c>
      <c r="AX507" s="201">
        <f t="shared" si="499"/>
        <v>66.686662861954431</v>
      </c>
      <c r="AY507" s="208"/>
      <c r="AZ507" s="201">
        <f t="shared" si="500"/>
        <v>0</v>
      </c>
      <c r="BA507" s="201">
        <f t="shared" si="501"/>
        <v>0</v>
      </c>
      <c r="BB507" s="201">
        <f t="shared" si="502"/>
        <v>0</v>
      </c>
      <c r="BC507" s="201"/>
      <c r="BD507" s="209">
        <v>0</v>
      </c>
      <c r="BE507" s="201">
        <f t="shared" si="478"/>
        <v>0</v>
      </c>
      <c r="BF507" s="208"/>
      <c r="BG507" s="201">
        <f t="shared" si="509"/>
        <v>0</v>
      </c>
      <c r="BH507" s="201">
        <f t="shared" si="509"/>
        <v>7127803.96</v>
      </c>
      <c r="BI507" s="201">
        <f t="shared" si="503"/>
        <v>7127803.96</v>
      </c>
      <c r="BJ507" s="201">
        <f t="shared" si="504"/>
        <v>66.686662861954431</v>
      </c>
      <c r="BK507" s="210">
        <v>19</v>
      </c>
      <c r="BL507" s="210">
        <v>50</v>
      </c>
      <c r="BM507" s="211"/>
      <c r="BN507" s="211"/>
      <c r="BO507" s="212">
        <f t="shared" si="505"/>
        <v>0</v>
      </c>
      <c r="BP507" s="201">
        <f t="shared" si="506"/>
        <v>3560696.04</v>
      </c>
      <c r="BQ507" s="201">
        <f t="shared" si="479"/>
        <v>3560696.04</v>
      </c>
      <c r="BR507" s="201">
        <f t="shared" si="510"/>
        <v>0</v>
      </c>
      <c r="BS507" s="201">
        <f t="shared" si="510"/>
        <v>3560696.04</v>
      </c>
      <c r="BT507" s="201">
        <f t="shared" si="480"/>
        <v>3560696.04</v>
      </c>
      <c r="BU507" s="213">
        <f t="shared" si="508"/>
        <v>0</v>
      </c>
      <c r="BV507" s="201"/>
      <c r="BW507" s="201"/>
      <c r="BX507" s="201">
        <f t="shared" si="481"/>
        <v>0</v>
      </c>
      <c r="BY507" s="199">
        <v>428000</v>
      </c>
      <c r="BZ507" s="199">
        <v>748000</v>
      </c>
      <c r="CA507" s="199">
        <v>908000</v>
      </c>
      <c r="CB507" s="199">
        <v>1015000</v>
      </c>
      <c r="CC507" s="199">
        <v>1176000</v>
      </c>
      <c r="CD507" s="199">
        <v>1283000</v>
      </c>
      <c r="CE507" s="199">
        <v>1004000</v>
      </c>
      <c r="CF507" s="199">
        <v>1015000</v>
      </c>
      <c r="CG507" s="199">
        <v>1015000</v>
      </c>
      <c r="CH507" s="199">
        <v>908000</v>
      </c>
      <c r="CI507" s="199">
        <v>694000</v>
      </c>
      <c r="CJ507" s="199">
        <v>494500</v>
      </c>
      <c r="CK507" s="214" t="s">
        <v>1275</v>
      </c>
      <c r="CL507" s="214" t="s">
        <v>610</v>
      </c>
      <c r="CM507" s="211">
        <v>198</v>
      </c>
      <c r="CN507" s="215"/>
      <c r="CO507" s="215"/>
      <c r="CP507" s="216"/>
      <c r="CQ507" s="217"/>
      <c r="CR507" s="211"/>
      <c r="CS507" s="218"/>
      <c r="CT507" s="218"/>
      <c r="CU507" s="218"/>
      <c r="CV507" s="211"/>
      <c r="CW507" s="211"/>
      <c r="CX507" s="211"/>
      <c r="CY507" s="211"/>
      <c r="CZ507" s="211"/>
      <c r="DA507" s="211"/>
      <c r="DB507" s="211"/>
      <c r="DC507" s="219"/>
      <c r="DD507" s="219"/>
      <c r="DE507" s="219"/>
      <c r="DF507" s="211"/>
      <c r="DG507" s="211"/>
      <c r="DH507" s="211"/>
      <c r="DI507" s="211"/>
      <c r="DJ507" s="211"/>
      <c r="DK507" s="220" t="s">
        <v>32</v>
      </c>
      <c r="DT507" s="222"/>
    </row>
    <row r="508" spans="1:124" s="176" customFormat="1" ht="42" x14ac:dyDescent="0.2">
      <c r="A508" s="225" t="s">
        <v>119</v>
      </c>
      <c r="B508" s="197" t="s">
        <v>1276</v>
      </c>
      <c r="C508" s="198">
        <v>1</v>
      </c>
      <c r="D508" s="199">
        <v>5000000</v>
      </c>
      <c r="E508" s="198" t="s">
        <v>130</v>
      </c>
      <c r="F508" s="198" t="s">
        <v>127</v>
      </c>
      <c r="G508" s="198" t="s">
        <v>123</v>
      </c>
      <c r="H508" s="200">
        <v>1</v>
      </c>
      <c r="I508" s="199">
        <f t="shared" si="482"/>
        <v>0</v>
      </c>
      <c r="J508" s="199">
        <f t="shared" si="483"/>
        <v>5000000</v>
      </c>
      <c r="K508" s="199">
        <f t="shared" si="484"/>
        <v>5000000</v>
      </c>
      <c r="L508" s="199"/>
      <c r="M508" s="199">
        <v>5000000</v>
      </c>
      <c r="N508" s="199">
        <f t="shared" si="485"/>
        <v>5000000</v>
      </c>
      <c r="O508" s="199"/>
      <c r="P508" s="201">
        <v>0</v>
      </c>
      <c r="Q508" s="202">
        <v>15</v>
      </c>
      <c r="R508" s="203">
        <v>45566</v>
      </c>
      <c r="S508" s="199"/>
      <c r="T508" s="199">
        <v>5000000</v>
      </c>
      <c r="U508" s="204">
        <f t="shared" si="486"/>
        <v>5000000</v>
      </c>
      <c r="V508" s="205"/>
      <c r="W508" s="200"/>
      <c r="X508" s="201"/>
      <c r="Y508" s="201"/>
      <c r="Z508" s="201">
        <f t="shared" si="487"/>
        <v>0</v>
      </c>
      <c r="AA508" s="198"/>
      <c r="AB508" s="206"/>
      <c r="AC508" s="207"/>
      <c r="AD508" s="201"/>
      <c r="AE508" s="204">
        <f t="shared" si="488"/>
        <v>0</v>
      </c>
      <c r="AF508" s="203">
        <f t="shared" si="489"/>
        <v>45566</v>
      </c>
      <c r="AG508" s="201">
        <f t="shared" si="490"/>
        <v>0</v>
      </c>
      <c r="AH508" s="201">
        <f t="shared" si="491"/>
        <v>5000000</v>
      </c>
      <c r="AI508" s="199">
        <f t="shared" si="492"/>
        <v>5000000</v>
      </c>
      <c r="AJ508" s="201">
        <f t="shared" si="477"/>
        <v>0</v>
      </c>
      <c r="AK508" s="201">
        <f t="shared" si="477"/>
        <v>5000000</v>
      </c>
      <c r="AL508" s="201">
        <f t="shared" si="493"/>
        <v>5000000</v>
      </c>
      <c r="AM508" s="198"/>
      <c r="AN508" s="203"/>
      <c r="AO508" s="208"/>
      <c r="AP508" s="201">
        <f t="shared" si="494"/>
        <v>0</v>
      </c>
      <c r="AQ508" s="201">
        <f t="shared" si="495"/>
        <v>4615221.17</v>
      </c>
      <c r="AR508" s="201">
        <f t="shared" si="496"/>
        <v>4615221.17</v>
      </c>
      <c r="AS508" s="201">
        <f t="shared" si="497"/>
        <v>92.304423400000005</v>
      </c>
      <c r="AT508" s="201"/>
      <c r="AU508" s="209">
        <v>4615221.17</v>
      </c>
      <c r="AV508" s="201">
        <f t="shared" si="498"/>
        <v>4615221.17</v>
      </c>
      <c r="AW508" s="201">
        <f t="shared" si="507"/>
        <v>0</v>
      </c>
      <c r="AX508" s="201">
        <f t="shared" si="499"/>
        <v>92.304423400000005</v>
      </c>
      <c r="AY508" s="208"/>
      <c r="AZ508" s="201">
        <f t="shared" si="500"/>
        <v>0</v>
      </c>
      <c r="BA508" s="201">
        <f t="shared" si="501"/>
        <v>334896.44</v>
      </c>
      <c r="BB508" s="201">
        <f t="shared" si="502"/>
        <v>334896.44</v>
      </c>
      <c r="BC508" s="201"/>
      <c r="BD508" s="209">
        <v>334896.44</v>
      </c>
      <c r="BE508" s="201">
        <f t="shared" si="478"/>
        <v>334896.44</v>
      </c>
      <c r="BF508" s="208"/>
      <c r="BG508" s="201">
        <f t="shared" si="509"/>
        <v>0</v>
      </c>
      <c r="BH508" s="201">
        <f t="shared" si="509"/>
        <v>4950117.6100000003</v>
      </c>
      <c r="BI508" s="201">
        <f t="shared" si="503"/>
        <v>4950117.6100000003</v>
      </c>
      <c r="BJ508" s="201">
        <f t="shared" si="504"/>
        <v>99.002352200000018</v>
      </c>
      <c r="BK508" s="210">
        <v>20</v>
      </c>
      <c r="BL508" s="210">
        <v>90</v>
      </c>
      <c r="BM508" s="211"/>
      <c r="BN508" s="211"/>
      <c r="BO508" s="212">
        <f t="shared" si="505"/>
        <v>0</v>
      </c>
      <c r="BP508" s="201">
        <f t="shared" si="506"/>
        <v>384778.83000000007</v>
      </c>
      <c r="BQ508" s="201">
        <f t="shared" si="479"/>
        <v>384778.83000000007</v>
      </c>
      <c r="BR508" s="201">
        <f t="shared" si="510"/>
        <v>0</v>
      </c>
      <c r="BS508" s="201">
        <f t="shared" si="510"/>
        <v>384778.83000000007</v>
      </c>
      <c r="BT508" s="201">
        <f t="shared" si="480"/>
        <v>384778.83000000007</v>
      </c>
      <c r="BU508" s="213">
        <f t="shared" si="508"/>
        <v>0</v>
      </c>
      <c r="BV508" s="201"/>
      <c r="BW508" s="201"/>
      <c r="BX508" s="201">
        <f t="shared" si="481"/>
        <v>0</v>
      </c>
      <c r="BY508" s="199">
        <v>0</v>
      </c>
      <c r="BZ508" s="199">
        <v>1000000</v>
      </c>
      <c r="CA508" s="199">
        <v>1500000</v>
      </c>
      <c r="CB508" s="199">
        <v>1500000</v>
      </c>
      <c r="CC508" s="199">
        <v>500000</v>
      </c>
      <c r="CD508" s="199">
        <v>500000</v>
      </c>
      <c r="CE508" s="199">
        <v>0</v>
      </c>
      <c r="CF508" s="199">
        <v>0</v>
      </c>
      <c r="CG508" s="199">
        <v>0</v>
      </c>
      <c r="CH508" s="199">
        <v>0</v>
      </c>
      <c r="CI508" s="199">
        <v>0</v>
      </c>
      <c r="CJ508" s="199">
        <v>0</v>
      </c>
      <c r="CK508" s="214" t="s">
        <v>1277</v>
      </c>
      <c r="CL508" s="214" t="s">
        <v>610</v>
      </c>
      <c r="CM508" s="211">
        <v>198</v>
      </c>
      <c r="CN508" s="215"/>
      <c r="CO508" s="215"/>
      <c r="CP508" s="216"/>
      <c r="CQ508" s="217"/>
      <c r="CR508" s="211"/>
      <c r="CS508" s="218"/>
      <c r="CT508" s="218"/>
      <c r="CU508" s="218"/>
      <c r="CV508" s="211"/>
      <c r="CW508" s="211"/>
      <c r="CX508" s="211"/>
      <c r="CY508" s="211"/>
      <c r="CZ508" s="211"/>
      <c r="DA508" s="211"/>
      <c r="DB508" s="211"/>
      <c r="DC508" s="219"/>
      <c r="DD508" s="219"/>
      <c r="DE508" s="219"/>
      <c r="DF508" s="211"/>
      <c r="DG508" s="211"/>
      <c r="DH508" s="211"/>
      <c r="DI508" s="211"/>
      <c r="DJ508" s="211"/>
      <c r="DK508" s="220" t="s">
        <v>32</v>
      </c>
      <c r="DT508" s="222"/>
    </row>
    <row r="509" spans="1:124" s="176" customFormat="1" ht="42" x14ac:dyDescent="0.2">
      <c r="A509" s="225" t="s">
        <v>197</v>
      </c>
      <c r="B509" s="197" t="s">
        <v>1278</v>
      </c>
      <c r="C509" s="198">
        <v>1</v>
      </c>
      <c r="D509" s="199">
        <v>3650000</v>
      </c>
      <c r="E509" s="198" t="s">
        <v>267</v>
      </c>
      <c r="F509" s="198" t="s">
        <v>150</v>
      </c>
      <c r="G509" s="198" t="s">
        <v>151</v>
      </c>
      <c r="H509" s="200">
        <v>1</v>
      </c>
      <c r="I509" s="199">
        <f t="shared" si="482"/>
        <v>0</v>
      </c>
      <c r="J509" s="199">
        <f t="shared" si="483"/>
        <v>3650000</v>
      </c>
      <c r="K509" s="199">
        <f t="shared" si="484"/>
        <v>3650000</v>
      </c>
      <c r="L509" s="199"/>
      <c r="M509" s="199">
        <v>3650000</v>
      </c>
      <c r="N509" s="199">
        <f t="shared" si="485"/>
        <v>3650000</v>
      </c>
      <c r="O509" s="199"/>
      <c r="P509" s="201">
        <v>0</v>
      </c>
      <c r="Q509" s="202">
        <v>15</v>
      </c>
      <c r="R509" s="203">
        <v>45566</v>
      </c>
      <c r="S509" s="199"/>
      <c r="T509" s="199">
        <v>3650000</v>
      </c>
      <c r="U509" s="204">
        <f t="shared" si="486"/>
        <v>3650000</v>
      </c>
      <c r="V509" s="205">
        <v>784</v>
      </c>
      <c r="W509" s="200">
        <v>45630</v>
      </c>
      <c r="X509" s="201"/>
      <c r="Y509" s="201">
        <v>-338682.9</v>
      </c>
      <c r="Z509" s="201">
        <f t="shared" si="487"/>
        <v>-338682.9</v>
      </c>
      <c r="AA509" s="198"/>
      <c r="AB509" s="206"/>
      <c r="AC509" s="207"/>
      <c r="AD509" s="201"/>
      <c r="AE509" s="204">
        <f t="shared" si="488"/>
        <v>0</v>
      </c>
      <c r="AF509" s="203">
        <f t="shared" si="489"/>
        <v>45566</v>
      </c>
      <c r="AG509" s="201">
        <f t="shared" si="490"/>
        <v>0</v>
      </c>
      <c r="AH509" s="201">
        <f t="shared" si="491"/>
        <v>3311317.1</v>
      </c>
      <c r="AI509" s="199">
        <f t="shared" si="492"/>
        <v>3311317.1</v>
      </c>
      <c r="AJ509" s="201">
        <f t="shared" si="477"/>
        <v>0</v>
      </c>
      <c r="AK509" s="201">
        <f t="shared" si="477"/>
        <v>3311317.1</v>
      </c>
      <c r="AL509" s="201">
        <f t="shared" si="493"/>
        <v>3311317.1</v>
      </c>
      <c r="AM509" s="198"/>
      <c r="AN509" s="203"/>
      <c r="AO509" s="208"/>
      <c r="AP509" s="201">
        <f t="shared" si="494"/>
        <v>0</v>
      </c>
      <c r="AQ509" s="201">
        <f t="shared" si="495"/>
        <v>3309554.05</v>
      </c>
      <c r="AR509" s="201">
        <f t="shared" si="496"/>
        <v>3309554.05</v>
      </c>
      <c r="AS509" s="201">
        <f t="shared" si="497"/>
        <v>99.946756835822214</v>
      </c>
      <c r="AT509" s="201"/>
      <c r="AU509" s="209">
        <v>3309554.05</v>
      </c>
      <c r="AV509" s="201">
        <f t="shared" si="498"/>
        <v>3309554.05</v>
      </c>
      <c r="AW509" s="201">
        <f t="shared" si="507"/>
        <v>10.391635400910411</v>
      </c>
      <c r="AX509" s="201">
        <f t="shared" si="499"/>
        <v>99.946756835822214</v>
      </c>
      <c r="AY509" s="208"/>
      <c r="AZ509" s="201">
        <f t="shared" si="500"/>
        <v>0</v>
      </c>
      <c r="BA509" s="201">
        <f t="shared" si="501"/>
        <v>0</v>
      </c>
      <c r="BB509" s="201">
        <f t="shared" si="502"/>
        <v>0</v>
      </c>
      <c r="BC509" s="201"/>
      <c r="BD509" s="209">
        <v>0</v>
      </c>
      <c r="BE509" s="201">
        <f t="shared" si="478"/>
        <v>0</v>
      </c>
      <c r="BF509" s="208"/>
      <c r="BG509" s="201">
        <f t="shared" si="509"/>
        <v>0</v>
      </c>
      <c r="BH509" s="201">
        <f t="shared" si="509"/>
        <v>3309554.05</v>
      </c>
      <c r="BI509" s="201">
        <f t="shared" si="503"/>
        <v>3309554.05</v>
      </c>
      <c r="BJ509" s="201">
        <f t="shared" si="504"/>
        <v>99.946756835822214</v>
      </c>
      <c r="BK509" s="210">
        <v>10</v>
      </c>
      <c r="BL509" s="210">
        <v>100</v>
      </c>
      <c r="BM509" s="211"/>
      <c r="BN509" s="211"/>
      <c r="BO509" s="212">
        <f t="shared" si="505"/>
        <v>0</v>
      </c>
      <c r="BP509" s="201">
        <f t="shared" si="506"/>
        <v>1763.0500000002794</v>
      </c>
      <c r="BQ509" s="201">
        <f t="shared" si="479"/>
        <v>1763.0500000002794</v>
      </c>
      <c r="BR509" s="201">
        <f t="shared" si="510"/>
        <v>0</v>
      </c>
      <c r="BS509" s="201">
        <f t="shared" si="510"/>
        <v>1763.0500000002794</v>
      </c>
      <c r="BT509" s="201">
        <f t="shared" si="480"/>
        <v>1763.0500000002794</v>
      </c>
      <c r="BU509" s="213">
        <f t="shared" si="508"/>
        <v>0</v>
      </c>
      <c r="BV509" s="201">
        <v>338682.9</v>
      </c>
      <c r="BW509" s="201"/>
      <c r="BX509" s="201">
        <f t="shared" si="481"/>
        <v>338682.9</v>
      </c>
      <c r="BY509" s="199">
        <v>71900</v>
      </c>
      <c r="BZ509" s="199">
        <v>493400</v>
      </c>
      <c r="CA509" s="199">
        <v>1012300</v>
      </c>
      <c r="CB509" s="199">
        <v>297100</v>
      </c>
      <c r="CC509" s="199">
        <v>445800</v>
      </c>
      <c r="CD509" s="199">
        <v>420400</v>
      </c>
      <c r="CE509" s="199">
        <v>369600</v>
      </c>
      <c r="CF509" s="199">
        <v>344100</v>
      </c>
      <c r="CG509" s="199">
        <v>195400</v>
      </c>
      <c r="CH509" s="199">
        <v>0</v>
      </c>
      <c r="CI509" s="199">
        <v>0</v>
      </c>
      <c r="CJ509" s="199">
        <v>0</v>
      </c>
      <c r="CK509" s="214" t="s">
        <v>1279</v>
      </c>
      <c r="CL509" s="214" t="s">
        <v>610</v>
      </c>
      <c r="CM509" s="211">
        <v>198</v>
      </c>
      <c r="CN509" s="215"/>
      <c r="CO509" s="215"/>
      <c r="CP509" s="216"/>
      <c r="CQ509" s="217"/>
      <c r="CR509" s="211"/>
      <c r="CS509" s="218"/>
      <c r="CT509" s="218"/>
      <c r="CU509" s="218"/>
      <c r="CV509" s="211"/>
      <c r="CW509" s="211"/>
      <c r="CX509" s="211"/>
      <c r="CY509" s="211"/>
      <c r="CZ509" s="211"/>
      <c r="DA509" s="211"/>
      <c r="DB509" s="211"/>
      <c r="DC509" s="219"/>
      <c r="DD509" s="219"/>
      <c r="DE509" s="219"/>
      <c r="DF509" s="211"/>
      <c r="DG509" s="211"/>
      <c r="DH509" s="211"/>
      <c r="DI509" s="211"/>
      <c r="DJ509" s="211"/>
      <c r="DK509" s="220" t="s">
        <v>32</v>
      </c>
      <c r="DT509" s="222"/>
    </row>
    <row r="510" spans="1:124" s="176" customFormat="1" ht="42" x14ac:dyDescent="0.2">
      <c r="A510" s="225" t="s">
        <v>208</v>
      </c>
      <c r="B510" s="197" t="s">
        <v>1280</v>
      </c>
      <c r="C510" s="198">
        <v>1</v>
      </c>
      <c r="D510" s="199">
        <v>5900000</v>
      </c>
      <c r="E510" s="198" t="s">
        <v>210</v>
      </c>
      <c r="F510" s="198" t="s">
        <v>150</v>
      </c>
      <c r="G510" s="198" t="s">
        <v>151</v>
      </c>
      <c r="H510" s="200">
        <v>1</v>
      </c>
      <c r="I510" s="199">
        <f t="shared" si="482"/>
        <v>0</v>
      </c>
      <c r="J510" s="199">
        <f t="shared" si="483"/>
        <v>5900000</v>
      </c>
      <c r="K510" s="199">
        <f t="shared" si="484"/>
        <v>5900000</v>
      </c>
      <c r="L510" s="199"/>
      <c r="M510" s="199">
        <v>5900000</v>
      </c>
      <c r="N510" s="199">
        <f t="shared" si="485"/>
        <v>5900000</v>
      </c>
      <c r="O510" s="199"/>
      <c r="P510" s="201">
        <v>0</v>
      </c>
      <c r="Q510" s="202">
        <v>15</v>
      </c>
      <c r="R510" s="203">
        <v>45566</v>
      </c>
      <c r="S510" s="199"/>
      <c r="T510" s="199">
        <v>5900000</v>
      </c>
      <c r="U510" s="204">
        <f t="shared" si="486"/>
        <v>5900000</v>
      </c>
      <c r="V510" s="205">
        <v>228</v>
      </c>
      <c r="W510" s="200">
        <v>45586</v>
      </c>
      <c r="X510" s="201"/>
      <c r="Y510" s="201">
        <v>-201600</v>
      </c>
      <c r="Z510" s="201">
        <f t="shared" si="487"/>
        <v>-201600</v>
      </c>
      <c r="AA510" s="198">
        <v>690</v>
      </c>
      <c r="AB510" s="206">
        <v>45622</v>
      </c>
      <c r="AC510" s="207"/>
      <c r="AD510" s="201">
        <f>+-145948+-10.85</f>
        <v>-145958.85</v>
      </c>
      <c r="AE510" s="204">
        <f t="shared" si="488"/>
        <v>-145958.85</v>
      </c>
      <c r="AF510" s="203">
        <f t="shared" si="489"/>
        <v>45566</v>
      </c>
      <c r="AG510" s="201">
        <f t="shared" si="490"/>
        <v>0</v>
      </c>
      <c r="AH510" s="201">
        <f t="shared" si="491"/>
        <v>5754041.1500000004</v>
      </c>
      <c r="AI510" s="199">
        <f t="shared" si="492"/>
        <v>5754041.1500000004</v>
      </c>
      <c r="AJ510" s="201">
        <f t="shared" si="477"/>
        <v>0</v>
      </c>
      <c r="AK510" s="201">
        <f t="shared" si="477"/>
        <v>5552441.1500000004</v>
      </c>
      <c r="AL510" s="201">
        <f t="shared" si="493"/>
        <v>5552441.1500000004</v>
      </c>
      <c r="AM510" s="205">
        <v>229</v>
      </c>
      <c r="AN510" s="200">
        <v>45586</v>
      </c>
      <c r="AO510" s="208">
        <v>201600</v>
      </c>
      <c r="AP510" s="201">
        <f t="shared" si="494"/>
        <v>0</v>
      </c>
      <c r="AQ510" s="201">
        <f t="shared" si="495"/>
        <v>5722743.7000000002</v>
      </c>
      <c r="AR510" s="201">
        <f t="shared" si="496"/>
        <v>5722743.7000000002</v>
      </c>
      <c r="AS510" s="201">
        <f t="shared" si="497"/>
        <v>99.456078794292239</v>
      </c>
      <c r="AT510" s="201"/>
      <c r="AU510" s="209">
        <v>5525917.5499999998</v>
      </c>
      <c r="AV510" s="201">
        <f t="shared" si="498"/>
        <v>5525917.5499999998</v>
      </c>
      <c r="AW510" s="201">
        <f t="shared" si="507"/>
        <v>10.957342609565524</v>
      </c>
      <c r="AX510" s="201">
        <f t="shared" si="499"/>
        <v>99.522307408877253</v>
      </c>
      <c r="AY510" s="208">
        <v>196826.15</v>
      </c>
      <c r="AZ510" s="201">
        <f t="shared" si="500"/>
        <v>0</v>
      </c>
      <c r="BA510" s="201">
        <f t="shared" si="501"/>
        <v>0</v>
      </c>
      <c r="BB510" s="201">
        <f t="shared" si="502"/>
        <v>0</v>
      </c>
      <c r="BC510" s="201"/>
      <c r="BD510" s="209">
        <v>0</v>
      </c>
      <c r="BE510" s="201">
        <f t="shared" si="478"/>
        <v>0</v>
      </c>
      <c r="BF510" s="208"/>
      <c r="BG510" s="201">
        <f t="shared" si="509"/>
        <v>0</v>
      </c>
      <c r="BH510" s="201">
        <f t="shared" si="509"/>
        <v>5722743.7000000002</v>
      </c>
      <c r="BI510" s="201">
        <f t="shared" si="503"/>
        <v>5722743.7000000002</v>
      </c>
      <c r="BJ510" s="201">
        <f t="shared" si="504"/>
        <v>99.456078794292239</v>
      </c>
      <c r="BK510" s="210">
        <v>24</v>
      </c>
      <c r="BL510" s="210">
        <v>90</v>
      </c>
      <c r="BM510" s="211"/>
      <c r="BN510" s="214" t="s">
        <v>152</v>
      </c>
      <c r="BO510" s="212">
        <f t="shared" si="505"/>
        <v>0</v>
      </c>
      <c r="BP510" s="201">
        <f t="shared" si="506"/>
        <v>31297.450000000565</v>
      </c>
      <c r="BQ510" s="201">
        <f t="shared" si="479"/>
        <v>31297.450000000565</v>
      </c>
      <c r="BR510" s="201">
        <f t="shared" si="510"/>
        <v>0</v>
      </c>
      <c r="BS510" s="201">
        <f t="shared" si="510"/>
        <v>26523.600000000559</v>
      </c>
      <c r="BT510" s="201">
        <f t="shared" si="480"/>
        <v>26523.600000000559</v>
      </c>
      <c r="BU510" s="213">
        <f t="shared" si="508"/>
        <v>4773.8500000000058</v>
      </c>
      <c r="BV510" s="201">
        <f>201600+145948+10.85</f>
        <v>347558.85</v>
      </c>
      <c r="BW510" s="201"/>
      <c r="BX510" s="201">
        <f t="shared" si="481"/>
        <v>347558.85</v>
      </c>
      <c r="BY510" s="199">
        <v>436900</v>
      </c>
      <c r="BZ510" s="199">
        <v>436900</v>
      </c>
      <c r="CA510" s="199">
        <v>582500</v>
      </c>
      <c r="CB510" s="199">
        <v>152100</v>
      </c>
      <c r="CC510" s="199">
        <v>212900</v>
      </c>
      <c r="CD510" s="199">
        <v>304200</v>
      </c>
      <c r="CE510" s="199">
        <v>365000</v>
      </c>
      <c r="CF510" s="199">
        <v>608400</v>
      </c>
      <c r="CG510" s="199">
        <v>687700</v>
      </c>
      <c r="CH510" s="199">
        <v>986600</v>
      </c>
      <c r="CI510" s="199">
        <v>1035500</v>
      </c>
      <c r="CJ510" s="199">
        <v>91300</v>
      </c>
      <c r="CK510" s="214" t="s">
        <v>1281</v>
      </c>
      <c r="CL510" s="214" t="s">
        <v>610</v>
      </c>
      <c r="CM510" s="211">
        <v>198</v>
      </c>
      <c r="CN510" s="215"/>
      <c r="CO510" s="215"/>
      <c r="CP510" s="216"/>
      <c r="CQ510" s="217"/>
      <c r="CR510" s="211"/>
      <c r="CS510" s="218"/>
      <c r="CT510" s="218"/>
      <c r="CU510" s="218"/>
      <c r="CV510" s="211"/>
      <c r="CW510" s="211"/>
      <c r="CX510" s="211"/>
      <c r="CY510" s="211"/>
      <c r="CZ510" s="211"/>
      <c r="DA510" s="211"/>
      <c r="DB510" s="211"/>
      <c r="DC510" s="219"/>
      <c r="DD510" s="219"/>
      <c r="DE510" s="219"/>
      <c r="DF510" s="211"/>
      <c r="DG510" s="211"/>
      <c r="DH510" s="211"/>
      <c r="DI510" s="211"/>
      <c r="DJ510" s="211"/>
      <c r="DK510" s="220" t="s">
        <v>32</v>
      </c>
      <c r="DT510" s="222"/>
    </row>
    <row r="511" spans="1:124" s="176" customFormat="1" ht="42" x14ac:dyDescent="0.2">
      <c r="A511" s="225" t="s">
        <v>208</v>
      </c>
      <c r="B511" s="197" t="s">
        <v>1282</v>
      </c>
      <c r="C511" s="198">
        <v>1</v>
      </c>
      <c r="D511" s="199">
        <v>18000000</v>
      </c>
      <c r="E511" s="198" t="s">
        <v>1113</v>
      </c>
      <c r="F511" s="198" t="s">
        <v>555</v>
      </c>
      <c r="G511" s="198" t="s">
        <v>151</v>
      </c>
      <c r="H511" s="200">
        <v>1</v>
      </c>
      <c r="I511" s="199">
        <f t="shared" si="482"/>
        <v>0</v>
      </c>
      <c r="J511" s="199">
        <f t="shared" si="483"/>
        <v>18000000</v>
      </c>
      <c r="K511" s="199">
        <f t="shared" si="484"/>
        <v>18000000</v>
      </c>
      <c r="L511" s="199"/>
      <c r="M511" s="199">
        <v>18000000</v>
      </c>
      <c r="N511" s="199">
        <f t="shared" si="485"/>
        <v>18000000</v>
      </c>
      <c r="O511" s="199"/>
      <c r="P511" s="201">
        <v>0</v>
      </c>
      <c r="Q511" s="202">
        <v>15</v>
      </c>
      <c r="R511" s="203">
        <v>45566</v>
      </c>
      <c r="S511" s="199"/>
      <c r="T511" s="199">
        <v>18000000</v>
      </c>
      <c r="U511" s="204">
        <f t="shared" si="486"/>
        <v>18000000</v>
      </c>
      <c r="V511" s="205">
        <v>228</v>
      </c>
      <c r="W511" s="200">
        <v>45586</v>
      </c>
      <c r="X511" s="201"/>
      <c r="Y511" s="201">
        <v>-498100</v>
      </c>
      <c r="Z511" s="201">
        <f t="shared" si="487"/>
        <v>-498100</v>
      </c>
      <c r="AA511" s="198">
        <v>690</v>
      </c>
      <c r="AB511" s="206">
        <v>45622</v>
      </c>
      <c r="AC511" s="207"/>
      <c r="AD511" s="201">
        <f>+-3166523.6+-32221.04</f>
        <v>-3198744.64</v>
      </c>
      <c r="AE511" s="204">
        <f t="shared" si="488"/>
        <v>-3198744.64</v>
      </c>
      <c r="AF511" s="203">
        <f t="shared" si="489"/>
        <v>45566</v>
      </c>
      <c r="AG511" s="201">
        <f t="shared" si="490"/>
        <v>0</v>
      </c>
      <c r="AH511" s="201">
        <f t="shared" si="491"/>
        <v>14801255.359999999</v>
      </c>
      <c r="AI511" s="199">
        <f t="shared" si="492"/>
        <v>14801255.359999999</v>
      </c>
      <c r="AJ511" s="201">
        <f t="shared" si="477"/>
        <v>0</v>
      </c>
      <c r="AK511" s="201">
        <f t="shared" si="477"/>
        <v>14303155.359999999</v>
      </c>
      <c r="AL511" s="201">
        <f t="shared" si="493"/>
        <v>14303155.359999999</v>
      </c>
      <c r="AM511" s="205">
        <v>229</v>
      </c>
      <c r="AN511" s="200">
        <v>45586</v>
      </c>
      <c r="AO511" s="208">
        <v>498100</v>
      </c>
      <c r="AP511" s="201">
        <f t="shared" si="494"/>
        <v>0</v>
      </c>
      <c r="AQ511" s="201">
        <f t="shared" si="495"/>
        <v>12089031.389999999</v>
      </c>
      <c r="AR511" s="201">
        <f t="shared" si="496"/>
        <v>12089031.389999999</v>
      </c>
      <c r="AS511" s="201">
        <f t="shared" si="497"/>
        <v>81.675716660292778</v>
      </c>
      <c r="AT511" s="201"/>
      <c r="AU511" s="209">
        <v>11790100.609999999</v>
      </c>
      <c r="AV511" s="201">
        <f t="shared" si="498"/>
        <v>11790100.609999999</v>
      </c>
      <c r="AW511" s="201">
        <f t="shared" si="507"/>
        <v>10.4871964419465</v>
      </c>
      <c r="AX511" s="201">
        <f t="shared" si="499"/>
        <v>82.430067444922173</v>
      </c>
      <c r="AY511" s="208">
        <v>298930.77999999997</v>
      </c>
      <c r="AZ511" s="201">
        <f t="shared" si="500"/>
        <v>0</v>
      </c>
      <c r="BA511" s="201">
        <f t="shared" si="501"/>
        <v>33540</v>
      </c>
      <c r="BB511" s="201">
        <f t="shared" si="502"/>
        <v>33540</v>
      </c>
      <c r="BC511" s="201"/>
      <c r="BD511" s="209">
        <v>33540</v>
      </c>
      <c r="BE511" s="201">
        <f t="shared" si="478"/>
        <v>33540</v>
      </c>
      <c r="BF511" s="208"/>
      <c r="BG511" s="201">
        <f t="shared" si="509"/>
        <v>0</v>
      </c>
      <c r="BH511" s="201">
        <f t="shared" si="509"/>
        <v>12122571.389999999</v>
      </c>
      <c r="BI511" s="201">
        <f t="shared" si="503"/>
        <v>12122571.389999999</v>
      </c>
      <c r="BJ511" s="201">
        <f t="shared" si="504"/>
        <v>81.902319061131294</v>
      </c>
      <c r="BK511" s="210">
        <v>37</v>
      </c>
      <c r="BL511" s="210">
        <v>70</v>
      </c>
      <c r="BM511" s="211"/>
      <c r="BN511" s="214" t="s">
        <v>152</v>
      </c>
      <c r="BO511" s="212">
        <f t="shared" si="505"/>
        <v>0</v>
      </c>
      <c r="BP511" s="201">
        <f t="shared" si="506"/>
        <v>2712223.97</v>
      </c>
      <c r="BQ511" s="201">
        <f t="shared" si="479"/>
        <v>2712223.97</v>
      </c>
      <c r="BR511" s="201">
        <f t="shared" si="510"/>
        <v>0</v>
      </c>
      <c r="BS511" s="201">
        <f t="shared" si="510"/>
        <v>2513054.75</v>
      </c>
      <c r="BT511" s="201">
        <f t="shared" si="480"/>
        <v>2513054.75</v>
      </c>
      <c r="BU511" s="213">
        <f t="shared" si="508"/>
        <v>199169.22000000003</v>
      </c>
      <c r="BV511" s="201">
        <f>498100+3166523.6+32221.04</f>
        <v>3696844.64</v>
      </c>
      <c r="BW511" s="201"/>
      <c r="BX511" s="201">
        <f t="shared" si="481"/>
        <v>3696844.64</v>
      </c>
      <c r="BY511" s="199">
        <v>1500000</v>
      </c>
      <c r="BZ511" s="199">
        <v>2700000</v>
      </c>
      <c r="CA511" s="199">
        <v>2400000</v>
      </c>
      <c r="CB511" s="199">
        <v>2600000</v>
      </c>
      <c r="CC511" s="199">
        <v>2200000</v>
      </c>
      <c r="CD511" s="199">
        <v>2000000</v>
      </c>
      <c r="CE511" s="199">
        <v>1500000</v>
      </c>
      <c r="CF511" s="199">
        <v>1500000</v>
      </c>
      <c r="CG511" s="199">
        <v>400000</v>
      </c>
      <c r="CH511" s="199">
        <v>400000</v>
      </c>
      <c r="CI511" s="199">
        <v>400000</v>
      </c>
      <c r="CJ511" s="199">
        <v>400000</v>
      </c>
      <c r="CK511" s="214" t="s">
        <v>1283</v>
      </c>
      <c r="CL511" s="214" t="s">
        <v>610</v>
      </c>
      <c r="CM511" s="211">
        <v>198</v>
      </c>
      <c r="CN511" s="215"/>
      <c r="CO511" s="215"/>
      <c r="CP511" s="216"/>
      <c r="CQ511" s="217"/>
      <c r="CR511" s="211"/>
      <c r="CS511" s="218"/>
      <c r="CT511" s="218"/>
      <c r="CU511" s="218"/>
      <c r="CV511" s="211"/>
      <c r="CW511" s="211"/>
      <c r="CX511" s="211"/>
      <c r="CY511" s="211"/>
      <c r="CZ511" s="211"/>
      <c r="DA511" s="211"/>
      <c r="DB511" s="211"/>
      <c r="DC511" s="219"/>
      <c r="DD511" s="219"/>
      <c r="DE511" s="219"/>
      <c r="DF511" s="211"/>
      <c r="DG511" s="211"/>
      <c r="DH511" s="211"/>
      <c r="DI511" s="211"/>
      <c r="DJ511" s="211"/>
      <c r="DK511" s="220" t="s">
        <v>32</v>
      </c>
      <c r="DT511" s="222"/>
    </row>
    <row r="512" spans="1:124" s="176" customFormat="1" ht="42" x14ac:dyDescent="0.2">
      <c r="A512" s="195" t="s">
        <v>94</v>
      </c>
      <c r="B512" s="197" t="s">
        <v>1284</v>
      </c>
      <c r="C512" s="198">
        <v>1</v>
      </c>
      <c r="D512" s="199">
        <v>21000000</v>
      </c>
      <c r="E512" s="198" t="s">
        <v>159</v>
      </c>
      <c r="F512" s="198" t="s">
        <v>111</v>
      </c>
      <c r="G512" s="198" t="s">
        <v>98</v>
      </c>
      <c r="H512" s="200">
        <v>1</v>
      </c>
      <c r="I512" s="199">
        <f t="shared" si="482"/>
        <v>20640000</v>
      </c>
      <c r="J512" s="199">
        <f t="shared" si="483"/>
        <v>360000</v>
      </c>
      <c r="K512" s="199">
        <f t="shared" si="484"/>
        <v>21000000</v>
      </c>
      <c r="L512" s="199">
        <v>20640000</v>
      </c>
      <c r="M512" s="199">
        <f>270000+90000</f>
        <v>360000</v>
      </c>
      <c r="N512" s="199">
        <f t="shared" si="485"/>
        <v>21000000</v>
      </c>
      <c r="O512" s="199"/>
      <c r="P512" s="201">
        <v>0</v>
      </c>
      <c r="Q512" s="202">
        <v>13</v>
      </c>
      <c r="R512" s="203">
        <v>45566</v>
      </c>
      <c r="S512" s="199"/>
      <c r="T512" s="199">
        <v>90000</v>
      </c>
      <c r="U512" s="204">
        <f t="shared" si="486"/>
        <v>90000</v>
      </c>
      <c r="V512" s="205">
        <v>1099</v>
      </c>
      <c r="W512" s="200">
        <v>45667</v>
      </c>
      <c r="X512" s="201">
        <v>20299943</v>
      </c>
      <c r="Y512" s="201">
        <v>355249</v>
      </c>
      <c r="Z512" s="201">
        <f t="shared" si="487"/>
        <v>20655192</v>
      </c>
      <c r="AA512" s="198">
        <v>1341</v>
      </c>
      <c r="AB512" s="206">
        <v>45681</v>
      </c>
      <c r="AC512" s="207"/>
      <c r="AD512" s="201">
        <v>-90000</v>
      </c>
      <c r="AE512" s="204">
        <f t="shared" si="488"/>
        <v>-90000</v>
      </c>
      <c r="AF512" s="203">
        <f t="shared" si="489"/>
        <v>45566</v>
      </c>
      <c r="AG512" s="201">
        <f t="shared" si="490"/>
        <v>20299943</v>
      </c>
      <c r="AH512" s="201">
        <f t="shared" si="491"/>
        <v>355249</v>
      </c>
      <c r="AI512" s="199">
        <f t="shared" si="492"/>
        <v>20655192</v>
      </c>
      <c r="AJ512" s="201">
        <f t="shared" si="477"/>
        <v>20299943</v>
      </c>
      <c r="AK512" s="201">
        <f t="shared" si="477"/>
        <v>355249</v>
      </c>
      <c r="AL512" s="201">
        <f t="shared" si="493"/>
        <v>20655192</v>
      </c>
      <c r="AM512" s="198"/>
      <c r="AN512" s="203"/>
      <c r="AO512" s="208"/>
      <c r="AP512" s="201">
        <f t="shared" si="494"/>
        <v>0</v>
      </c>
      <c r="AQ512" s="201">
        <f t="shared" si="495"/>
        <v>339679</v>
      </c>
      <c r="AR512" s="201">
        <f t="shared" si="496"/>
        <v>339679</v>
      </c>
      <c r="AS512" s="201">
        <f t="shared" si="497"/>
        <v>1.6445211450951411</v>
      </c>
      <c r="AT512" s="201"/>
      <c r="AU512" s="209">
        <v>339679</v>
      </c>
      <c r="AV512" s="201">
        <f t="shared" si="498"/>
        <v>339679</v>
      </c>
      <c r="AW512" s="201">
        <f t="shared" si="507"/>
        <v>0</v>
      </c>
      <c r="AX512" s="201">
        <f t="shared" si="499"/>
        <v>1.6445211450951411</v>
      </c>
      <c r="AY512" s="208"/>
      <c r="AZ512" s="201">
        <f t="shared" si="500"/>
        <v>0</v>
      </c>
      <c r="BA512" s="201">
        <f t="shared" si="501"/>
        <v>20299943</v>
      </c>
      <c r="BB512" s="201">
        <f t="shared" si="502"/>
        <v>20299943</v>
      </c>
      <c r="BC512" s="201"/>
      <c r="BD512" s="209">
        <v>20299943</v>
      </c>
      <c r="BE512" s="201">
        <f t="shared" si="478"/>
        <v>20299943</v>
      </c>
      <c r="BF512" s="208"/>
      <c r="BG512" s="201">
        <f t="shared" si="509"/>
        <v>0</v>
      </c>
      <c r="BH512" s="201">
        <f t="shared" si="509"/>
        <v>20639622</v>
      </c>
      <c r="BI512" s="201">
        <f t="shared" si="503"/>
        <v>20639622</v>
      </c>
      <c r="BJ512" s="201">
        <f t="shared" si="504"/>
        <v>99.924619437088751</v>
      </c>
      <c r="BK512" s="210">
        <v>0</v>
      </c>
      <c r="BL512" s="210">
        <v>90</v>
      </c>
      <c r="BM512" s="211"/>
      <c r="BN512" s="211"/>
      <c r="BO512" s="212">
        <f t="shared" si="505"/>
        <v>20299943</v>
      </c>
      <c r="BP512" s="201">
        <f t="shared" si="506"/>
        <v>15570</v>
      </c>
      <c r="BQ512" s="201">
        <f t="shared" si="479"/>
        <v>20315513</v>
      </c>
      <c r="BR512" s="201">
        <f t="shared" si="510"/>
        <v>20299943</v>
      </c>
      <c r="BS512" s="201">
        <f t="shared" si="510"/>
        <v>15570</v>
      </c>
      <c r="BT512" s="201">
        <f t="shared" si="480"/>
        <v>20315513</v>
      </c>
      <c r="BU512" s="213">
        <f t="shared" si="508"/>
        <v>0</v>
      </c>
      <c r="BV512" s="201">
        <v>90000</v>
      </c>
      <c r="BW512" s="201"/>
      <c r="BX512" s="201">
        <f t="shared" si="481"/>
        <v>90000</v>
      </c>
      <c r="BY512" s="199">
        <v>0</v>
      </c>
      <c r="BZ512" s="199">
        <v>0</v>
      </c>
      <c r="CA512" s="199">
        <v>0</v>
      </c>
      <c r="CB512" s="199">
        <v>0</v>
      </c>
      <c r="CC512" s="199">
        <v>0</v>
      </c>
      <c r="CD512" s="199"/>
      <c r="CE512" s="199">
        <v>21000000</v>
      </c>
      <c r="CF512" s="199"/>
      <c r="CG512" s="199"/>
      <c r="CH512" s="199">
        <v>0</v>
      </c>
      <c r="CI512" s="199">
        <v>0</v>
      </c>
      <c r="CJ512" s="199">
        <v>0</v>
      </c>
      <c r="CK512" s="214"/>
      <c r="CL512" s="214"/>
      <c r="CM512" s="211">
        <v>191</v>
      </c>
      <c r="CN512" s="215"/>
      <c r="CO512" s="215"/>
      <c r="CP512" s="216"/>
      <c r="CQ512" s="329"/>
      <c r="CR512" s="330"/>
      <c r="CS512" s="331"/>
      <c r="CT512" s="331"/>
      <c r="CU512" s="331"/>
      <c r="CV512" s="330"/>
      <c r="CW512" s="330"/>
      <c r="CX512" s="330"/>
      <c r="CY512" s="330"/>
      <c r="CZ512" s="330"/>
      <c r="DA512" s="330"/>
      <c r="DB512" s="330"/>
      <c r="DC512" s="332"/>
      <c r="DD512" s="219"/>
      <c r="DE512" s="219"/>
      <c r="DF512" s="211"/>
      <c r="DG512" s="211"/>
      <c r="DH512" s="211"/>
      <c r="DI512" s="211"/>
      <c r="DJ512" s="211"/>
      <c r="DK512" s="220" t="s">
        <v>70</v>
      </c>
      <c r="DT512" s="222"/>
    </row>
    <row r="513" spans="1:124" s="176" customFormat="1" ht="42" x14ac:dyDescent="0.2">
      <c r="A513" s="195" t="s">
        <v>119</v>
      </c>
      <c r="B513" s="197" t="s">
        <v>1285</v>
      </c>
      <c r="C513" s="198">
        <v>1</v>
      </c>
      <c r="D513" s="199">
        <v>16000000</v>
      </c>
      <c r="E513" s="198" t="s">
        <v>186</v>
      </c>
      <c r="F513" s="198" t="s">
        <v>187</v>
      </c>
      <c r="G513" s="198" t="s">
        <v>123</v>
      </c>
      <c r="H513" s="200">
        <v>1</v>
      </c>
      <c r="I513" s="199">
        <f t="shared" si="482"/>
        <v>15730000</v>
      </c>
      <c r="J513" s="199">
        <f t="shared" si="483"/>
        <v>270000</v>
      </c>
      <c r="K513" s="199">
        <f t="shared" si="484"/>
        <v>16000000</v>
      </c>
      <c r="L513" s="199">
        <v>15730000</v>
      </c>
      <c r="M513" s="199">
        <v>270000</v>
      </c>
      <c r="N513" s="199">
        <f t="shared" si="485"/>
        <v>16000000</v>
      </c>
      <c r="O513" s="199"/>
      <c r="P513" s="201">
        <v>0</v>
      </c>
      <c r="Q513" s="202">
        <v>1099</v>
      </c>
      <c r="R513" s="203" t="s">
        <v>1286</v>
      </c>
      <c r="S513" s="199">
        <v>15699993</v>
      </c>
      <c r="T513" s="199">
        <v>274750</v>
      </c>
      <c r="U513" s="204">
        <f t="shared" si="486"/>
        <v>15974743</v>
      </c>
      <c r="V513" s="205"/>
      <c r="W513" s="200"/>
      <c r="X513" s="201"/>
      <c r="Y513" s="201"/>
      <c r="Z513" s="201">
        <f t="shared" si="487"/>
        <v>0</v>
      </c>
      <c r="AA513" s="198"/>
      <c r="AB513" s="206"/>
      <c r="AC513" s="207"/>
      <c r="AD513" s="201"/>
      <c r="AE513" s="204">
        <f t="shared" si="488"/>
        <v>0</v>
      </c>
      <c r="AF513" s="203" t="str">
        <f t="shared" si="489"/>
        <v>10/1/202</v>
      </c>
      <c r="AG513" s="201">
        <f t="shared" si="490"/>
        <v>15699993</v>
      </c>
      <c r="AH513" s="201">
        <f t="shared" si="491"/>
        <v>274750</v>
      </c>
      <c r="AI513" s="199">
        <f t="shared" si="492"/>
        <v>15974743</v>
      </c>
      <c r="AJ513" s="201">
        <f t="shared" si="477"/>
        <v>15699993</v>
      </c>
      <c r="AK513" s="201">
        <f t="shared" si="477"/>
        <v>274750</v>
      </c>
      <c r="AL513" s="201">
        <f t="shared" si="493"/>
        <v>15974743</v>
      </c>
      <c r="AM513" s="198"/>
      <c r="AN513" s="203"/>
      <c r="AO513" s="208"/>
      <c r="AP513" s="201">
        <f t="shared" si="494"/>
        <v>0</v>
      </c>
      <c r="AQ513" s="201">
        <f t="shared" si="495"/>
        <v>15850632.5</v>
      </c>
      <c r="AR513" s="201">
        <f t="shared" si="496"/>
        <v>15850632.5</v>
      </c>
      <c r="AS513" s="201">
        <f t="shared" si="497"/>
        <v>99.223082962899625</v>
      </c>
      <c r="AT513" s="201"/>
      <c r="AU513" s="209">
        <v>15850632.5</v>
      </c>
      <c r="AV513" s="201">
        <f t="shared" si="498"/>
        <v>15850632.5</v>
      </c>
      <c r="AW513" s="201">
        <f t="shared" si="507"/>
        <v>0</v>
      </c>
      <c r="AX513" s="201">
        <f t="shared" si="499"/>
        <v>99.223082962899625</v>
      </c>
      <c r="AY513" s="208"/>
      <c r="AZ513" s="201">
        <f t="shared" si="500"/>
        <v>0</v>
      </c>
      <c r="BA513" s="201">
        <f t="shared" si="501"/>
        <v>94102</v>
      </c>
      <c r="BB513" s="201">
        <f t="shared" si="502"/>
        <v>94102</v>
      </c>
      <c r="BC513" s="201"/>
      <c r="BD513" s="209">
        <v>94102</v>
      </c>
      <c r="BE513" s="201">
        <f t="shared" si="478"/>
        <v>94102</v>
      </c>
      <c r="BF513" s="208"/>
      <c r="BG513" s="201">
        <f t="shared" si="509"/>
        <v>0</v>
      </c>
      <c r="BH513" s="201">
        <f t="shared" si="509"/>
        <v>15944734.5</v>
      </c>
      <c r="BI513" s="201">
        <f t="shared" si="503"/>
        <v>15944734.5</v>
      </c>
      <c r="BJ513" s="201">
        <f t="shared" si="504"/>
        <v>99.812150342575151</v>
      </c>
      <c r="BK513" s="210">
        <v>0</v>
      </c>
      <c r="BL513" s="210">
        <v>90</v>
      </c>
      <c r="BM513" s="211"/>
      <c r="BN513" s="211"/>
      <c r="BO513" s="212">
        <f t="shared" si="505"/>
        <v>15699993</v>
      </c>
      <c r="BP513" s="201">
        <f t="shared" si="506"/>
        <v>-15575882.5</v>
      </c>
      <c r="BQ513" s="201">
        <f t="shared" si="479"/>
        <v>124110.5</v>
      </c>
      <c r="BR513" s="201">
        <f t="shared" si="510"/>
        <v>15699993</v>
      </c>
      <c r="BS513" s="201">
        <f t="shared" si="510"/>
        <v>-15575882.5</v>
      </c>
      <c r="BT513" s="201">
        <f t="shared" si="480"/>
        <v>124110.5</v>
      </c>
      <c r="BU513" s="213">
        <f t="shared" si="508"/>
        <v>0</v>
      </c>
      <c r="BV513" s="201"/>
      <c r="BW513" s="201"/>
      <c r="BX513" s="201">
        <f t="shared" si="481"/>
        <v>0</v>
      </c>
      <c r="BY513" s="199">
        <v>1500000</v>
      </c>
      <c r="BZ513" s="199">
        <v>4000000</v>
      </c>
      <c r="CA513" s="199">
        <v>2600000</v>
      </c>
      <c r="CB513" s="199">
        <v>2400000</v>
      </c>
      <c r="CC513" s="199">
        <v>4000000</v>
      </c>
      <c r="CD513" s="199">
        <v>1500000</v>
      </c>
      <c r="CE513" s="199">
        <v>0</v>
      </c>
      <c r="CF513" s="199">
        <v>0</v>
      </c>
      <c r="CG513" s="199">
        <v>0</v>
      </c>
      <c r="CH513" s="199">
        <v>0</v>
      </c>
      <c r="CI513" s="199">
        <v>0</v>
      </c>
      <c r="CJ513" s="199">
        <v>0</v>
      </c>
      <c r="CK513" s="214"/>
      <c r="CL513" s="214"/>
      <c r="CM513" s="211">
        <v>191</v>
      </c>
      <c r="CN513" s="215"/>
      <c r="CO513" s="215"/>
      <c r="CP513" s="216"/>
      <c r="CQ513" s="217"/>
      <c r="CR513" s="211"/>
      <c r="CS513" s="218"/>
      <c r="CT513" s="218"/>
      <c r="CU513" s="218"/>
      <c r="CV513" s="211"/>
      <c r="CW513" s="211"/>
      <c r="CX513" s="211"/>
      <c r="CY513" s="211"/>
      <c r="CZ513" s="211"/>
      <c r="DA513" s="211"/>
      <c r="DB513" s="211"/>
      <c r="DC513" s="219"/>
      <c r="DD513" s="219"/>
      <c r="DE513" s="219"/>
      <c r="DF513" s="211"/>
      <c r="DG513" s="211"/>
      <c r="DH513" s="211"/>
      <c r="DI513" s="211"/>
      <c r="DJ513" s="211"/>
      <c r="DK513" s="220" t="s">
        <v>70</v>
      </c>
      <c r="DT513" s="222"/>
    </row>
    <row r="514" spans="1:124" s="176" customFormat="1" ht="42" x14ac:dyDescent="0.2">
      <c r="A514" s="195" t="s">
        <v>94</v>
      </c>
      <c r="B514" s="197" t="s">
        <v>1287</v>
      </c>
      <c r="C514" s="198">
        <v>1</v>
      </c>
      <c r="D514" s="199">
        <v>11000000</v>
      </c>
      <c r="E514" s="198" t="s">
        <v>194</v>
      </c>
      <c r="F514" s="198" t="s">
        <v>195</v>
      </c>
      <c r="G514" s="198" t="s">
        <v>139</v>
      </c>
      <c r="H514" s="200">
        <v>1</v>
      </c>
      <c r="I514" s="199">
        <f t="shared" si="482"/>
        <v>10820000</v>
      </c>
      <c r="J514" s="199">
        <f t="shared" si="483"/>
        <v>180000</v>
      </c>
      <c r="K514" s="199">
        <f t="shared" si="484"/>
        <v>11000000</v>
      </c>
      <c r="L514" s="199">
        <v>10820000</v>
      </c>
      <c r="M514" s="199">
        <f>100000+80000</f>
        <v>180000</v>
      </c>
      <c r="N514" s="199">
        <f t="shared" si="485"/>
        <v>11000000</v>
      </c>
      <c r="O514" s="199"/>
      <c r="P514" s="201">
        <v>0</v>
      </c>
      <c r="Q514" s="202">
        <v>13</v>
      </c>
      <c r="R514" s="203">
        <v>45566</v>
      </c>
      <c r="S514" s="199"/>
      <c r="T514" s="199">
        <v>80000</v>
      </c>
      <c r="U514" s="204">
        <f t="shared" si="486"/>
        <v>80000</v>
      </c>
      <c r="V514" s="205">
        <v>1099</v>
      </c>
      <c r="W514" s="200">
        <v>45664</v>
      </c>
      <c r="X514" s="201">
        <v>10750036</v>
      </c>
      <c r="Y514" s="201">
        <v>169964</v>
      </c>
      <c r="Z514" s="201">
        <f t="shared" si="487"/>
        <v>10920000</v>
      </c>
      <c r="AA514" s="198">
        <v>1341</v>
      </c>
      <c r="AB514" s="206">
        <v>45681</v>
      </c>
      <c r="AC514" s="207"/>
      <c r="AD514" s="201">
        <v>-80000</v>
      </c>
      <c r="AE514" s="204">
        <f t="shared" si="488"/>
        <v>-80000</v>
      </c>
      <c r="AF514" s="203">
        <f t="shared" si="489"/>
        <v>45566</v>
      </c>
      <c r="AG514" s="201">
        <f t="shared" si="490"/>
        <v>10750036</v>
      </c>
      <c r="AH514" s="201">
        <f t="shared" si="491"/>
        <v>169964</v>
      </c>
      <c r="AI514" s="199">
        <f t="shared" si="492"/>
        <v>10920000</v>
      </c>
      <c r="AJ514" s="201">
        <f t="shared" si="477"/>
        <v>10750036</v>
      </c>
      <c r="AK514" s="201">
        <f t="shared" si="477"/>
        <v>169964</v>
      </c>
      <c r="AL514" s="201">
        <f t="shared" si="493"/>
        <v>10920000</v>
      </c>
      <c r="AM514" s="198"/>
      <c r="AN514" s="203"/>
      <c r="AO514" s="208"/>
      <c r="AP514" s="201">
        <f t="shared" si="494"/>
        <v>10750036</v>
      </c>
      <c r="AQ514" s="201">
        <f t="shared" si="495"/>
        <v>169853.22000000067</v>
      </c>
      <c r="AR514" s="201">
        <f t="shared" si="496"/>
        <v>10919889.220000001</v>
      </c>
      <c r="AS514" s="201">
        <f t="shared" si="497"/>
        <v>99.998985531135531</v>
      </c>
      <c r="AT514" s="201">
        <v>10750036</v>
      </c>
      <c r="AU514" s="209">
        <f>10919889.22-AT514</f>
        <v>169853.22000000067</v>
      </c>
      <c r="AV514" s="201">
        <f t="shared" si="498"/>
        <v>10919889.220000001</v>
      </c>
      <c r="AW514" s="201">
        <f t="shared" si="507"/>
        <v>0</v>
      </c>
      <c r="AX514" s="201">
        <f t="shared" si="499"/>
        <v>99.998985531135531</v>
      </c>
      <c r="AY514" s="208"/>
      <c r="AZ514" s="201">
        <f t="shared" si="500"/>
        <v>0</v>
      </c>
      <c r="BA514" s="201">
        <f t="shared" si="501"/>
        <v>0</v>
      </c>
      <c r="BB514" s="201">
        <f t="shared" si="502"/>
        <v>0</v>
      </c>
      <c r="BC514" s="201"/>
      <c r="BD514" s="209">
        <v>0</v>
      </c>
      <c r="BE514" s="201">
        <f t="shared" si="478"/>
        <v>0</v>
      </c>
      <c r="BF514" s="208"/>
      <c r="BG514" s="201">
        <f t="shared" si="509"/>
        <v>10750036</v>
      </c>
      <c r="BH514" s="201">
        <f t="shared" si="509"/>
        <v>169853.22000000067</v>
      </c>
      <c r="BI514" s="201">
        <f t="shared" si="503"/>
        <v>10919889.220000001</v>
      </c>
      <c r="BJ514" s="201">
        <f t="shared" si="504"/>
        <v>99.998985531135531</v>
      </c>
      <c r="BK514" s="210">
        <v>0</v>
      </c>
      <c r="BL514" s="210">
        <v>90</v>
      </c>
      <c r="BM514" s="211"/>
      <c r="BN514" s="211"/>
      <c r="BO514" s="212">
        <f t="shared" si="505"/>
        <v>0</v>
      </c>
      <c r="BP514" s="201">
        <f t="shared" si="506"/>
        <v>110.77999999932945</v>
      </c>
      <c r="BQ514" s="201">
        <f t="shared" si="479"/>
        <v>110.77999999932945</v>
      </c>
      <c r="BR514" s="201">
        <f t="shared" si="510"/>
        <v>0</v>
      </c>
      <c r="BS514" s="201">
        <f t="shared" si="510"/>
        <v>110.77999999932945</v>
      </c>
      <c r="BT514" s="201">
        <f t="shared" si="480"/>
        <v>110.77999999932945</v>
      </c>
      <c r="BU514" s="213">
        <f t="shared" si="508"/>
        <v>0</v>
      </c>
      <c r="BV514" s="201">
        <v>80000</v>
      </c>
      <c r="BW514" s="201"/>
      <c r="BX514" s="201">
        <f t="shared" si="481"/>
        <v>80000</v>
      </c>
      <c r="BY514" s="199">
        <v>0</v>
      </c>
      <c r="BZ514" s="199">
        <v>0</v>
      </c>
      <c r="CA514" s="199">
        <v>0</v>
      </c>
      <c r="CB514" s="199"/>
      <c r="CC514" s="199">
        <v>0</v>
      </c>
      <c r="CD514" s="199">
        <v>11000000</v>
      </c>
      <c r="CE514" s="199"/>
      <c r="CF514" s="199"/>
      <c r="CG514" s="199"/>
      <c r="CH514" s="199"/>
      <c r="CI514" s="199">
        <v>0</v>
      </c>
      <c r="CJ514" s="199">
        <v>0</v>
      </c>
      <c r="CK514" s="214" t="s">
        <v>1288</v>
      </c>
      <c r="CL514" s="214" t="s">
        <v>1289</v>
      </c>
      <c r="CM514" s="211">
        <v>189</v>
      </c>
      <c r="CN514" s="215"/>
      <c r="CO514" s="215"/>
      <c r="CP514" s="216"/>
      <c r="CQ514" s="217"/>
      <c r="CR514" s="211"/>
      <c r="CS514" s="218"/>
      <c r="CT514" s="218"/>
      <c r="CU514" s="218"/>
      <c r="CV514" s="211"/>
      <c r="CW514" s="211"/>
      <c r="CX514" s="211"/>
      <c r="CY514" s="211"/>
      <c r="CZ514" s="211"/>
      <c r="DA514" s="211"/>
      <c r="DB514" s="211"/>
      <c r="DC514" s="219"/>
      <c r="DD514" s="219"/>
      <c r="DE514" s="219"/>
      <c r="DF514" s="211"/>
      <c r="DG514" s="211"/>
      <c r="DH514" s="211"/>
      <c r="DI514" s="211"/>
      <c r="DJ514" s="211"/>
      <c r="DK514" s="220" t="s">
        <v>70</v>
      </c>
      <c r="DT514" s="222"/>
    </row>
    <row r="515" spans="1:124" s="176" customFormat="1" ht="42" x14ac:dyDescent="0.2">
      <c r="A515" s="195" t="s">
        <v>154</v>
      </c>
      <c r="B515" s="197" t="s">
        <v>1290</v>
      </c>
      <c r="C515" s="198">
        <v>1</v>
      </c>
      <c r="D515" s="199">
        <v>18000000</v>
      </c>
      <c r="E515" s="198" t="s">
        <v>199</v>
      </c>
      <c r="F515" s="198" t="s">
        <v>150</v>
      </c>
      <c r="G515" s="198" t="s">
        <v>151</v>
      </c>
      <c r="H515" s="200">
        <v>1</v>
      </c>
      <c r="I515" s="199">
        <f t="shared" si="482"/>
        <v>9842000</v>
      </c>
      <c r="J515" s="199">
        <f t="shared" si="483"/>
        <v>8158000</v>
      </c>
      <c r="K515" s="199">
        <f t="shared" si="484"/>
        <v>18000000</v>
      </c>
      <c r="L515" s="199">
        <v>9842000</v>
      </c>
      <c r="M515" s="199">
        <f>168178+7989822</f>
        <v>8158000</v>
      </c>
      <c r="N515" s="199">
        <f t="shared" si="485"/>
        <v>18000000</v>
      </c>
      <c r="O515" s="199"/>
      <c r="P515" s="201">
        <v>0</v>
      </c>
      <c r="Q515" s="202">
        <v>13</v>
      </c>
      <c r="R515" s="203">
        <v>45566</v>
      </c>
      <c r="S515" s="199"/>
      <c r="T515" s="199">
        <v>7989822</v>
      </c>
      <c r="U515" s="204">
        <f t="shared" si="486"/>
        <v>7989822</v>
      </c>
      <c r="V515" s="205">
        <v>228</v>
      </c>
      <c r="W515" s="200">
        <v>45586</v>
      </c>
      <c r="X515" s="201"/>
      <c r="Y515" s="201">
        <v>-301800</v>
      </c>
      <c r="Z515" s="201">
        <f t="shared" si="487"/>
        <v>-301800</v>
      </c>
      <c r="AA515" s="198">
        <v>423</v>
      </c>
      <c r="AB515" s="206">
        <v>45602</v>
      </c>
      <c r="AC515" s="207">
        <v>8737144</v>
      </c>
      <c r="AD515" s="201">
        <f>152900+-389332.86+-8789+-1070</f>
        <v>-246291.86</v>
      </c>
      <c r="AE515" s="204">
        <f t="shared" si="488"/>
        <v>8490852.1400000006</v>
      </c>
      <c r="AF515" s="203">
        <f t="shared" si="489"/>
        <v>45566</v>
      </c>
      <c r="AG515" s="201">
        <f t="shared" si="490"/>
        <v>8737144</v>
      </c>
      <c r="AH515" s="201">
        <f t="shared" si="491"/>
        <v>7743530.1399999997</v>
      </c>
      <c r="AI515" s="199">
        <f t="shared" si="492"/>
        <v>16480674.140000001</v>
      </c>
      <c r="AJ515" s="201">
        <f t="shared" si="477"/>
        <v>8737144</v>
      </c>
      <c r="AK515" s="201">
        <f t="shared" si="477"/>
        <v>7441730.1399999997</v>
      </c>
      <c r="AL515" s="201">
        <f t="shared" si="493"/>
        <v>16178874.140000001</v>
      </c>
      <c r="AM515" s="205">
        <v>229</v>
      </c>
      <c r="AN515" s="200">
        <v>45586</v>
      </c>
      <c r="AO515" s="208">
        <v>301800</v>
      </c>
      <c r="AP515" s="201">
        <f t="shared" si="494"/>
        <v>0</v>
      </c>
      <c r="AQ515" s="201">
        <f t="shared" si="495"/>
        <v>16266041.99</v>
      </c>
      <c r="AR515" s="201">
        <f t="shared" si="496"/>
        <v>16266041.99</v>
      </c>
      <c r="AS515" s="201">
        <f t="shared" si="497"/>
        <v>98.697673722708529</v>
      </c>
      <c r="AT515" s="201"/>
      <c r="AU515" s="223">
        <v>16032776.640000001</v>
      </c>
      <c r="AV515" s="201">
        <f t="shared" si="498"/>
        <v>16032776.640000001</v>
      </c>
      <c r="AW515" s="201">
        <f t="shared" si="507"/>
        <v>9.271349705919647</v>
      </c>
      <c r="AX515" s="201">
        <f t="shared" si="499"/>
        <v>99.096985990892932</v>
      </c>
      <c r="AY515" s="208">
        <v>233265.35</v>
      </c>
      <c r="AZ515" s="201">
        <f t="shared" si="500"/>
        <v>0</v>
      </c>
      <c r="BA515" s="201">
        <f t="shared" si="501"/>
        <v>56200</v>
      </c>
      <c r="BB515" s="201">
        <f t="shared" si="502"/>
        <v>56200</v>
      </c>
      <c r="BC515" s="201"/>
      <c r="BD515" s="223">
        <v>56200</v>
      </c>
      <c r="BE515" s="201">
        <f t="shared" si="478"/>
        <v>56200</v>
      </c>
      <c r="BF515" s="208"/>
      <c r="BG515" s="201">
        <f t="shared" si="509"/>
        <v>0</v>
      </c>
      <c r="BH515" s="201">
        <f t="shared" si="509"/>
        <v>16322241.99</v>
      </c>
      <c r="BI515" s="201">
        <f t="shared" si="503"/>
        <v>16322241.99</v>
      </c>
      <c r="BJ515" s="201">
        <f t="shared" si="504"/>
        <v>99.03867919082586</v>
      </c>
      <c r="BK515" s="210">
        <v>5</v>
      </c>
      <c r="BL515" s="210">
        <v>90</v>
      </c>
      <c r="BM515" s="211"/>
      <c r="BN515" s="214" t="s">
        <v>152</v>
      </c>
      <c r="BO515" s="212">
        <f t="shared" si="505"/>
        <v>8737144</v>
      </c>
      <c r="BP515" s="201">
        <f t="shared" si="506"/>
        <v>-8522511.8499999996</v>
      </c>
      <c r="BQ515" s="201">
        <f t="shared" si="479"/>
        <v>214632.15000000037</v>
      </c>
      <c r="BR515" s="201">
        <f t="shared" si="510"/>
        <v>8737144</v>
      </c>
      <c r="BS515" s="201">
        <f t="shared" si="510"/>
        <v>-8591046.5</v>
      </c>
      <c r="BT515" s="201">
        <f t="shared" si="480"/>
        <v>146097.5</v>
      </c>
      <c r="BU515" s="213">
        <f t="shared" si="508"/>
        <v>68534.649999999994</v>
      </c>
      <c r="BV515" s="201">
        <f>301800+389332.86+8789+1070</f>
        <v>700991.86</v>
      </c>
      <c r="BW515" s="201"/>
      <c r="BX515" s="201">
        <f t="shared" si="481"/>
        <v>700991.86</v>
      </c>
      <c r="BY515" s="199">
        <v>1800000</v>
      </c>
      <c r="BZ515" s="199">
        <v>1800000</v>
      </c>
      <c r="CA515" s="199">
        <v>1800000</v>
      </c>
      <c r="CB515" s="199">
        <v>1500000</v>
      </c>
      <c r="CC515" s="199">
        <v>1500000</v>
      </c>
      <c r="CD515" s="199">
        <v>1500000</v>
      </c>
      <c r="CE515" s="199">
        <v>1500000</v>
      </c>
      <c r="CF515" s="199">
        <v>1500000</v>
      </c>
      <c r="CG515" s="199">
        <v>1500000</v>
      </c>
      <c r="CH515" s="199">
        <v>1500000</v>
      </c>
      <c r="CI515" s="199">
        <v>1500000</v>
      </c>
      <c r="CJ515" s="199">
        <v>600000</v>
      </c>
      <c r="CK515" s="214" t="s">
        <v>1291</v>
      </c>
      <c r="CL515" s="214" t="s">
        <v>1289</v>
      </c>
      <c r="CM515" s="211">
        <v>189</v>
      </c>
      <c r="CN515" s="215"/>
      <c r="CO515" s="215"/>
      <c r="CP515" s="216"/>
      <c r="CQ515" s="217"/>
      <c r="CR515" s="211"/>
      <c r="CS515" s="218"/>
      <c r="CT515" s="218"/>
      <c r="CU515" s="218"/>
      <c r="CV515" s="211"/>
      <c r="CW515" s="211"/>
      <c r="CX515" s="211"/>
      <c r="CY515" s="211"/>
      <c r="CZ515" s="211"/>
      <c r="DA515" s="211"/>
      <c r="DB515" s="211"/>
      <c r="DC515" s="219"/>
      <c r="DD515" s="219"/>
      <c r="DE515" s="219"/>
      <c r="DF515" s="211"/>
      <c r="DG515" s="211"/>
      <c r="DH515" s="211"/>
      <c r="DI515" s="211"/>
      <c r="DJ515" s="211"/>
      <c r="DK515" s="220" t="s">
        <v>53</v>
      </c>
      <c r="DT515" s="222"/>
    </row>
    <row r="516" spans="1:124" s="194" customFormat="1" x14ac:dyDescent="0.2">
      <c r="A516" s="177" t="s">
        <v>90</v>
      </c>
      <c r="B516" s="179" t="s">
        <v>1292</v>
      </c>
      <c r="C516" s="180">
        <f>SUBTOTAL(103,C517:C529)</f>
        <v>13</v>
      </c>
      <c r="D516" s="181">
        <f>SUBTOTAL(109,D517:D529)</f>
        <v>22105000</v>
      </c>
      <c r="E516" s="182"/>
      <c r="F516" s="182"/>
      <c r="G516" s="182"/>
      <c r="H516" s="180">
        <f>SUBTOTAL(103,H517:H529)</f>
        <v>13</v>
      </c>
      <c r="I516" s="181">
        <f t="shared" ref="I516:AE516" si="511">SUBTOTAL(109,I517:I529)</f>
        <v>1360000</v>
      </c>
      <c r="J516" s="181">
        <f t="shared" si="511"/>
        <v>20745000</v>
      </c>
      <c r="K516" s="181">
        <f t="shared" si="511"/>
        <v>22105000</v>
      </c>
      <c r="L516" s="181">
        <f t="shared" si="511"/>
        <v>1360000</v>
      </c>
      <c r="M516" s="181">
        <f t="shared" si="511"/>
        <v>20745000</v>
      </c>
      <c r="N516" s="181">
        <f t="shared" si="511"/>
        <v>22105000</v>
      </c>
      <c r="O516" s="181">
        <f t="shared" si="511"/>
        <v>0</v>
      </c>
      <c r="P516" s="183">
        <f t="shared" si="511"/>
        <v>0</v>
      </c>
      <c r="Q516" s="182">
        <f t="shared" si="511"/>
        <v>2678</v>
      </c>
      <c r="R516" s="185">
        <f t="shared" si="511"/>
        <v>592579</v>
      </c>
      <c r="S516" s="184">
        <f t="shared" si="511"/>
        <v>1360000</v>
      </c>
      <c r="T516" s="184">
        <f t="shared" si="511"/>
        <v>20745000</v>
      </c>
      <c r="U516" s="184">
        <f t="shared" si="511"/>
        <v>22105000</v>
      </c>
      <c r="V516" s="180">
        <f t="shared" si="511"/>
        <v>7428</v>
      </c>
      <c r="W516" s="185">
        <f t="shared" si="511"/>
        <v>137481</v>
      </c>
      <c r="X516" s="184">
        <f t="shared" si="511"/>
        <v>0</v>
      </c>
      <c r="Y516" s="181">
        <f t="shared" si="511"/>
        <v>-279364.98</v>
      </c>
      <c r="Z516" s="184">
        <f t="shared" si="511"/>
        <v>-279364.98</v>
      </c>
      <c r="AA516" s="182">
        <f t="shared" si="511"/>
        <v>0</v>
      </c>
      <c r="AB516" s="185">
        <f t="shared" si="511"/>
        <v>0</v>
      </c>
      <c r="AC516" s="184">
        <f t="shared" si="511"/>
        <v>0</v>
      </c>
      <c r="AD516" s="184">
        <f t="shared" si="511"/>
        <v>0</v>
      </c>
      <c r="AE516" s="184">
        <f t="shared" si="511"/>
        <v>0</v>
      </c>
      <c r="AF516" s="180">
        <f>SUBTOTAL(103,Q517:Q529)</f>
        <v>13</v>
      </c>
      <c r="AG516" s="183">
        <f t="shared" ref="AG516:AR516" si="512">SUBTOTAL(109,AG517:AG529)</f>
        <v>1360000</v>
      </c>
      <c r="AH516" s="184">
        <f t="shared" si="512"/>
        <v>20465635.02</v>
      </c>
      <c r="AI516" s="184">
        <f t="shared" si="512"/>
        <v>21825635.02</v>
      </c>
      <c r="AJ516" s="183">
        <f t="shared" si="512"/>
        <v>1360000</v>
      </c>
      <c r="AK516" s="183">
        <f t="shared" si="512"/>
        <v>20465635.02</v>
      </c>
      <c r="AL516" s="183">
        <f t="shared" si="512"/>
        <v>21825635.02</v>
      </c>
      <c r="AM516" s="182">
        <f t="shared" si="512"/>
        <v>0</v>
      </c>
      <c r="AN516" s="185">
        <f t="shared" si="512"/>
        <v>0</v>
      </c>
      <c r="AO516" s="186">
        <f t="shared" si="512"/>
        <v>0</v>
      </c>
      <c r="AP516" s="183">
        <f t="shared" si="512"/>
        <v>0</v>
      </c>
      <c r="AQ516" s="183">
        <f t="shared" si="512"/>
        <v>13999231.59</v>
      </c>
      <c r="AR516" s="183">
        <f t="shared" si="512"/>
        <v>13999231.59</v>
      </c>
      <c r="AS516" s="183">
        <f>IF(AI516= 0,0,(AR516*100/AI516))</f>
        <v>64.141233815977188</v>
      </c>
      <c r="AT516" s="183">
        <f>SUBTOTAL(109,AT517:AT529)</f>
        <v>0</v>
      </c>
      <c r="AU516" s="187">
        <f>SUBTOTAL(109,AU517:AU529)</f>
        <v>13999231.59</v>
      </c>
      <c r="AV516" s="183">
        <f>SUBTOTAL(109,AV517:AV529)</f>
        <v>13999231.59</v>
      </c>
      <c r="AW516" s="183"/>
      <c r="AX516" s="183">
        <f>IF(AL516= 0,0,(AV516*100/AL516))</f>
        <v>64.141233815977188</v>
      </c>
      <c r="AY516" s="186">
        <f t="shared" ref="AY516:BI516" si="513">SUBTOTAL(109,AY517:AY529)</f>
        <v>0</v>
      </c>
      <c r="AZ516" s="183">
        <f t="shared" si="513"/>
        <v>0</v>
      </c>
      <c r="BA516" s="183">
        <f t="shared" si="513"/>
        <v>5464878.8399999999</v>
      </c>
      <c r="BB516" s="183">
        <f t="shared" si="513"/>
        <v>5464878.8399999999</v>
      </c>
      <c r="BC516" s="183">
        <f t="shared" si="513"/>
        <v>0</v>
      </c>
      <c r="BD516" s="187">
        <f>SUBTOTAL(109,BD517:BD529)</f>
        <v>5464878.8399999999</v>
      </c>
      <c r="BE516" s="183">
        <f t="shared" si="513"/>
        <v>5464878.8399999999</v>
      </c>
      <c r="BF516" s="186">
        <f t="shared" si="513"/>
        <v>0</v>
      </c>
      <c r="BG516" s="183">
        <f t="shared" si="513"/>
        <v>0</v>
      </c>
      <c r="BH516" s="183">
        <f t="shared" si="513"/>
        <v>19464110.43</v>
      </c>
      <c r="BI516" s="183">
        <f t="shared" si="513"/>
        <v>19464110.43</v>
      </c>
      <c r="BJ516" s="183">
        <f t="shared" si="504"/>
        <v>89.180041781895426</v>
      </c>
      <c r="BK516" s="188"/>
      <c r="BL516" s="188"/>
      <c r="BM516" s="189"/>
      <c r="BN516" s="189"/>
      <c r="BO516" s="190">
        <f t="shared" ref="BO516:BU516" si="514">SUBTOTAL(109,BO517:BO529)</f>
        <v>1360000</v>
      </c>
      <c r="BP516" s="183">
        <f t="shared" si="514"/>
        <v>6466403.4300000006</v>
      </c>
      <c r="BQ516" s="183">
        <f t="shared" si="514"/>
        <v>7826403.4300000006</v>
      </c>
      <c r="BR516" s="183">
        <f t="shared" si="514"/>
        <v>1360000</v>
      </c>
      <c r="BS516" s="183">
        <f t="shared" si="514"/>
        <v>6466403.4300000006</v>
      </c>
      <c r="BT516" s="183">
        <f t="shared" si="514"/>
        <v>7826403.4300000006</v>
      </c>
      <c r="BU516" s="191">
        <f t="shared" si="514"/>
        <v>0</v>
      </c>
      <c r="BV516" s="183"/>
      <c r="BW516" s="183"/>
      <c r="BX516" s="183">
        <f t="shared" ref="BX516" si="515">SUM(BV516:BW516)</f>
        <v>0</v>
      </c>
      <c r="BY516" s="181"/>
      <c r="BZ516" s="181"/>
      <c r="CA516" s="181"/>
      <c r="CB516" s="181"/>
      <c r="CC516" s="181"/>
      <c r="CD516" s="181"/>
      <c r="CE516" s="181"/>
      <c r="CF516" s="181"/>
      <c r="CG516" s="181"/>
      <c r="CH516" s="181"/>
      <c r="CI516" s="181"/>
      <c r="CJ516" s="181"/>
      <c r="CK516" s="192"/>
      <c r="CL516" s="192"/>
      <c r="CM516" s="193"/>
      <c r="CN516" s="242"/>
      <c r="CO516" s="242"/>
      <c r="CP516" s="243"/>
      <c r="CQ516" s="244"/>
      <c r="CR516" s="193"/>
      <c r="CS516" s="245"/>
      <c r="CT516" s="245"/>
      <c r="CU516" s="245"/>
      <c r="CV516" s="193"/>
      <c r="CW516" s="193"/>
      <c r="CX516" s="193"/>
      <c r="CY516" s="193"/>
      <c r="CZ516" s="193"/>
      <c r="DA516" s="193"/>
      <c r="DB516" s="193"/>
      <c r="DC516" s="246"/>
      <c r="DD516" s="246"/>
      <c r="DE516" s="246"/>
      <c r="DF516" s="193"/>
      <c r="DG516" s="193"/>
      <c r="DH516" s="193"/>
      <c r="DI516" s="193"/>
      <c r="DJ516" s="193"/>
      <c r="DK516" s="135"/>
      <c r="DT516" s="222"/>
    </row>
    <row r="517" spans="1:124" s="176" customFormat="1" x14ac:dyDescent="0.2">
      <c r="A517" s="195" t="s">
        <v>108</v>
      </c>
      <c r="B517" s="197" t="s">
        <v>1293</v>
      </c>
      <c r="C517" s="198">
        <v>1</v>
      </c>
      <c r="D517" s="199">
        <v>5200000</v>
      </c>
      <c r="E517" s="198" t="s">
        <v>288</v>
      </c>
      <c r="F517" s="198" t="s">
        <v>285</v>
      </c>
      <c r="G517" s="198" t="s">
        <v>98</v>
      </c>
      <c r="H517" s="200">
        <v>1</v>
      </c>
      <c r="I517" s="199">
        <f t="shared" ref="I517:I529" si="516">+L517</f>
        <v>0</v>
      </c>
      <c r="J517" s="199">
        <f t="shared" ref="J517:J529" si="517">+O517+M517+P517</f>
        <v>5200000</v>
      </c>
      <c r="K517" s="199">
        <f t="shared" ref="K517:K529" si="518">I517+J517</f>
        <v>5200000</v>
      </c>
      <c r="L517" s="199"/>
      <c r="M517" s="199">
        <v>5200000</v>
      </c>
      <c r="N517" s="199">
        <f t="shared" ref="N517:N529" si="519">L517+M517</f>
        <v>5200000</v>
      </c>
      <c r="O517" s="199"/>
      <c r="P517" s="201">
        <v>0</v>
      </c>
      <c r="Q517" s="202">
        <v>206</v>
      </c>
      <c r="R517" s="203">
        <v>45583</v>
      </c>
      <c r="S517" s="204"/>
      <c r="T517" s="199">
        <v>5200000</v>
      </c>
      <c r="U517" s="199">
        <f t="shared" ref="U517:U529" si="520">S517+T517</f>
        <v>5200000</v>
      </c>
      <c r="V517" s="205">
        <v>2476</v>
      </c>
      <c r="W517" s="200">
        <v>45827</v>
      </c>
      <c r="X517" s="201"/>
      <c r="Y517" s="201">
        <v>-229872.34</v>
      </c>
      <c r="Z517" s="201">
        <f t="shared" ref="Z517:Z529" si="521">X517+Y517</f>
        <v>-229872.34</v>
      </c>
      <c r="AA517" s="198"/>
      <c r="AB517" s="206"/>
      <c r="AC517" s="207"/>
      <c r="AD517" s="201"/>
      <c r="AE517" s="204">
        <f t="shared" ref="AE517:AE529" si="522">AC517+AD517</f>
        <v>0</v>
      </c>
      <c r="AF517" s="203">
        <f t="shared" ref="AF517:AF529" si="523">+R517</f>
        <v>45583</v>
      </c>
      <c r="AG517" s="201">
        <f t="shared" ref="AG517:AG529" si="524">+AJ517</f>
        <v>0</v>
      </c>
      <c r="AH517" s="199">
        <f t="shared" ref="AH517:AH529" si="525">+AK517+AO517</f>
        <v>4970127.66</v>
      </c>
      <c r="AI517" s="199">
        <f t="shared" ref="AI517:AI529" si="526">AG517+AH517</f>
        <v>4970127.66</v>
      </c>
      <c r="AJ517" s="201">
        <f t="shared" ref="AJ517:AK529" si="527">+S517+X517+AC517</f>
        <v>0</v>
      </c>
      <c r="AK517" s="201">
        <f t="shared" si="527"/>
        <v>4970127.66</v>
      </c>
      <c r="AL517" s="201">
        <f t="shared" ref="AL517:AL529" si="528">SUM(AJ517:AK517)</f>
        <v>4970127.66</v>
      </c>
      <c r="AM517" s="202"/>
      <c r="AN517" s="203"/>
      <c r="AO517" s="208"/>
      <c r="AP517" s="201">
        <f t="shared" ref="AP517:AP529" si="529">+AT517</f>
        <v>0</v>
      </c>
      <c r="AQ517" s="201">
        <f t="shared" ref="AQ517:AQ529" si="530">+AU517+AY517</f>
        <v>13999231.59</v>
      </c>
      <c r="AR517" s="201">
        <f t="shared" ref="AR517:AR529" si="531">SUM(AP517:AQ517)</f>
        <v>13999231.59</v>
      </c>
      <c r="AS517" s="201">
        <f t="shared" ref="AS517:AS529" si="532">IF(AI517= 0,0,(AR517*100/AI517))</f>
        <v>281.66744493641437</v>
      </c>
      <c r="AT517" s="201"/>
      <c r="AU517" s="223">
        <v>13999231.59</v>
      </c>
      <c r="AV517" s="201">
        <f t="shared" ref="AV517:AV529" si="533">SUM(AT517:AU517)</f>
        <v>13999231.59</v>
      </c>
      <c r="AW517" s="201">
        <f>+CF517*100/AL517</f>
        <v>0</v>
      </c>
      <c r="AX517" s="201">
        <f t="shared" ref="AX517:AX529" si="534">IF(AL517= 0,0,(AV517*100/AL517))</f>
        <v>281.66744493641437</v>
      </c>
      <c r="AY517" s="208"/>
      <c r="AZ517" s="201">
        <f t="shared" ref="AZ517:AZ529" si="535">+BC517</f>
        <v>0</v>
      </c>
      <c r="BA517" s="201">
        <f t="shared" ref="BA517:BA529" si="536">+BD517+BF517</f>
        <v>5464878.8399999999</v>
      </c>
      <c r="BB517" s="201">
        <f t="shared" ref="BB517:BB529" si="537">SUM(AZ517:BA517)</f>
        <v>5464878.8399999999</v>
      </c>
      <c r="BC517" s="201"/>
      <c r="BD517" s="223">
        <v>5464878.8399999999</v>
      </c>
      <c r="BE517" s="201">
        <f t="shared" ref="BE517:BE529" si="538">SUM(BC517:BD517)</f>
        <v>5464878.8399999999</v>
      </c>
      <c r="BF517" s="208"/>
      <c r="BG517" s="201">
        <f t="shared" ref="BG517:BH529" si="539">+AP517+AZ517</f>
        <v>0</v>
      </c>
      <c r="BH517" s="201">
        <f>+AQ517+BA517</f>
        <v>19464110.43</v>
      </c>
      <c r="BI517" s="201">
        <f t="shared" ref="BI517:BI529" si="540">SUM(BG517:BH517)</f>
        <v>19464110.43</v>
      </c>
      <c r="BJ517" s="201">
        <f t="shared" si="504"/>
        <v>391.62194135673366</v>
      </c>
      <c r="BK517" s="210">
        <v>89</v>
      </c>
      <c r="BL517" s="210"/>
      <c r="BM517" s="211" t="s">
        <v>1294</v>
      </c>
      <c r="BN517" s="211"/>
      <c r="BO517" s="212">
        <f t="shared" ref="BO517:BO529" si="541">+BR517</f>
        <v>0</v>
      </c>
      <c r="BP517" s="201">
        <f t="shared" ref="BP517:BP529" si="542">+BS517+BU517</f>
        <v>-9029103.9299999997</v>
      </c>
      <c r="BQ517" s="201">
        <f t="shared" ref="BQ517" si="543">SUM(BO517:BP517)</f>
        <v>-9029103.9299999997</v>
      </c>
      <c r="BR517" s="201">
        <f t="shared" ref="BR517:BS529" si="544">+AJ517-AT517</f>
        <v>0</v>
      </c>
      <c r="BS517" s="201">
        <f t="shared" si="544"/>
        <v>-9029103.9299999997</v>
      </c>
      <c r="BT517" s="201">
        <f t="shared" ref="BT517:BT518" si="545">SUM(BR517:BS517)</f>
        <v>-9029103.9299999997</v>
      </c>
      <c r="BU517" s="213">
        <f>+AO517-AY517</f>
        <v>0</v>
      </c>
      <c r="BV517" s="201">
        <v>229872.34</v>
      </c>
      <c r="BW517" s="201"/>
      <c r="BX517" s="201">
        <f t="shared" ref="BX517:BX518" si="546">SUM(BV517:BW517)</f>
        <v>229872.34</v>
      </c>
      <c r="BY517" s="333">
        <v>1240000</v>
      </c>
      <c r="BZ517" s="333">
        <v>4130000</v>
      </c>
      <c r="CA517" s="333">
        <v>5200000</v>
      </c>
      <c r="CB517" s="333"/>
      <c r="CC517" s="333"/>
      <c r="CD517" s="333"/>
      <c r="CE517" s="333"/>
      <c r="CF517" s="333"/>
      <c r="CG517" s="333"/>
      <c r="CH517" s="333"/>
      <c r="CI517" s="333"/>
      <c r="CJ517" s="333"/>
      <c r="CK517" s="214" t="s">
        <v>1295</v>
      </c>
      <c r="CL517" s="214" t="s">
        <v>610</v>
      </c>
      <c r="CM517" s="211">
        <v>198</v>
      </c>
      <c r="CN517" s="215"/>
      <c r="CO517" s="215">
        <v>500</v>
      </c>
      <c r="CP517" s="216">
        <v>150</v>
      </c>
      <c r="CQ517" s="217"/>
      <c r="CR517" s="211"/>
      <c r="CS517" s="218"/>
      <c r="CT517" s="218"/>
      <c r="CU517" s="218"/>
      <c r="CV517" s="211"/>
      <c r="CW517" s="211"/>
      <c r="CX517" s="211"/>
      <c r="CY517" s="211"/>
      <c r="CZ517" s="211"/>
      <c r="DA517" s="211"/>
      <c r="DB517" s="211"/>
      <c r="DC517" s="219"/>
      <c r="DD517" s="219"/>
      <c r="DE517" s="219"/>
      <c r="DF517" s="211"/>
      <c r="DG517" s="211"/>
      <c r="DH517" s="211"/>
      <c r="DI517" s="211"/>
      <c r="DJ517" s="211"/>
      <c r="DK517" s="220" t="s">
        <v>32</v>
      </c>
      <c r="DT517" s="222"/>
    </row>
    <row r="518" spans="1:124" s="176" customFormat="1" ht="42" x14ac:dyDescent="0.2">
      <c r="A518" s="195" t="s">
        <v>108</v>
      </c>
      <c r="B518" s="197" t="s">
        <v>1296</v>
      </c>
      <c r="C518" s="198">
        <v>1</v>
      </c>
      <c r="D518" s="199">
        <v>1200000</v>
      </c>
      <c r="E518" s="198" t="s">
        <v>653</v>
      </c>
      <c r="F518" s="198" t="s">
        <v>106</v>
      </c>
      <c r="G518" s="198" t="s">
        <v>98</v>
      </c>
      <c r="H518" s="200">
        <v>1</v>
      </c>
      <c r="I518" s="199">
        <f t="shared" si="516"/>
        <v>0</v>
      </c>
      <c r="J518" s="199">
        <f t="shared" si="517"/>
        <v>1200000</v>
      </c>
      <c r="K518" s="199">
        <f t="shared" si="518"/>
        <v>1200000</v>
      </c>
      <c r="L518" s="199"/>
      <c r="M518" s="199">
        <v>1200000</v>
      </c>
      <c r="N518" s="199">
        <f t="shared" si="519"/>
        <v>1200000</v>
      </c>
      <c r="O518" s="199"/>
      <c r="P518" s="201">
        <v>0</v>
      </c>
      <c r="Q518" s="202">
        <v>206</v>
      </c>
      <c r="R518" s="203">
        <v>45583</v>
      </c>
      <c r="S518" s="204"/>
      <c r="T518" s="199">
        <v>1200000</v>
      </c>
      <c r="U518" s="199">
        <f t="shared" si="520"/>
        <v>1200000</v>
      </c>
      <c r="V518" s="205"/>
      <c r="W518" s="200"/>
      <c r="X518" s="201"/>
      <c r="Y518" s="201"/>
      <c r="Z518" s="201">
        <f t="shared" si="521"/>
        <v>0</v>
      </c>
      <c r="AA518" s="198"/>
      <c r="AB518" s="206"/>
      <c r="AC518" s="207"/>
      <c r="AD518" s="201"/>
      <c r="AE518" s="204">
        <f t="shared" si="522"/>
        <v>0</v>
      </c>
      <c r="AF518" s="203">
        <f t="shared" si="523"/>
        <v>45583</v>
      </c>
      <c r="AG518" s="201">
        <f t="shared" si="524"/>
        <v>0</v>
      </c>
      <c r="AH518" s="199">
        <f t="shared" si="525"/>
        <v>1200000</v>
      </c>
      <c r="AI518" s="199">
        <f t="shared" si="526"/>
        <v>1200000</v>
      </c>
      <c r="AJ518" s="201">
        <f t="shared" si="527"/>
        <v>0</v>
      </c>
      <c r="AK518" s="201">
        <f t="shared" si="527"/>
        <v>1200000</v>
      </c>
      <c r="AL518" s="201">
        <f t="shared" si="528"/>
        <v>1200000</v>
      </c>
      <c r="AM518" s="202"/>
      <c r="AN518" s="203"/>
      <c r="AO518" s="208"/>
      <c r="AP518" s="201">
        <f t="shared" si="529"/>
        <v>0</v>
      </c>
      <c r="AQ518" s="201">
        <f t="shared" si="530"/>
        <v>0</v>
      </c>
      <c r="AR518" s="201">
        <f t="shared" si="531"/>
        <v>0</v>
      </c>
      <c r="AS518" s="201">
        <f t="shared" si="532"/>
        <v>0</v>
      </c>
      <c r="AT518" s="201"/>
      <c r="AU518" s="209"/>
      <c r="AV518" s="201">
        <f t="shared" si="533"/>
        <v>0</v>
      </c>
      <c r="AW518" s="201">
        <f>+CF518*100/AL518</f>
        <v>0</v>
      </c>
      <c r="AX518" s="201">
        <f t="shared" si="534"/>
        <v>0</v>
      </c>
      <c r="AY518" s="208"/>
      <c r="AZ518" s="201">
        <f t="shared" si="535"/>
        <v>0</v>
      </c>
      <c r="BA518" s="201">
        <f t="shared" si="536"/>
        <v>0</v>
      </c>
      <c r="BB518" s="201">
        <f t="shared" si="537"/>
        <v>0</v>
      </c>
      <c r="BC518" s="201"/>
      <c r="BD518" s="209"/>
      <c r="BE518" s="201">
        <f t="shared" si="538"/>
        <v>0</v>
      </c>
      <c r="BF518" s="208"/>
      <c r="BG518" s="201">
        <f t="shared" si="539"/>
        <v>0</v>
      </c>
      <c r="BH518" s="201">
        <f>+AQ518+BA518</f>
        <v>0</v>
      </c>
      <c r="BI518" s="201">
        <f t="shared" si="540"/>
        <v>0</v>
      </c>
      <c r="BJ518" s="201">
        <f t="shared" si="504"/>
        <v>0</v>
      </c>
      <c r="BK518" s="210"/>
      <c r="BL518" s="210"/>
      <c r="BM518" s="211" t="s">
        <v>1294</v>
      </c>
      <c r="BN518" s="214"/>
      <c r="BO518" s="212">
        <f t="shared" si="541"/>
        <v>0</v>
      </c>
      <c r="BP518" s="201">
        <f t="shared" si="542"/>
        <v>1200000</v>
      </c>
      <c r="BQ518" s="201">
        <f t="shared" ref="BQ518" si="547">SUM(BO518:BP518)</f>
        <v>1200000</v>
      </c>
      <c r="BR518" s="201">
        <f t="shared" si="544"/>
        <v>0</v>
      </c>
      <c r="BS518" s="201">
        <f t="shared" si="544"/>
        <v>1200000</v>
      </c>
      <c r="BT518" s="201">
        <f t="shared" si="545"/>
        <v>1200000</v>
      </c>
      <c r="BU518" s="213">
        <f>+AO518-AY518</f>
        <v>0</v>
      </c>
      <c r="BV518" s="201"/>
      <c r="BW518" s="201"/>
      <c r="BX518" s="201">
        <f t="shared" si="546"/>
        <v>0</v>
      </c>
      <c r="BY518" s="333">
        <v>120000</v>
      </c>
      <c r="BZ518" s="333">
        <v>240000</v>
      </c>
      <c r="CA518" s="333">
        <v>470000</v>
      </c>
      <c r="CB518" s="333">
        <v>700000</v>
      </c>
      <c r="CC518" s="333">
        <v>930000</v>
      </c>
      <c r="CD518" s="333">
        <v>1160000</v>
      </c>
      <c r="CE518" s="333">
        <v>1200000</v>
      </c>
      <c r="CF518" s="333"/>
      <c r="CG518" s="333"/>
      <c r="CH518" s="333"/>
      <c r="CI518" s="333"/>
      <c r="CJ518" s="333"/>
      <c r="CK518" s="214" t="s">
        <v>1295</v>
      </c>
      <c r="CL518" s="214" t="s">
        <v>610</v>
      </c>
      <c r="CM518" s="211">
        <v>198</v>
      </c>
      <c r="CN518" s="215"/>
      <c r="CO518" s="215">
        <v>500</v>
      </c>
      <c r="CP518" s="216">
        <v>60</v>
      </c>
      <c r="CQ518" s="217"/>
      <c r="CR518" s="211"/>
      <c r="CS518" s="218"/>
      <c r="CT518" s="218"/>
      <c r="CU518" s="218"/>
      <c r="CV518" s="211"/>
      <c r="CW518" s="211"/>
      <c r="CX518" s="211"/>
      <c r="CY518" s="211"/>
      <c r="CZ518" s="211"/>
      <c r="DA518" s="211"/>
      <c r="DB518" s="211"/>
      <c r="DC518" s="219"/>
      <c r="DD518" s="219"/>
      <c r="DE518" s="219"/>
      <c r="DF518" s="211"/>
      <c r="DG518" s="211"/>
      <c r="DH518" s="211"/>
      <c r="DI518" s="211"/>
      <c r="DJ518" s="211"/>
      <c r="DK518" s="220" t="s">
        <v>32</v>
      </c>
      <c r="DT518" s="222"/>
    </row>
    <row r="519" spans="1:124" s="176" customFormat="1" ht="42" x14ac:dyDescent="0.2">
      <c r="A519" s="195" t="s">
        <v>108</v>
      </c>
      <c r="B519" s="197" t="s">
        <v>1297</v>
      </c>
      <c r="C519" s="198">
        <v>1</v>
      </c>
      <c r="D519" s="199">
        <v>1760000</v>
      </c>
      <c r="E519" s="198" t="s">
        <v>741</v>
      </c>
      <c r="F519" s="198" t="s">
        <v>241</v>
      </c>
      <c r="G519" s="198" t="s">
        <v>98</v>
      </c>
      <c r="H519" s="200">
        <v>1</v>
      </c>
      <c r="I519" s="199">
        <f t="shared" si="516"/>
        <v>0</v>
      </c>
      <c r="J519" s="199">
        <f t="shared" si="517"/>
        <v>1760000</v>
      </c>
      <c r="K519" s="199">
        <f t="shared" si="518"/>
        <v>1760000</v>
      </c>
      <c r="L519" s="199"/>
      <c r="M519" s="199">
        <v>1760000</v>
      </c>
      <c r="N519" s="199">
        <f t="shared" si="519"/>
        <v>1760000</v>
      </c>
      <c r="O519" s="199"/>
      <c r="P519" s="201">
        <v>0</v>
      </c>
      <c r="Q519" s="202">
        <v>206</v>
      </c>
      <c r="R519" s="203">
        <v>45583</v>
      </c>
      <c r="S519" s="204"/>
      <c r="T519" s="199">
        <v>1760000</v>
      </c>
      <c r="U519" s="199">
        <f t="shared" si="520"/>
        <v>1760000</v>
      </c>
      <c r="V519" s="205"/>
      <c r="W519" s="200"/>
      <c r="X519" s="201"/>
      <c r="Y519" s="201"/>
      <c r="Z519" s="201">
        <f t="shared" si="521"/>
        <v>0</v>
      </c>
      <c r="AA519" s="198"/>
      <c r="AB519" s="206"/>
      <c r="AC519" s="207"/>
      <c r="AD519" s="201"/>
      <c r="AE519" s="204">
        <f t="shared" si="522"/>
        <v>0</v>
      </c>
      <c r="AF519" s="203">
        <f t="shared" si="523"/>
        <v>45583</v>
      </c>
      <c r="AG519" s="201">
        <f t="shared" si="524"/>
        <v>0</v>
      </c>
      <c r="AH519" s="199">
        <f t="shared" si="525"/>
        <v>1760000</v>
      </c>
      <c r="AI519" s="199">
        <f t="shared" si="526"/>
        <v>1760000</v>
      </c>
      <c r="AJ519" s="201">
        <f t="shared" si="527"/>
        <v>0</v>
      </c>
      <c r="AK519" s="201">
        <f t="shared" si="527"/>
        <v>1760000</v>
      </c>
      <c r="AL519" s="201">
        <f t="shared" si="528"/>
        <v>1760000</v>
      </c>
      <c r="AM519" s="202"/>
      <c r="AN519" s="203"/>
      <c r="AO519" s="208"/>
      <c r="AP519" s="201">
        <f t="shared" si="529"/>
        <v>0</v>
      </c>
      <c r="AQ519" s="201">
        <f t="shared" si="530"/>
        <v>0</v>
      </c>
      <c r="AR519" s="201">
        <f t="shared" si="531"/>
        <v>0</v>
      </c>
      <c r="AS519" s="201">
        <f t="shared" si="532"/>
        <v>0</v>
      </c>
      <c r="AT519" s="201"/>
      <c r="AU519" s="223"/>
      <c r="AV519" s="201">
        <f t="shared" si="533"/>
        <v>0</v>
      </c>
      <c r="AW519" s="201">
        <f t="shared" ref="AW519:AW529" si="548">+CF519*100/AL519</f>
        <v>0</v>
      </c>
      <c r="AX519" s="201">
        <f t="shared" si="534"/>
        <v>0</v>
      </c>
      <c r="AY519" s="208"/>
      <c r="AZ519" s="201">
        <f t="shared" si="535"/>
        <v>0</v>
      </c>
      <c r="BA519" s="201">
        <f t="shared" si="536"/>
        <v>0</v>
      </c>
      <c r="BB519" s="201">
        <f t="shared" si="537"/>
        <v>0</v>
      </c>
      <c r="BC519" s="201"/>
      <c r="BD519" s="223"/>
      <c r="BE519" s="201">
        <f t="shared" si="538"/>
        <v>0</v>
      </c>
      <c r="BF519" s="208"/>
      <c r="BG519" s="201">
        <f t="shared" si="539"/>
        <v>0</v>
      </c>
      <c r="BH519" s="201">
        <f t="shared" si="539"/>
        <v>0</v>
      </c>
      <c r="BI519" s="201">
        <f t="shared" si="540"/>
        <v>0</v>
      </c>
      <c r="BJ519" s="201">
        <f t="shared" si="504"/>
        <v>0</v>
      </c>
      <c r="BK519" s="210"/>
      <c r="BL519" s="210"/>
      <c r="BM519" s="211" t="s">
        <v>1294</v>
      </c>
      <c r="BN519" s="211"/>
      <c r="BO519" s="212">
        <f t="shared" si="541"/>
        <v>0</v>
      </c>
      <c r="BP519" s="201">
        <f t="shared" si="542"/>
        <v>1760000</v>
      </c>
      <c r="BQ519" s="201">
        <f t="shared" ref="BQ519:BQ529" si="549">SUM(BO519:BP519)</f>
        <v>1760000</v>
      </c>
      <c r="BR519" s="201">
        <f t="shared" si="544"/>
        <v>0</v>
      </c>
      <c r="BS519" s="201">
        <f t="shared" si="544"/>
        <v>1760000</v>
      </c>
      <c r="BT519" s="201">
        <f t="shared" ref="BT519:BT529" si="550">SUM(BR519:BS519)</f>
        <v>1760000</v>
      </c>
      <c r="BU519" s="213">
        <f t="shared" ref="BU519:BU529" si="551">+AO519-AY519</f>
        <v>0</v>
      </c>
      <c r="BV519" s="201"/>
      <c r="BW519" s="201"/>
      <c r="BX519" s="201">
        <f t="shared" ref="BX519:BX529" si="552">SUM(BV519:BW519)</f>
        <v>0</v>
      </c>
      <c r="BY519" s="333">
        <v>630000</v>
      </c>
      <c r="BZ519" s="333">
        <v>1205000</v>
      </c>
      <c r="CA519" s="333">
        <v>1760000</v>
      </c>
      <c r="CB519" s="333"/>
      <c r="CC519" s="333"/>
      <c r="CD519" s="333"/>
      <c r="CE519" s="333"/>
      <c r="CF519" s="333"/>
      <c r="CG519" s="333"/>
      <c r="CH519" s="333"/>
      <c r="CI519" s="333"/>
      <c r="CJ519" s="333"/>
      <c r="CK519" s="214" t="s">
        <v>1295</v>
      </c>
      <c r="CL519" s="214" t="s">
        <v>610</v>
      </c>
      <c r="CM519" s="211">
        <v>198</v>
      </c>
      <c r="CN519" s="215"/>
      <c r="CO519" s="215">
        <v>1000</v>
      </c>
      <c r="CP519" s="216">
        <v>100</v>
      </c>
      <c r="CQ519" s="217"/>
      <c r="CR519" s="211"/>
      <c r="CS519" s="218"/>
      <c r="CT519" s="218"/>
      <c r="CU519" s="218"/>
      <c r="CV519" s="211"/>
      <c r="CW519" s="211"/>
      <c r="CX519" s="211"/>
      <c r="CY519" s="211"/>
      <c r="CZ519" s="211"/>
      <c r="DA519" s="211"/>
      <c r="DB519" s="211"/>
      <c r="DC519" s="219"/>
      <c r="DD519" s="219"/>
      <c r="DE519" s="219"/>
      <c r="DF519" s="211"/>
      <c r="DG519" s="211"/>
      <c r="DH519" s="211"/>
      <c r="DI519" s="211"/>
      <c r="DJ519" s="211"/>
      <c r="DK519" s="220" t="s">
        <v>32</v>
      </c>
      <c r="DT519" s="222"/>
    </row>
    <row r="520" spans="1:124" s="176" customFormat="1" x14ac:dyDescent="0.2">
      <c r="A520" s="195" t="s">
        <v>108</v>
      </c>
      <c r="B520" s="197" t="s">
        <v>1298</v>
      </c>
      <c r="C520" s="198">
        <v>1</v>
      </c>
      <c r="D520" s="199">
        <v>2200000</v>
      </c>
      <c r="E520" s="198" t="s">
        <v>351</v>
      </c>
      <c r="F520" s="198" t="s">
        <v>230</v>
      </c>
      <c r="G520" s="198" t="s">
        <v>98</v>
      </c>
      <c r="H520" s="200">
        <v>1</v>
      </c>
      <c r="I520" s="199">
        <f t="shared" si="516"/>
        <v>460000</v>
      </c>
      <c r="J520" s="199">
        <f t="shared" si="517"/>
        <v>1740000</v>
      </c>
      <c r="K520" s="199">
        <f t="shared" si="518"/>
        <v>2200000</v>
      </c>
      <c r="L520" s="199">
        <v>460000</v>
      </c>
      <c r="M520" s="199">
        <v>1740000</v>
      </c>
      <c r="N520" s="199">
        <f t="shared" si="519"/>
        <v>2200000</v>
      </c>
      <c r="O520" s="199"/>
      <c r="P520" s="201">
        <v>0</v>
      </c>
      <c r="Q520" s="202">
        <v>206</v>
      </c>
      <c r="R520" s="203">
        <v>45583</v>
      </c>
      <c r="S520" s="204">
        <v>460000</v>
      </c>
      <c r="T520" s="199">
        <v>1740000</v>
      </c>
      <c r="U520" s="199">
        <f t="shared" si="520"/>
        <v>2200000</v>
      </c>
      <c r="V520" s="205"/>
      <c r="W520" s="200"/>
      <c r="X520" s="201"/>
      <c r="Y520" s="201"/>
      <c r="Z520" s="201">
        <f t="shared" si="521"/>
        <v>0</v>
      </c>
      <c r="AA520" s="198"/>
      <c r="AB520" s="206"/>
      <c r="AC520" s="207"/>
      <c r="AD520" s="201"/>
      <c r="AE520" s="204">
        <f t="shared" si="522"/>
        <v>0</v>
      </c>
      <c r="AF520" s="203">
        <f t="shared" si="523"/>
        <v>45583</v>
      </c>
      <c r="AG520" s="201">
        <f t="shared" si="524"/>
        <v>460000</v>
      </c>
      <c r="AH520" s="199">
        <f t="shared" si="525"/>
        <v>1740000</v>
      </c>
      <c r="AI520" s="199">
        <f t="shared" si="526"/>
        <v>2200000</v>
      </c>
      <c r="AJ520" s="201">
        <f t="shared" si="527"/>
        <v>460000</v>
      </c>
      <c r="AK520" s="201">
        <f t="shared" si="527"/>
        <v>1740000</v>
      </c>
      <c r="AL520" s="201">
        <f t="shared" si="528"/>
        <v>2200000</v>
      </c>
      <c r="AM520" s="202"/>
      <c r="AN520" s="203"/>
      <c r="AO520" s="208"/>
      <c r="AP520" s="201">
        <f t="shared" si="529"/>
        <v>0</v>
      </c>
      <c r="AQ520" s="201">
        <f t="shared" si="530"/>
        <v>0</v>
      </c>
      <c r="AR520" s="201">
        <f t="shared" si="531"/>
        <v>0</v>
      </c>
      <c r="AS520" s="201">
        <f t="shared" si="532"/>
        <v>0</v>
      </c>
      <c r="AT520" s="201"/>
      <c r="AU520" s="209"/>
      <c r="AV520" s="201">
        <f t="shared" si="533"/>
        <v>0</v>
      </c>
      <c r="AW520" s="201">
        <f t="shared" si="548"/>
        <v>0</v>
      </c>
      <c r="AX520" s="201">
        <f t="shared" si="534"/>
        <v>0</v>
      </c>
      <c r="AY520" s="208"/>
      <c r="AZ520" s="201">
        <f t="shared" si="535"/>
        <v>0</v>
      </c>
      <c r="BA520" s="201">
        <f t="shared" si="536"/>
        <v>0</v>
      </c>
      <c r="BB520" s="201">
        <f t="shared" si="537"/>
        <v>0</v>
      </c>
      <c r="BC520" s="201"/>
      <c r="BD520" s="209"/>
      <c r="BE520" s="201">
        <f t="shared" si="538"/>
        <v>0</v>
      </c>
      <c r="BF520" s="208"/>
      <c r="BG520" s="201">
        <f t="shared" si="539"/>
        <v>0</v>
      </c>
      <c r="BH520" s="201">
        <f t="shared" si="539"/>
        <v>0</v>
      </c>
      <c r="BI520" s="201">
        <f t="shared" si="540"/>
        <v>0</v>
      </c>
      <c r="BJ520" s="201">
        <f t="shared" si="504"/>
        <v>0</v>
      </c>
      <c r="BK520" s="210"/>
      <c r="BL520" s="210"/>
      <c r="BM520" s="211" t="s">
        <v>1294</v>
      </c>
      <c r="BN520" s="211"/>
      <c r="BO520" s="212">
        <f t="shared" si="541"/>
        <v>460000</v>
      </c>
      <c r="BP520" s="201">
        <f t="shared" si="542"/>
        <v>1740000</v>
      </c>
      <c r="BQ520" s="201">
        <f t="shared" si="549"/>
        <v>2200000</v>
      </c>
      <c r="BR520" s="201">
        <f t="shared" si="544"/>
        <v>460000</v>
      </c>
      <c r="BS520" s="201">
        <f t="shared" si="544"/>
        <v>1740000</v>
      </c>
      <c r="BT520" s="201">
        <f t="shared" si="550"/>
        <v>2200000</v>
      </c>
      <c r="BU520" s="213">
        <f t="shared" si="551"/>
        <v>0</v>
      </c>
      <c r="BV520" s="201"/>
      <c r="BW520" s="201"/>
      <c r="BX520" s="201">
        <f t="shared" si="552"/>
        <v>0</v>
      </c>
      <c r="BY520" s="333">
        <v>343000</v>
      </c>
      <c r="BZ520" s="333">
        <v>1386000</v>
      </c>
      <c r="CA520" s="333">
        <v>2200000</v>
      </c>
      <c r="CB520" s="333"/>
      <c r="CC520" s="333"/>
      <c r="CD520" s="333"/>
      <c r="CE520" s="333"/>
      <c r="CF520" s="333"/>
      <c r="CG520" s="333"/>
      <c r="CH520" s="333"/>
      <c r="CI520" s="333"/>
      <c r="CJ520" s="333"/>
      <c r="CK520" s="214" t="s">
        <v>1295</v>
      </c>
      <c r="CL520" s="214" t="s">
        <v>610</v>
      </c>
      <c r="CM520" s="211">
        <v>198</v>
      </c>
      <c r="CN520" s="215"/>
      <c r="CO520" s="215">
        <v>200</v>
      </c>
      <c r="CP520" s="216">
        <v>298</v>
      </c>
      <c r="CQ520" s="217"/>
      <c r="CR520" s="211"/>
      <c r="CS520" s="218"/>
      <c r="CT520" s="218"/>
      <c r="CU520" s="218"/>
      <c r="CV520" s="211"/>
      <c r="CW520" s="211"/>
      <c r="CX520" s="211"/>
      <c r="CY520" s="211"/>
      <c r="CZ520" s="211"/>
      <c r="DA520" s="211"/>
      <c r="DB520" s="211"/>
      <c r="DC520" s="219"/>
      <c r="DD520" s="219"/>
      <c r="DE520" s="219"/>
      <c r="DF520" s="211"/>
      <c r="DG520" s="211"/>
      <c r="DH520" s="211"/>
      <c r="DI520" s="211"/>
      <c r="DJ520" s="211"/>
      <c r="DK520" s="220" t="s">
        <v>53</v>
      </c>
      <c r="DT520" s="222"/>
    </row>
    <row r="521" spans="1:124" s="176" customFormat="1" x14ac:dyDescent="0.2">
      <c r="A521" s="195" t="s">
        <v>108</v>
      </c>
      <c r="B521" s="197" t="s">
        <v>1299</v>
      </c>
      <c r="C521" s="198">
        <v>1</v>
      </c>
      <c r="D521" s="199">
        <v>1300000</v>
      </c>
      <c r="E521" s="198" t="s">
        <v>714</v>
      </c>
      <c r="F521" s="198" t="s">
        <v>106</v>
      </c>
      <c r="G521" s="198" t="s">
        <v>98</v>
      </c>
      <c r="H521" s="200">
        <v>1</v>
      </c>
      <c r="I521" s="199">
        <f t="shared" si="516"/>
        <v>0</v>
      </c>
      <c r="J521" s="199">
        <f t="shared" si="517"/>
        <v>1300000</v>
      </c>
      <c r="K521" s="199">
        <f t="shared" si="518"/>
        <v>1300000</v>
      </c>
      <c r="L521" s="199"/>
      <c r="M521" s="199">
        <v>1300000</v>
      </c>
      <c r="N521" s="199">
        <f t="shared" si="519"/>
        <v>1300000</v>
      </c>
      <c r="O521" s="199"/>
      <c r="P521" s="201">
        <v>0</v>
      </c>
      <c r="Q521" s="202">
        <v>206</v>
      </c>
      <c r="R521" s="203">
        <v>45583</v>
      </c>
      <c r="S521" s="204"/>
      <c r="T521" s="199">
        <v>1300000</v>
      </c>
      <c r="U521" s="199">
        <f t="shared" si="520"/>
        <v>1300000</v>
      </c>
      <c r="V521" s="205">
        <v>2476</v>
      </c>
      <c r="W521" s="200">
        <v>45827</v>
      </c>
      <c r="X521" s="201"/>
      <c r="Y521" s="201">
        <v>-7852</v>
      </c>
      <c r="Z521" s="201">
        <f t="shared" si="521"/>
        <v>-7852</v>
      </c>
      <c r="AA521" s="198"/>
      <c r="AB521" s="206"/>
      <c r="AC521" s="207"/>
      <c r="AD521" s="201"/>
      <c r="AE521" s="204">
        <f t="shared" si="522"/>
        <v>0</v>
      </c>
      <c r="AF521" s="203">
        <f t="shared" si="523"/>
        <v>45583</v>
      </c>
      <c r="AG521" s="201">
        <f t="shared" si="524"/>
        <v>0</v>
      </c>
      <c r="AH521" s="199">
        <f t="shared" si="525"/>
        <v>1292148</v>
      </c>
      <c r="AI521" s="199">
        <f t="shared" si="526"/>
        <v>1292148</v>
      </c>
      <c r="AJ521" s="201">
        <f t="shared" si="527"/>
        <v>0</v>
      </c>
      <c r="AK521" s="201">
        <f t="shared" si="527"/>
        <v>1292148</v>
      </c>
      <c r="AL521" s="201">
        <f t="shared" si="528"/>
        <v>1292148</v>
      </c>
      <c r="AM521" s="202"/>
      <c r="AN521" s="203"/>
      <c r="AO521" s="208"/>
      <c r="AP521" s="201">
        <f t="shared" si="529"/>
        <v>0</v>
      </c>
      <c r="AQ521" s="201">
        <f t="shared" si="530"/>
        <v>0</v>
      </c>
      <c r="AR521" s="201">
        <f t="shared" si="531"/>
        <v>0</v>
      </c>
      <c r="AS521" s="201">
        <f t="shared" si="532"/>
        <v>0</v>
      </c>
      <c r="AT521" s="201"/>
      <c r="AU521" s="209"/>
      <c r="AV521" s="201">
        <f t="shared" si="533"/>
        <v>0</v>
      </c>
      <c r="AW521" s="201">
        <f t="shared" si="548"/>
        <v>0</v>
      </c>
      <c r="AX521" s="201">
        <f t="shared" si="534"/>
        <v>0</v>
      </c>
      <c r="AY521" s="208"/>
      <c r="AZ521" s="201">
        <f t="shared" si="535"/>
        <v>0</v>
      </c>
      <c r="BA521" s="201">
        <f t="shared" si="536"/>
        <v>0</v>
      </c>
      <c r="BB521" s="201">
        <f t="shared" si="537"/>
        <v>0</v>
      </c>
      <c r="BC521" s="201"/>
      <c r="BD521" s="209"/>
      <c r="BE521" s="201">
        <f t="shared" si="538"/>
        <v>0</v>
      </c>
      <c r="BF521" s="208"/>
      <c r="BG521" s="201">
        <f t="shared" si="539"/>
        <v>0</v>
      </c>
      <c r="BH521" s="201">
        <f t="shared" si="539"/>
        <v>0</v>
      </c>
      <c r="BI521" s="201">
        <f t="shared" si="540"/>
        <v>0</v>
      </c>
      <c r="BJ521" s="201">
        <f t="shared" si="504"/>
        <v>0</v>
      </c>
      <c r="BK521" s="210"/>
      <c r="BL521" s="210"/>
      <c r="BM521" s="211" t="s">
        <v>1294</v>
      </c>
      <c r="BN521" s="211"/>
      <c r="BO521" s="212">
        <f t="shared" si="541"/>
        <v>0</v>
      </c>
      <c r="BP521" s="201">
        <f t="shared" si="542"/>
        <v>1292148</v>
      </c>
      <c r="BQ521" s="201">
        <f t="shared" si="549"/>
        <v>1292148</v>
      </c>
      <c r="BR521" s="201">
        <f t="shared" si="544"/>
        <v>0</v>
      </c>
      <c r="BS521" s="201">
        <f t="shared" si="544"/>
        <v>1292148</v>
      </c>
      <c r="BT521" s="201">
        <f t="shared" si="550"/>
        <v>1292148</v>
      </c>
      <c r="BU521" s="213">
        <f t="shared" si="551"/>
        <v>0</v>
      </c>
      <c r="BV521" s="201">
        <v>7852</v>
      </c>
      <c r="BW521" s="201"/>
      <c r="BX521" s="201">
        <f t="shared" si="552"/>
        <v>7852</v>
      </c>
      <c r="BY521" s="333">
        <v>60000</v>
      </c>
      <c r="BZ521" s="333">
        <v>170000</v>
      </c>
      <c r="CA521" s="333">
        <v>340000</v>
      </c>
      <c r="CB521" s="333">
        <v>560000</v>
      </c>
      <c r="CC521" s="333">
        <v>810000</v>
      </c>
      <c r="CD521" s="333">
        <v>1050000</v>
      </c>
      <c r="CE521" s="333">
        <v>1300000</v>
      </c>
      <c r="CF521" s="333"/>
      <c r="CG521" s="333"/>
      <c r="CH521" s="333"/>
      <c r="CI521" s="333"/>
      <c r="CJ521" s="333"/>
      <c r="CK521" s="214" t="s">
        <v>1295</v>
      </c>
      <c r="CL521" s="214" t="s">
        <v>610</v>
      </c>
      <c r="CM521" s="211">
        <v>198</v>
      </c>
      <c r="CN521" s="215"/>
      <c r="CO521" s="215">
        <v>600</v>
      </c>
      <c r="CP521" s="216">
        <v>578</v>
      </c>
      <c r="CQ521" s="217"/>
      <c r="CR521" s="211"/>
      <c r="CS521" s="218"/>
      <c r="CT521" s="218"/>
      <c r="CU521" s="218"/>
      <c r="CV521" s="211"/>
      <c r="CW521" s="211"/>
      <c r="CX521" s="211"/>
      <c r="CY521" s="211"/>
      <c r="CZ521" s="211"/>
      <c r="DA521" s="211"/>
      <c r="DB521" s="211"/>
      <c r="DC521" s="219"/>
      <c r="DD521" s="219"/>
      <c r="DE521" s="219"/>
      <c r="DF521" s="211"/>
      <c r="DG521" s="211"/>
      <c r="DH521" s="211"/>
      <c r="DI521" s="211"/>
      <c r="DJ521" s="211"/>
      <c r="DK521" s="220" t="s">
        <v>32</v>
      </c>
      <c r="DT521" s="222"/>
    </row>
    <row r="522" spans="1:124" s="176" customFormat="1" x14ac:dyDescent="0.2">
      <c r="A522" s="195" t="s">
        <v>108</v>
      </c>
      <c r="B522" s="197" t="s">
        <v>1300</v>
      </c>
      <c r="C522" s="198">
        <v>1</v>
      </c>
      <c r="D522" s="199">
        <v>2500000</v>
      </c>
      <c r="E522" s="198" t="s">
        <v>229</v>
      </c>
      <c r="F522" s="198" t="s">
        <v>230</v>
      </c>
      <c r="G522" s="198" t="s">
        <v>98</v>
      </c>
      <c r="H522" s="200">
        <v>1</v>
      </c>
      <c r="I522" s="199">
        <f t="shared" si="516"/>
        <v>0</v>
      </c>
      <c r="J522" s="199">
        <f t="shared" si="517"/>
        <v>2500000</v>
      </c>
      <c r="K522" s="199">
        <f t="shared" si="518"/>
        <v>2500000</v>
      </c>
      <c r="L522" s="199"/>
      <c r="M522" s="199">
        <v>2500000</v>
      </c>
      <c r="N522" s="199">
        <f t="shared" si="519"/>
        <v>2500000</v>
      </c>
      <c r="O522" s="199"/>
      <c r="P522" s="201">
        <v>0</v>
      </c>
      <c r="Q522" s="202">
        <v>206</v>
      </c>
      <c r="R522" s="203">
        <v>45583</v>
      </c>
      <c r="S522" s="204"/>
      <c r="T522" s="199">
        <v>2500000</v>
      </c>
      <c r="U522" s="199">
        <f t="shared" si="520"/>
        <v>2500000</v>
      </c>
      <c r="V522" s="205"/>
      <c r="W522" s="200"/>
      <c r="X522" s="201"/>
      <c r="Y522" s="201"/>
      <c r="Z522" s="201">
        <f t="shared" si="521"/>
        <v>0</v>
      </c>
      <c r="AA522" s="198"/>
      <c r="AB522" s="206"/>
      <c r="AC522" s="207"/>
      <c r="AD522" s="201"/>
      <c r="AE522" s="204">
        <f t="shared" si="522"/>
        <v>0</v>
      </c>
      <c r="AF522" s="203">
        <f t="shared" si="523"/>
        <v>45583</v>
      </c>
      <c r="AG522" s="201">
        <f t="shared" si="524"/>
        <v>0</v>
      </c>
      <c r="AH522" s="199">
        <f t="shared" si="525"/>
        <v>2500000</v>
      </c>
      <c r="AI522" s="199">
        <f t="shared" si="526"/>
        <v>2500000</v>
      </c>
      <c r="AJ522" s="201">
        <f t="shared" si="527"/>
        <v>0</v>
      </c>
      <c r="AK522" s="201">
        <f t="shared" si="527"/>
        <v>2500000</v>
      </c>
      <c r="AL522" s="201">
        <f t="shared" si="528"/>
        <v>2500000</v>
      </c>
      <c r="AM522" s="202"/>
      <c r="AN522" s="203"/>
      <c r="AO522" s="208"/>
      <c r="AP522" s="201">
        <f t="shared" si="529"/>
        <v>0</v>
      </c>
      <c r="AQ522" s="201">
        <f t="shared" si="530"/>
        <v>0</v>
      </c>
      <c r="AR522" s="201">
        <f t="shared" si="531"/>
        <v>0</v>
      </c>
      <c r="AS522" s="201">
        <f t="shared" si="532"/>
        <v>0</v>
      </c>
      <c r="AT522" s="201"/>
      <c r="AU522" s="209"/>
      <c r="AV522" s="201">
        <f t="shared" si="533"/>
        <v>0</v>
      </c>
      <c r="AW522" s="201">
        <f t="shared" si="548"/>
        <v>0</v>
      </c>
      <c r="AX522" s="201">
        <f t="shared" si="534"/>
        <v>0</v>
      </c>
      <c r="AY522" s="208"/>
      <c r="AZ522" s="201">
        <f t="shared" si="535"/>
        <v>0</v>
      </c>
      <c r="BA522" s="201">
        <f t="shared" si="536"/>
        <v>0</v>
      </c>
      <c r="BB522" s="201">
        <f t="shared" si="537"/>
        <v>0</v>
      </c>
      <c r="BC522" s="201"/>
      <c r="BD522" s="209"/>
      <c r="BE522" s="201">
        <f t="shared" si="538"/>
        <v>0</v>
      </c>
      <c r="BF522" s="208"/>
      <c r="BG522" s="201">
        <f t="shared" si="539"/>
        <v>0</v>
      </c>
      <c r="BH522" s="201">
        <f t="shared" si="539"/>
        <v>0</v>
      </c>
      <c r="BI522" s="201">
        <f t="shared" si="540"/>
        <v>0</v>
      </c>
      <c r="BJ522" s="201">
        <f t="shared" si="504"/>
        <v>0</v>
      </c>
      <c r="BK522" s="210"/>
      <c r="BL522" s="210"/>
      <c r="BM522" s="211" t="s">
        <v>1294</v>
      </c>
      <c r="BN522" s="211"/>
      <c r="BO522" s="212">
        <f t="shared" si="541"/>
        <v>0</v>
      </c>
      <c r="BP522" s="201">
        <f t="shared" si="542"/>
        <v>2500000</v>
      </c>
      <c r="BQ522" s="201">
        <f t="shared" si="549"/>
        <v>2500000</v>
      </c>
      <c r="BR522" s="201">
        <f t="shared" si="544"/>
        <v>0</v>
      </c>
      <c r="BS522" s="201">
        <f t="shared" si="544"/>
        <v>2500000</v>
      </c>
      <c r="BT522" s="201">
        <f t="shared" si="550"/>
        <v>2500000</v>
      </c>
      <c r="BU522" s="213">
        <f t="shared" si="551"/>
        <v>0</v>
      </c>
      <c r="BV522" s="201"/>
      <c r="BW522" s="201"/>
      <c r="BX522" s="201">
        <f t="shared" si="552"/>
        <v>0</v>
      </c>
      <c r="BY522" s="333">
        <v>485000</v>
      </c>
      <c r="BZ522" s="333">
        <v>2070000</v>
      </c>
      <c r="CA522" s="333">
        <v>2500000</v>
      </c>
      <c r="CB522" s="333"/>
      <c r="CC522" s="333"/>
      <c r="CD522" s="333"/>
      <c r="CE522" s="333"/>
      <c r="CF522" s="333"/>
      <c r="CG522" s="333"/>
      <c r="CH522" s="333"/>
      <c r="CI522" s="333"/>
      <c r="CJ522" s="333"/>
      <c r="CK522" s="214" t="s">
        <v>1295</v>
      </c>
      <c r="CL522" s="214" t="s">
        <v>610</v>
      </c>
      <c r="CM522" s="211">
        <v>198</v>
      </c>
      <c r="CN522" s="215"/>
      <c r="CO522" s="215">
        <v>2500</v>
      </c>
      <c r="CP522" s="216">
        <v>500</v>
      </c>
      <c r="CQ522" s="217"/>
      <c r="CR522" s="211"/>
      <c r="CS522" s="218"/>
      <c r="CT522" s="218"/>
      <c r="CU522" s="218"/>
      <c r="CV522" s="211"/>
      <c r="CW522" s="211"/>
      <c r="CX522" s="211"/>
      <c r="CY522" s="211"/>
      <c r="CZ522" s="211"/>
      <c r="DA522" s="211"/>
      <c r="DB522" s="211"/>
      <c r="DC522" s="219"/>
      <c r="DD522" s="219"/>
      <c r="DE522" s="219"/>
      <c r="DF522" s="211"/>
      <c r="DG522" s="211"/>
      <c r="DH522" s="211"/>
      <c r="DI522" s="211"/>
      <c r="DJ522" s="211"/>
      <c r="DK522" s="220" t="s">
        <v>32</v>
      </c>
      <c r="DT522" s="222"/>
    </row>
    <row r="523" spans="1:124" s="176" customFormat="1" x14ac:dyDescent="0.2">
      <c r="A523" s="195" t="s">
        <v>108</v>
      </c>
      <c r="B523" s="197" t="s">
        <v>1301</v>
      </c>
      <c r="C523" s="198">
        <v>1</v>
      </c>
      <c r="D523" s="199">
        <v>1400000</v>
      </c>
      <c r="E523" s="198" t="s">
        <v>653</v>
      </c>
      <c r="F523" s="198" t="s">
        <v>106</v>
      </c>
      <c r="G523" s="198" t="s">
        <v>98</v>
      </c>
      <c r="H523" s="200">
        <v>1</v>
      </c>
      <c r="I523" s="199">
        <f t="shared" si="516"/>
        <v>0</v>
      </c>
      <c r="J523" s="199">
        <f t="shared" si="517"/>
        <v>1400000</v>
      </c>
      <c r="K523" s="199">
        <f t="shared" si="518"/>
        <v>1400000</v>
      </c>
      <c r="L523" s="199"/>
      <c r="M523" s="199">
        <v>1400000</v>
      </c>
      <c r="N523" s="199">
        <f t="shared" si="519"/>
        <v>1400000</v>
      </c>
      <c r="O523" s="199"/>
      <c r="P523" s="201">
        <v>0</v>
      </c>
      <c r="Q523" s="202">
        <v>206</v>
      </c>
      <c r="R523" s="203">
        <v>45583</v>
      </c>
      <c r="S523" s="204"/>
      <c r="T523" s="199">
        <v>1400000</v>
      </c>
      <c r="U523" s="199">
        <f t="shared" si="520"/>
        <v>1400000</v>
      </c>
      <c r="V523" s="205"/>
      <c r="W523" s="200"/>
      <c r="X523" s="201"/>
      <c r="Y523" s="201"/>
      <c r="Z523" s="201">
        <f t="shared" si="521"/>
        <v>0</v>
      </c>
      <c r="AA523" s="198"/>
      <c r="AB523" s="206"/>
      <c r="AC523" s="207"/>
      <c r="AD523" s="201"/>
      <c r="AE523" s="204">
        <f t="shared" si="522"/>
        <v>0</v>
      </c>
      <c r="AF523" s="203">
        <f t="shared" si="523"/>
        <v>45583</v>
      </c>
      <c r="AG523" s="201">
        <f t="shared" si="524"/>
        <v>0</v>
      </c>
      <c r="AH523" s="199">
        <f t="shared" si="525"/>
        <v>1400000</v>
      </c>
      <c r="AI523" s="199">
        <f t="shared" si="526"/>
        <v>1400000</v>
      </c>
      <c r="AJ523" s="201">
        <f t="shared" si="527"/>
        <v>0</v>
      </c>
      <c r="AK523" s="201">
        <f t="shared" si="527"/>
        <v>1400000</v>
      </c>
      <c r="AL523" s="201">
        <f t="shared" si="528"/>
        <v>1400000</v>
      </c>
      <c r="AM523" s="202"/>
      <c r="AN523" s="203"/>
      <c r="AO523" s="208"/>
      <c r="AP523" s="201">
        <f t="shared" si="529"/>
        <v>0</v>
      </c>
      <c r="AQ523" s="201">
        <f t="shared" si="530"/>
        <v>0</v>
      </c>
      <c r="AR523" s="201">
        <f t="shared" si="531"/>
        <v>0</v>
      </c>
      <c r="AS523" s="201">
        <f t="shared" si="532"/>
        <v>0</v>
      </c>
      <c r="AT523" s="201"/>
      <c r="AU523" s="209"/>
      <c r="AV523" s="201">
        <f t="shared" si="533"/>
        <v>0</v>
      </c>
      <c r="AW523" s="201">
        <f t="shared" si="548"/>
        <v>0</v>
      </c>
      <c r="AX523" s="201">
        <f t="shared" si="534"/>
        <v>0</v>
      </c>
      <c r="AY523" s="208"/>
      <c r="AZ523" s="201">
        <f t="shared" si="535"/>
        <v>0</v>
      </c>
      <c r="BA523" s="201">
        <f t="shared" si="536"/>
        <v>0</v>
      </c>
      <c r="BB523" s="201">
        <f t="shared" si="537"/>
        <v>0</v>
      </c>
      <c r="BC523" s="201"/>
      <c r="BD523" s="209"/>
      <c r="BE523" s="201">
        <f t="shared" si="538"/>
        <v>0</v>
      </c>
      <c r="BF523" s="208"/>
      <c r="BG523" s="201">
        <f t="shared" si="539"/>
        <v>0</v>
      </c>
      <c r="BH523" s="201">
        <f t="shared" si="539"/>
        <v>0</v>
      </c>
      <c r="BI523" s="201">
        <f t="shared" si="540"/>
        <v>0</v>
      </c>
      <c r="BJ523" s="201">
        <f t="shared" si="504"/>
        <v>0</v>
      </c>
      <c r="BK523" s="210"/>
      <c r="BL523" s="210"/>
      <c r="BM523" s="211" t="s">
        <v>1294</v>
      </c>
      <c r="BN523" s="211"/>
      <c r="BO523" s="212">
        <f t="shared" si="541"/>
        <v>0</v>
      </c>
      <c r="BP523" s="201">
        <f t="shared" si="542"/>
        <v>1400000</v>
      </c>
      <c r="BQ523" s="201">
        <f t="shared" si="549"/>
        <v>1400000</v>
      </c>
      <c r="BR523" s="201">
        <f t="shared" si="544"/>
        <v>0</v>
      </c>
      <c r="BS523" s="201">
        <f t="shared" si="544"/>
        <v>1400000</v>
      </c>
      <c r="BT523" s="201">
        <f t="shared" si="550"/>
        <v>1400000</v>
      </c>
      <c r="BU523" s="213">
        <f t="shared" si="551"/>
        <v>0</v>
      </c>
      <c r="BV523" s="201"/>
      <c r="BW523" s="201"/>
      <c r="BX523" s="201">
        <f t="shared" si="552"/>
        <v>0</v>
      </c>
      <c r="BY523" s="333">
        <v>110000</v>
      </c>
      <c r="BZ523" s="333">
        <v>220000</v>
      </c>
      <c r="CA523" s="333">
        <v>330000</v>
      </c>
      <c r="CB523" s="333">
        <v>1400000</v>
      </c>
      <c r="CC523" s="333"/>
      <c r="CD523" s="333"/>
      <c r="CE523" s="333"/>
      <c r="CF523" s="333"/>
      <c r="CG523" s="333"/>
      <c r="CH523" s="333"/>
      <c r="CI523" s="333"/>
      <c r="CJ523" s="333"/>
      <c r="CK523" s="214" t="s">
        <v>1295</v>
      </c>
      <c r="CL523" s="214" t="s">
        <v>610</v>
      </c>
      <c r="CM523" s="211">
        <v>198</v>
      </c>
      <c r="CN523" s="215"/>
      <c r="CO523" s="215">
        <v>500</v>
      </c>
      <c r="CP523" s="216">
        <v>998</v>
      </c>
      <c r="CQ523" s="217"/>
      <c r="CR523" s="211"/>
      <c r="CS523" s="218"/>
      <c r="CT523" s="218"/>
      <c r="CU523" s="218"/>
      <c r="CV523" s="211"/>
      <c r="CW523" s="211"/>
      <c r="CX523" s="211"/>
      <c r="CY523" s="211"/>
      <c r="CZ523" s="211"/>
      <c r="DA523" s="211"/>
      <c r="DB523" s="211"/>
      <c r="DC523" s="219"/>
      <c r="DD523" s="219"/>
      <c r="DE523" s="219"/>
      <c r="DF523" s="211"/>
      <c r="DG523" s="211"/>
      <c r="DH523" s="211"/>
      <c r="DI523" s="211"/>
      <c r="DJ523" s="211"/>
      <c r="DK523" s="220" t="s">
        <v>32</v>
      </c>
      <c r="DT523" s="222"/>
    </row>
    <row r="524" spans="1:124" s="176" customFormat="1" x14ac:dyDescent="0.2">
      <c r="A524" s="195" t="s">
        <v>108</v>
      </c>
      <c r="B524" s="197" t="s">
        <v>1302</v>
      </c>
      <c r="C524" s="198">
        <v>1</v>
      </c>
      <c r="D524" s="199">
        <v>1700000</v>
      </c>
      <c r="E524" s="198" t="s">
        <v>351</v>
      </c>
      <c r="F524" s="198" t="s">
        <v>230</v>
      </c>
      <c r="G524" s="198" t="s">
        <v>98</v>
      </c>
      <c r="H524" s="200">
        <v>1</v>
      </c>
      <c r="I524" s="199">
        <f t="shared" si="516"/>
        <v>900000</v>
      </c>
      <c r="J524" s="199">
        <f t="shared" si="517"/>
        <v>800000</v>
      </c>
      <c r="K524" s="199">
        <f t="shared" si="518"/>
        <v>1700000</v>
      </c>
      <c r="L524" s="199">
        <v>900000</v>
      </c>
      <c r="M524" s="199">
        <v>800000</v>
      </c>
      <c r="N524" s="199">
        <f t="shared" si="519"/>
        <v>1700000</v>
      </c>
      <c r="O524" s="199"/>
      <c r="P524" s="201">
        <v>0</v>
      </c>
      <c r="Q524" s="202">
        <v>206</v>
      </c>
      <c r="R524" s="203">
        <v>45583</v>
      </c>
      <c r="S524" s="204">
        <v>900000</v>
      </c>
      <c r="T524" s="199">
        <v>800000</v>
      </c>
      <c r="U524" s="199">
        <f t="shared" si="520"/>
        <v>1700000</v>
      </c>
      <c r="V524" s="205"/>
      <c r="W524" s="200"/>
      <c r="X524" s="201"/>
      <c r="Y524" s="201"/>
      <c r="Z524" s="201">
        <f t="shared" si="521"/>
        <v>0</v>
      </c>
      <c r="AA524" s="198"/>
      <c r="AB524" s="206"/>
      <c r="AC524" s="207"/>
      <c r="AD524" s="201"/>
      <c r="AE524" s="204">
        <f t="shared" si="522"/>
        <v>0</v>
      </c>
      <c r="AF524" s="203">
        <f t="shared" si="523"/>
        <v>45583</v>
      </c>
      <c r="AG524" s="201">
        <f t="shared" si="524"/>
        <v>900000</v>
      </c>
      <c r="AH524" s="199">
        <f t="shared" si="525"/>
        <v>800000</v>
      </c>
      <c r="AI524" s="199">
        <f t="shared" si="526"/>
        <v>1700000</v>
      </c>
      <c r="AJ524" s="201">
        <v>900000</v>
      </c>
      <c r="AK524" s="201">
        <v>800000</v>
      </c>
      <c r="AL524" s="201">
        <f t="shared" si="528"/>
        <v>1700000</v>
      </c>
      <c r="AM524" s="202"/>
      <c r="AN524" s="203"/>
      <c r="AO524" s="208"/>
      <c r="AP524" s="201">
        <f t="shared" si="529"/>
        <v>0</v>
      </c>
      <c r="AQ524" s="201">
        <f t="shared" si="530"/>
        <v>0</v>
      </c>
      <c r="AR524" s="201">
        <f t="shared" si="531"/>
        <v>0</v>
      </c>
      <c r="AS524" s="201">
        <f t="shared" si="532"/>
        <v>0</v>
      </c>
      <c r="AT524" s="201"/>
      <c r="AU524" s="209"/>
      <c r="AV524" s="201">
        <f t="shared" si="533"/>
        <v>0</v>
      </c>
      <c r="AW524" s="201">
        <f t="shared" si="548"/>
        <v>0</v>
      </c>
      <c r="AX524" s="201">
        <f t="shared" si="534"/>
        <v>0</v>
      </c>
      <c r="AY524" s="208"/>
      <c r="AZ524" s="201">
        <f t="shared" si="535"/>
        <v>0</v>
      </c>
      <c r="BA524" s="201">
        <f t="shared" si="536"/>
        <v>0</v>
      </c>
      <c r="BB524" s="201">
        <f t="shared" si="537"/>
        <v>0</v>
      </c>
      <c r="BC524" s="201"/>
      <c r="BD524" s="209"/>
      <c r="BE524" s="201">
        <f t="shared" si="538"/>
        <v>0</v>
      </c>
      <c r="BF524" s="208"/>
      <c r="BG524" s="201">
        <f t="shared" si="539"/>
        <v>0</v>
      </c>
      <c r="BH524" s="201">
        <f t="shared" si="539"/>
        <v>0</v>
      </c>
      <c r="BI524" s="201">
        <f t="shared" si="540"/>
        <v>0</v>
      </c>
      <c r="BJ524" s="201">
        <f t="shared" si="504"/>
        <v>0</v>
      </c>
      <c r="BK524" s="210"/>
      <c r="BL524" s="210"/>
      <c r="BM524" s="211" t="s">
        <v>1294</v>
      </c>
      <c r="BN524" s="211"/>
      <c r="BO524" s="212">
        <f t="shared" si="541"/>
        <v>900000</v>
      </c>
      <c r="BP524" s="201">
        <f t="shared" si="542"/>
        <v>800000</v>
      </c>
      <c r="BQ524" s="201">
        <f t="shared" si="549"/>
        <v>1700000</v>
      </c>
      <c r="BR524" s="201">
        <f t="shared" si="544"/>
        <v>900000</v>
      </c>
      <c r="BS524" s="201">
        <f t="shared" si="544"/>
        <v>800000</v>
      </c>
      <c r="BT524" s="201">
        <f t="shared" si="550"/>
        <v>1700000</v>
      </c>
      <c r="BU524" s="213">
        <f t="shared" si="551"/>
        <v>0</v>
      </c>
      <c r="BV524" s="201"/>
      <c r="BW524" s="201"/>
      <c r="BX524" s="201">
        <f t="shared" si="552"/>
        <v>0</v>
      </c>
      <c r="BY524" s="333">
        <v>395000</v>
      </c>
      <c r="BZ524" s="333">
        <v>1340000</v>
      </c>
      <c r="CA524" s="333">
        <v>1700000</v>
      </c>
      <c r="CB524" s="333"/>
      <c r="CC524" s="333"/>
      <c r="CD524" s="333"/>
      <c r="CE524" s="333"/>
      <c r="CF524" s="333"/>
      <c r="CG524" s="333"/>
      <c r="CH524" s="333"/>
      <c r="CI524" s="333"/>
      <c r="CJ524" s="333"/>
      <c r="CK524" s="214" t="s">
        <v>1295</v>
      </c>
      <c r="CL524" s="214" t="s">
        <v>610</v>
      </c>
      <c r="CM524" s="211">
        <v>198</v>
      </c>
      <c r="CN524" s="215"/>
      <c r="CO524" s="215">
        <v>400</v>
      </c>
      <c r="CP524" s="216">
        <v>419</v>
      </c>
      <c r="CQ524" s="217"/>
      <c r="CR524" s="211"/>
      <c r="CS524" s="218"/>
      <c r="CT524" s="218"/>
      <c r="CU524" s="218"/>
      <c r="CV524" s="211"/>
      <c r="CW524" s="211"/>
      <c r="CX524" s="211"/>
      <c r="CY524" s="211"/>
      <c r="CZ524" s="211"/>
      <c r="DA524" s="211"/>
      <c r="DB524" s="211"/>
      <c r="DC524" s="219"/>
      <c r="DD524" s="219"/>
      <c r="DE524" s="219"/>
      <c r="DF524" s="211"/>
      <c r="DG524" s="211"/>
      <c r="DH524" s="211"/>
      <c r="DI524" s="211"/>
      <c r="DJ524" s="211"/>
      <c r="DK524" s="220" t="s">
        <v>53</v>
      </c>
      <c r="DT524" s="222"/>
    </row>
    <row r="525" spans="1:124" s="176" customFormat="1" x14ac:dyDescent="0.2">
      <c r="A525" s="195" t="s">
        <v>108</v>
      </c>
      <c r="B525" s="197" t="s">
        <v>1303</v>
      </c>
      <c r="C525" s="198">
        <v>1</v>
      </c>
      <c r="D525" s="199">
        <v>2000000</v>
      </c>
      <c r="E525" s="198" t="s">
        <v>288</v>
      </c>
      <c r="F525" s="198" t="s">
        <v>285</v>
      </c>
      <c r="G525" s="198" t="s">
        <v>98</v>
      </c>
      <c r="H525" s="200">
        <v>1</v>
      </c>
      <c r="I525" s="199">
        <f t="shared" si="516"/>
        <v>0</v>
      </c>
      <c r="J525" s="199">
        <f t="shared" si="517"/>
        <v>2000000</v>
      </c>
      <c r="K525" s="199">
        <f t="shared" si="518"/>
        <v>2000000</v>
      </c>
      <c r="L525" s="199"/>
      <c r="M525" s="199">
        <v>2000000</v>
      </c>
      <c r="N525" s="199">
        <f t="shared" si="519"/>
        <v>2000000</v>
      </c>
      <c r="O525" s="199"/>
      <c r="P525" s="201">
        <v>0</v>
      </c>
      <c r="Q525" s="202">
        <v>206</v>
      </c>
      <c r="R525" s="203">
        <v>45583</v>
      </c>
      <c r="S525" s="204"/>
      <c r="T525" s="199">
        <v>2000000</v>
      </c>
      <c r="U525" s="199">
        <f t="shared" si="520"/>
        <v>2000000</v>
      </c>
      <c r="V525" s="205">
        <v>2476</v>
      </c>
      <c r="W525" s="200">
        <v>45827</v>
      </c>
      <c r="X525" s="201"/>
      <c r="Y525" s="201">
        <v>-41640.639999999999</v>
      </c>
      <c r="Z525" s="201">
        <f t="shared" si="521"/>
        <v>-41640.639999999999</v>
      </c>
      <c r="AA525" s="198"/>
      <c r="AB525" s="206"/>
      <c r="AC525" s="207"/>
      <c r="AD525" s="201"/>
      <c r="AE525" s="204">
        <f t="shared" si="522"/>
        <v>0</v>
      </c>
      <c r="AF525" s="203">
        <f t="shared" si="523"/>
        <v>45583</v>
      </c>
      <c r="AG525" s="201">
        <f t="shared" si="524"/>
        <v>0</v>
      </c>
      <c r="AH525" s="199">
        <f t="shared" si="525"/>
        <v>1958359.36</v>
      </c>
      <c r="AI525" s="199">
        <f t="shared" si="526"/>
        <v>1958359.36</v>
      </c>
      <c r="AJ525" s="201">
        <f t="shared" si="527"/>
        <v>0</v>
      </c>
      <c r="AK525" s="201">
        <f t="shared" si="527"/>
        <v>1958359.36</v>
      </c>
      <c r="AL525" s="201">
        <f t="shared" si="528"/>
        <v>1958359.36</v>
      </c>
      <c r="AM525" s="202"/>
      <c r="AN525" s="203"/>
      <c r="AO525" s="208"/>
      <c r="AP525" s="201">
        <f t="shared" si="529"/>
        <v>0</v>
      </c>
      <c r="AQ525" s="201">
        <f t="shared" si="530"/>
        <v>0</v>
      </c>
      <c r="AR525" s="201">
        <f t="shared" si="531"/>
        <v>0</v>
      </c>
      <c r="AS525" s="201">
        <f t="shared" si="532"/>
        <v>0</v>
      </c>
      <c r="AT525" s="201"/>
      <c r="AU525" s="223"/>
      <c r="AV525" s="201">
        <f t="shared" si="533"/>
        <v>0</v>
      </c>
      <c r="AW525" s="201">
        <f t="shared" si="548"/>
        <v>0</v>
      </c>
      <c r="AX525" s="201">
        <f t="shared" si="534"/>
        <v>0</v>
      </c>
      <c r="AY525" s="208"/>
      <c r="AZ525" s="201">
        <f t="shared" si="535"/>
        <v>0</v>
      </c>
      <c r="BA525" s="201">
        <f t="shared" si="536"/>
        <v>0</v>
      </c>
      <c r="BB525" s="201">
        <f t="shared" si="537"/>
        <v>0</v>
      </c>
      <c r="BC525" s="201"/>
      <c r="BD525" s="223"/>
      <c r="BE525" s="201">
        <f t="shared" si="538"/>
        <v>0</v>
      </c>
      <c r="BF525" s="208"/>
      <c r="BG525" s="201">
        <f t="shared" si="539"/>
        <v>0</v>
      </c>
      <c r="BH525" s="201">
        <f t="shared" si="539"/>
        <v>0</v>
      </c>
      <c r="BI525" s="201">
        <f t="shared" si="540"/>
        <v>0</v>
      </c>
      <c r="BJ525" s="201">
        <f t="shared" si="504"/>
        <v>0</v>
      </c>
      <c r="BK525" s="210">
        <v>89</v>
      </c>
      <c r="BL525" s="210">
        <v>0</v>
      </c>
      <c r="BM525" s="211" t="s">
        <v>1294</v>
      </c>
      <c r="BN525" s="211"/>
      <c r="BO525" s="212">
        <f t="shared" si="541"/>
        <v>0</v>
      </c>
      <c r="BP525" s="201">
        <f t="shared" si="542"/>
        <v>1958359.36</v>
      </c>
      <c r="BQ525" s="201">
        <f t="shared" si="549"/>
        <v>1958359.36</v>
      </c>
      <c r="BR525" s="201">
        <f t="shared" si="544"/>
        <v>0</v>
      </c>
      <c r="BS525" s="201">
        <f t="shared" si="544"/>
        <v>1958359.36</v>
      </c>
      <c r="BT525" s="201">
        <f t="shared" si="550"/>
        <v>1958359.36</v>
      </c>
      <c r="BU525" s="213">
        <f t="shared" si="551"/>
        <v>0</v>
      </c>
      <c r="BV525" s="201">
        <v>41640.639999999999</v>
      </c>
      <c r="BW525" s="201"/>
      <c r="BX525" s="201">
        <f t="shared" si="552"/>
        <v>41640.639999999999</v>
      </c>
      <c r="BY525" s="333">
        <v>610000</v>
      </c>
      <c r="BZ525" s="333">
        <v>1720000</v>
      </c>
      <c r="CA525" s="333">
        <v>2000000</v>
      </c>
      <c r="CB525" s="333"/>
      <c r="CC525" s="333"/>
      <c r="CD525" s="333"/>
      <c r="CE525" s="333"/>
      <c r="CF525" s="333"/>
      <c r="CG525" s="333"/>
      <c r="CH525" s="333"/>
      <c r="CI525" s="333"/>
      <c r="CJ525" s="333"/>
      <c r="CK525" s="214" t="s">
        <v>1295</v>
      </c>
      <c r="CL525" s="214" t="s">
        <v>610</v>
      </c>
      <c r="CM525" s="211">
        <v>198</v>
      </c>
      <c r="CN525" s="215"/>
      <c r="CO525" s="215">
        <v>500</v>
      </c>
      <c r="CP525" s="216">
        <v>120</v>
      </c>
      <c r="CQ525" s="217"/>
      <c r="CR525" s="211"/>
      <c r="CS525" s="218"/>
      <c r="CT525" s="218"/>
      <c r="CU525" s="218"/>
      <c r="CV525" s="211"/>
      <c r="CW525" s="211"/>
      <c r="CX525" s="211"/>
      <c r="CY525" s="211"/>
      <c r="CZ525" s="211"/>
      <c r="DA525" s="211"/>
      <c r="DB525" s="211"/>
      <c r="DC525" s="219"/>
      <c r="DD525" s="219"/>
      <c r="DE525" s="219"/>
      <c r="DF525" s="211"/>
      <c r="DG525" s="211"/>
      <c r="DH525" s="211"/>
      <c r="DI525" s="211"/>
      <c r="DJ525" s="211"/>
      <c r="DK525" s="220" t="s">
        <v>32</v>
      </c>
      <c r="DT525" s="222"/>
    </row>
    <row r="526" spans="1:124" s="176" customFormat="1" x14ac:dyDescent="0.2">
      <c r="A526" s="195" t="s">
        <v>108</v>
      </c>
      <c r="B526" s="197" t="s">
        <v>1304</v>
      </c>
      <c r="C526" s="198">
        <v>1</v>
      </c>
      <c r="D526" s="199">
        <v>500000</v>
      </c>
      <c r="E526" s="198" t="s">
        <v>351</v>
      </c>
      <c r="F526" s="198" t="s">
        <v>230</v>
      </c>
      <c r="G526" s="198" t="s">
        <v>98</v>
      </c>
      <c r="H526" s="200">
        <v>1</v>
      </c>
      <c r="I526" s="199">
        <f t="shared" si="516"/>
        <v>0</v>
      </c>
      <c r="J526" s="199">
        <f t="shared" si="517"/>
        <v>500000</v>
      </c>
      <c r="K526" s="199">
        <f t="shared" si="518"/>
        <v>500000</v>
      </c>
      <c r="L526" s="199"/>
      <c r="M526" s="199">
        <v>500000</v>
      </c>
      <c r="N526" s="199">
        <f t="shared" si="519"/>
        <v>500000</v>
      </c>
      <c r="O526" s="199"/>
      <c r="P526" s="201">
        <v>0</v>
      </c>
      <c r="Q526" s="202">
        <v>206</v>
      </c>
      <c r="R526" s="203">
        <v>45583</v>
      </c>
      <c r="S526" s="204"/>
      <c r="T526" s="199">
        <v>500000</v>
      </c>
      <c r="U526" s="199">
        <f t="shared" si="520"/>
        <v>500000</v>
      </c>
      <c r="V526" s="205"/>
      <c r="W526" s="200"/>
      <c r="X526" s="201"/>
      <c r="Y526" s="201"/>
      <c r="Z526" s="201">
        <f t="shared" si="521"/>
        <v>0</v>
      </c>
      <c r="AA526" s="198"/>
      <c r="AB526" s="206"/>
      <c r="AC526" s="207"/>
      <c r="AD526" s="201"/>
      <c r="AE526" s="204">
        <f t="shared" si="522"/>
        <v>0</v>
      </c>
      <c r="AF526" s="203">
        <f t="shared" si="523"/>
        <v>45583</v>
      </c>
      <c r="AG526" s="201">
        <f t="shared" si="524"/>
        <v>0</v>
      </c>
      <c r="AH526" s="199">
        <f t="shared" si="525"/>
        <v>500000</v>
      </c>
      <c r="AI526" s="199">
        <f t="shared" si="526"/>
        <v>500000</v>
      </c>
      <c r="AJ526" s="201">
        <f t="shared" si="527"/>
        <v>0</v>
      </c>
      <c r="AK526" s="201">
        <f t="shared" si="527"/>
        <v>500000</v>
      </c>
      <c r="AL526" s="201">
        <f t="shared" si="528"/>
        <v>500000</v>
      </c>
      <c r="AM526" s="202"/>
      <c r="AN526" s="203"/>
      <c r="AO526" s="208"/>
      <c r="AP526" s="201">
        <f t="shared" si="529"/>
        <v>0</v>
      </c>
      <c r="AQ526" s="201">
        <f t="shared" si="530"/>
        <v>0</v>
      </c>
      <c r="AR526" s="201">
        <f t="shared" si="531"/>
        <v>0</v>
      </c>
      <c r="AS526" s="201">
        <f t="shared" si="532"/>
        <v>0</v>
      </c>
      <c r="AT526" s="201"/>
      <c r="AU526" s="223"/>
      <c r="AV526" s="201">
        <f t="shared" si="533"/>
        <v>0</v>
      </c>
      <c r="AW526" s="201">
        <f t="shared" si="548"/>
        <v>0</v>
      </c>
      <c r="AX526" s="201">
        <f t="shared" si="534"/>
        <v>0</v>
      </c>
      <c r="AY526" s="208"/>
      <c r="AZ526" s="201">
        <f t="shared" si="535"/>
        <v>0</v>
      </c>
      <c r="BA526" s="201">
        <f t="shared" si="536"/>
        <v>0</v>
      </c>
      <c r="BB526" s="201">
        <f t="shared" si="537"/>
        <v>0</v>
      </c>
      <c r="BC526" s="201"/>
      <c r="BD526" s="223"/>
      <c r="BE526" s="201">
        <f t="shared" si="538"/>
        <v>0</v>
      </c>
      <c r="BF526" s="208"/>
      <c r="BG526" s="201">
        <f t="shared" si="539"/>
        <v>0</v>
      </c>
      <c r="BH526" s="201">
        <f t="shared" si="539"/>
        <v>0</v>
      </c>
      <c r="BI526" s="201">
        <f t="shared" si="540"/>
        <v>0</v>
      </c>
      <c r="BJ526" s="201">
        <f t="shared" si="504"/>
        <v>0</v>
      </c>
      <c r="BK526" s="210"/>
      <c r="BL526" s="210"/>
      <c r="BM526" s="211" t="s">
        <v>1294</v>
      </c>
      <c r="BN526" s="211"/>
      <c r="BO526" s="212">
        <f t="shared" si="541"/>
        <v>0</v>
      </c>
      <c r="BP526" s="201">
        <f t="shared" si="542"/>
        <v>500000</v>
      </c>
      <c r="BQ526" s="201">
        <f t="shared" si="549"/>
        <v>500000</v>
      </c>
      <c r="BR526" s="201">
        <f t="shared" si="544"/>
        <v>0</v>
      </c>
      <c r="BS526" s="201">
        <f t="shared" si="544"/>
        <v>500000</v>
      </c>
      <c r="BT526" s="201">
        <f t="shared" si="550"/>
        <v>500000</v>
      </c>
      <c r="BU526" s="213">
        <f t="shared" si="551"/>
        <v>0</v>
      </c>
      <c r="BV526" s="201"/>
      <c r="BW526" s="201"/>
      <c r="BX526" s="201">
        <f t="shared" si="552"/>
        <v>0</v>
      </c>
      <c r="BY526" s="333">
        <v>100000</v>
      </c>
      <c r="BZ526" s="333">
        <v>430000</v>
      </c>
      <c r="CA526" s="333">
        <v>500000</v>
      </c>
      <c r="CB526" s="333"/>
      <c r="CC526" s="333"/>
      <c r="CD526" s="333"/>
      <c r="CE526" s="333"/>
      <c r="CF526" s="333"/>
      <c r="CG526" s="333"/>
      <c r="CH526" s="333"/>
      <c r="CI526" s="333"/>
      <c r="CJ526" s="333"/>
      <c r="CK526" s="214" t="s">
        <v>1295</v>
      </c>
      <c r="CL526" s="214" t="s">
        <v>610</v>
      </c>
      <c r="CM526" s="211">
        <v>198</v>
      </c>
      <c r="CN526" s="215"/>
      <c r="CO526" s="215">
        <v>1000</v>
      </c>
      <c r="CP526" s="216">
        <v>200</v>
      </c>
      <c r="CQ526" s="217"/>
      <c r="CR526" s="211"/>
      <c r="CS526" s="218"/>
      <c r="CT526" s="218"/>
      <c r="CU526" s="218"/>
      <c r="CV526" s="211"/>
      <c r="CW526" s="211"/>
      <c r="CX526" s="211"/>
      <c r="CY526" s="211"/>
      <c r="CZ526" s="211"/>
      <c r="DA526" s="211"/>
      <c r="DB526" s="211"/>
      <c r="DC526" s="219"/>
      <c r="DD526" s="219"/>
      <c r="DE526" s="219"/>
      <c r="DF526" s="211"/>
      <c r="DG526" s="211"/>
      <c r="DH526" s="211"/>
      <c r="DI526" s="211"/>
      <c r="DJ526" s="211"/>
      <c r="DK526" s="220" t="s">
        <v>32</v>
      </c>
      <c r="DT526" s="222"/>
    </row>
    <row r="527" spans="1:124" s="176" customFormat="1" ht="42" x14ac:dyDescent="0.2">
      <c r="A527" s="195" t="s">
        <v>108</v>
      </c>
      <c r="B527" s="197" t="s">
        <v>1305</v>
      </c>
      <c r="C527" s="198">
        <v>1</v>
      </c>
      <c r="D527" s="199">
        <v>500000</v>
      </c>
      <c r="E527" s="198" t="s">
        <v>340</v>
      </c>
      <c r="F527" s="198" t="s">
        <v>238</v>
      </c>
      <c r="G527" s="198" t="s">
        <v>98</v>
      </c>
      <c r="H527" s="200">
        <v>1</v>
      </c>
      <c r="I527" s="199">
        <f t="shared" si="516"/>
        <v>0</v>
      </c>
      <c r="J527" s="199">
        <f t="shared" si="517"/>
        <v>500000</v>
      </c>
      <c r="K527" s="199">
        <f t="shared" si="518"/>
        <v>500000</v>
      </c>
      <c r="L527" s="199"/>
      <c r="M527" s="199">
        <v>500000</v>
      </c>
      <c r="N527" s="199">
        <f t="shared" si="519"/>
        <v>500000</v>
      </c>
      <c r="O527" s="199"/>
      <c r="P527" s="201">
        <v>0</v>
      </c>
      <c r="Q527" s="202">
        <v>206</v>
      </c>
      <c r="R527" s="203">
        <v>45583</v>
      </c>
      <c r="S527" s="204"/>
      <c r="T527" s="199">
        <v>500000</v>
      </c>
      <c r="U527" s="199">
        <f t="shared" si="520"/>
        <v>500000</v>
      </c>
      <c r="V527" s="205"/>
      <c r="W527" s="200"/>
      <c r="X527" s="201"/>
      <c r="Y527" s="201"/>
      <c r="Z527" s="201">
        <f t="shared" si="521"/>
        <v>0</v>
      </c>
      <c r="AA527" s="198"/>
      <c r="AB527" s="206"/>
      <c r="AC527" s="207"/>
      <c r="AD527" s="201"/>
      <c r="AE527" s="204">
        <f t="shared" si="522"/>
        <v>0</v>
      </c>
      <c r="AF527" s="203">
        <f t="shared" si="523"/>
        <v>45583</v>
      </c>
      <c r="AG527" s="201">
        <f t="shared" si="524"/>
        <v>0</v>
      </c>
      <c r="AH527" s="199">
        <f t="shared" si="525"/>
        <v>500000</v>
      </c>
      <c r="AI527" s="199">
        <f t="shared" si="526"/>
        <v>500000</v>
      </c>
      <c r="AJ527" s="201">
        <f t="shared" si="527"/>
        <v>0</v>
      </c>
      <c r="AK527" s="201">
        <f t="shared" si="527"/>
        <v>500000</v>
      </c>
      <c r="AL527" s="201">
        <f t="shared" si="528"/>
        <v>500000</v>
      </c>
      <c r="AM527" s="202"/>
      <c r="AN527" s="203"/>
      <c r="AO527" s="208"/>
      <c r="AP527" s="201">
        <f t="shared" si="529"/>
        <v>0</v>
      </c>
      <c r="AQ527" s="201">
        <f t="shared" si="530"/>
        <v>0</v>
      </c>
      <c r="AR527" s="201">
        <f t="shared" si="531"/>
        <v>0</v>
      </c>
      <c r="AS527" s="201">
        <f t="shared" si="532"/>
        <v>0</v>
      </c>
      <c r="AT527" s="201"/>
      <c r="AU527" s="223"/>
      <c r="AV527" s="201">
        <f t="shared" si="533"/>
        <v>0</v>
      </c>
      <c r="AW527" s="201">
        <f t="shared" si="548"/>
        <v>0</v>
      </c>
      <c r="AX527" s="201">
        <f t="shared" si="534"/>
        <v>0</v>
      </c>
      <c r="AY527" s="208"/>
      <c r="AZ527" s="201">
        <f t="shared" si="535"/>
        <v>0</v>
      </c>
      <c r="BA527" s="201">
        <f t="shared" si="536"/>
        <v>0</v>
      </c>
      <c r="BB527" s="201">
        <f t="shared" si="537"/>
        <v>0</v>
      </c>
      <c r="BC527" s="201"/>
      <c r="BD527" s="223"/>
      <c r="BE527" s="201">
        <f t="shared" si="538"/>
        <v>0</v>
      </c>
      <c r="BF527" s="208"/>
      <c r="BG527" s="201">
        <f t="shared" si="539"/>
        <v>0</v>
      </c>
      <c r="BH527" s="201">
        <f t="shared" si="539"/>
        <v>0</v>
      </c>
      <c r="BI527" s="201">
        <f t="shared" si="540"/>
        <v>0</v>
      </c>
      <c r="BJ527" s="201">
        <f t="shared" si="504"/>
        <v>0</v>
      </c>
      <c r="BK527" s="210"/>
      <c r="BL527" s="210"/>
      <c r="BM527" s="211" t="s">
        <v>1294</v>
      </c>
      <c r="BN527" s="211"/>
      <c r="BO527" s="212">
        <f t="shared" si="541"/>
        <v>0</v>
      </c>
      <c r="BP527" s="201">
        <f t="shared" si="542"/>
        <v>500000</v>
      </c>
      <c r="BQ527" s="201">
        <f t="shared" si="549"/>
        <v>500000</v>
      </c>
      <c r="BR527" s="201">
        <f t="shared" si="544"/>
        <v>0</v>
      </c>
      <c r="BS527" s="201">
        <f t="shared" si="544"/>
        <v>500000</v>
      </c>
      <c r="BT527" s="201">
        <f t="shared" si="550"/>
        <v>500000</v>
      </c>
      <c r="BU527" s="213">
        <f t="shared" si="551"/>
        <v>0</v>
      </c>
      <c r="BV527" s="201"/>
      <c r="BW527" s="201"/>
      <c r="BX527" s="201">
        <f t="shared" si="552"/>
        <v>0</v>
      </c>
      <c r="BY527" s="333">
        <v>166670</v>
      </c>
      <c r="BZ527" s="333">
        <v>333340</v>
      </c>
      <c r="CA527" s="333">
        <v>500000</v>
      </c>
      <c r="CB527" s="333"/>
      <c r="CC527" s="333"/>
      <c r="CD527" s="333"/>
      <c r="CE527" s="333"/>
      <c r="CF527" s="333"/>
      <c r="CG527" s="333"/>
      <c r="CH527" s="333"/>
      <c r="CI527" s="333"/>
      <c r="CJ527" s="333"/>
      <c r="CK527" s="214" t="s">
        <v>1295</v>
      </c>
      <c r="CL527" s="214" t="s">
        <v>610</v>
      </c>
      <c r="CM527" s="211">
        <v>198</v>
      </c>
      <c r="CN527" s="215"/>
      <c r="CO527" s="215">
        <v>200</v>
      </c>
      <c r="CP527" s="216">
        <v>58</v>
      </c>
      <c r="CQ527" s="217"/>
      <c r="CR527" s="211"/>
      <c r="CS527" s="218"/>
      <c r="CT527" s="218"/>
      <c r="CU527" s="218"/>
      <c r="CV527" s="211"/>
      <c r="CW527" s="211"/>
      <c r="CX527" s="211"/>
      <c r="CY527" s="211"/>
      <c r="CZ527" s="211"/>
      <c r="DA527" s="211"/>
      <c r="DB527" s="211"/>
      <c r="DC527" s="219"/>
      <c r="DD527" s="219"/>
      <c r="DE527" s="219"/>
      <c r="DF527" s="211"/>
      <c r="DG527" s="211"/>
      <c r="DH527" s="211"/>
      <c r="DI527" s="211"/>
      <c r="DJ527" s="211"/>
      <c r="DK527" s="220" t="s">
        <v>32</v>
      </c>
      <c r="DT527" s="222"/>
    </row>
    <row r="528" spans="1:124" s="176" customFormat="1" ht="42" x14ac:dyDescent="0.2">
      <c r="A528" s="195" t="s">
        <v>108</v>
      </c>
      <c r="B528" s="197" t="s">
        <v>1306</v>
      </c>
      <c r="C528" s="198">
        <v>1</v>
      </c>
      <c r="D528" s="199">
        <v>970000</v>
      </c>
      <c r="E528" s="198" t="s">
        <v>241</v>
      </c>
      <c r="F528" s="198" t="s">
        <v>241</v>
      </c>
      <c r="G528" s="198" t="s">
        <v>98</v>
      </c>
      <c r="H528" s="200">
        <v>1</v>
      </c>
      <c r="I528" s="199">
        <f t="shared" si="516"/>
        <v>0</v>
      </c>
      <c r="J528" s="199">
        <f t="shared" si="517"/>
        <v>970000</v>
      </c>
      <c r="K528" s="199">
        <f t="shared" si="518"/>
        <v>970000</v>
      </c>
      <c r="L528" s="199"/>
      <c r="M528" s="199">
        <v>970000</v>
      </c>
      <c r="N528" s="199">
        <f t="shared" si="519"/>
        <v>970000</v>
      </c>
      <c r="O528" s="199"/>
      <c r="P528" s="201">
        <v>0</v>
      </c>
      <c r="Q528" s="202">
        <v>206</v>
      </c>
      <c r="R528" s="203">
        <v>45583</v>
      </c>
      <c r="S528" s="204"/>
      <c r="T528" s="199">
        <v>970000</v>
      </c>
      <c r="U528" s="199">
        <f t="shared" si="520"/>
        <v>970000</v>
      </c>
      <c r="V528" s="205"/>
      <c r="W528" s="200"/>
      <c r="X528" s="201"/>
      <c r="Y528" s="201"/>
      <c r="Z528" s="201">
        <f t="shared" si="521"/>
        <v>0</v>
      </c>
      <c r="AA528" s="198"/>
      <c r="AB528" s="206"/>
      <c r="AC528" s="207"/>
      <c r="AD528" s="201"/>
      <c r="AE528" s="204">
        <f t="shared" si="522"/>
        <v>0</v>
      </c>
      <c r="AF528" s="203">
        <f t="shared" si="523"/>
        <v>45583</v>
      </c>
      <c r="AG528" s="201">
        <f t="shared" si="524"/>
        <v>0</v>
      </c>
      <c r="AH528" s="199">
        <f t="shared" si="525"/>
        <v>970000</v>
      </c>
      <c r="AI528" s="199">
        <f t="shared" si="526"/>
        <v>970000</v>
      </c>
      <c r="AJ528" s="201">
        <f t="shared" si="527"/>
        <v>0</v>
      </c>
      <c r="AK528" s="201">
        <f t="shared" si="527"/>
        <v>970000</v>
      </c>
      <c r="AL528" s="201">
        <f t="shared" si="528"/>
        <v>970000</v>
      </c>
      <c r="AM528" s="202"/>
      <c r="AN528" s="203"/>
      <c r="AO528" s="208"/>
      <c r="AP528" s="201">
        <f t="shared" si="529"/>
        <v>0</v>
      </c>
      <c r="AQ528" s="201">
        <f t="shared" si="530"/>
        <v>0</v>
      </c>
      <c r="AR528" s="201">
        <f t="shared" si="531"/>
        <v>0</v>
      </c>
      <c r="AS528" s="201">
        <f t="shared" si="532"/>
        <v>0</v>
      </c>
      <c r="AT528" s="201"/>
      <c r="AU528" s="223"/>
      <c r="AV528" s="201">
        <f t="shared" si="533"/>
        <v>0</v>
      </c>
      <c r="AW528" s="201">
        <f t="shared" si="548"/>
        <v>0</v>
      </c>
      <c r="AX528" s="201">
        <f t="shared" si="534"/>
        <v>0</v>
      </c>
      <c r="AY528" s="208"/>
      <c r="AZ528" s="201">
        <f t="shared" si="535"/>
        <v>0</v>
      </c>
      <c r="BA528" s="201">
        <f t="shared" si="536"/>
        <v>0</v>
      </c>
      <c r="BB528" s="201">
        <f t="shared" si="537"/>
        <v>0</v>
      </c>
      <c r="BC528" s="201"/>
      <c r="BD528" s="223"/>
      <c r="BE528" s="201">
        <f t="shared" si="538"/>
        <v>0</v>
      </c>
      <c r="BF528" s="208"/>
      <c r="BG528" s="201">
        <f t="shared" si="539"/>
        <v>0</v>
      </c>
      <c r="BH528" s="201">
        <f t="shared" si="539"/>
        <v>0</v>
      </c>
      <c r="BI528" s="201">
        <f t="shared" si="540"/>
        <v>0</v>
      </c>
      <c r="BJ528" s="201">
        <f t="shared" si="504"/>
        <v>0</v>
      </c>
      <c r="BK528" s="210"/>
      <c r="BL528" s="210"/>
      <c r="BM528" s="211" t="s">
        <v>1294</v>
      </c>
      <c r="BN528" s="211"/>
      <c r="BO528" s="212">
        <f t="shared" si="541"/>
        <v>0</v>
      </c>
      <c r="BP528" s="201">
        <f t="shared" si="542"/>
        <v>970000</v>
      </c>
      <c r="BQ528" s="201">
        <f t="shared" si="549"/>
        <v>970000</v>
      </c>
      <c r="BR528" s="201">
        <f t="shared" si="544"/>
        <v>0</v>
      </c>
      <c r="BS528" s="201">
        <f t="shared" si="544"/>
        <v>970000</v>
      </c>
      <c r="BT528" s="201">
        <f t="shared" si="550"/>
        <v>970000</v>
      </c>
      <c r="BU528" s="213">
        <f t="shared" si="551"/>
        <v>0</v>
      </c>
      <c r="BV528" s="201"/>
      <c r="BW528" s="201"/>
      <c r="BX528" s="201">
        <f t="shared" si="552"/>
        <v>0</v>
      </c>
      <c r="BY528" s="333">
        <v>370000</v>
      </c>
      <c r="BZ528" s="333">
        <v>670000</v>
      </c>
      <c r="CA528" s="333">
        <v>970000</v>
      </c>
      <c r="CB528" s="333"/>
      <c r="CC528" s="333"/>
      <c r="CD528" s="333"/>
      <c r="CE528" s="333"/>
      <c r="CF528" s="333"/>
      <c r="CG528" s="333"/>
      <c r="CH528" s="333"/>
      <c r="CI528" s="333"/>
      <c r="CJ528" s="333"/>
      <c r="CK528" s="214" t="s">
        <v>1295</v>
      </c>
      <c r="CL528" s="214" t="s">
        <v>610</v>
      </c>
      <c r="CM528" s="211">
        <v>198</v>
      </c>
      <c r="CN528" s="215"/>
      <c r="CO528" s="215">
        <v>500</v>
      </c>
      <c r="CP528" s="216">
        <v>50</v>
      </c>
      <c r="CQ528" s="217"/>
      <c r="CR528" s="211"/>
      <c r="CS528" s="218"/>
      <c r="CT528" s="218"/>
      <c r="CU528" s="218"/>
      <c r="CV528" s="211"/>
      <c r="CW528" s="211"/>
      <c r="CX528" s="211"/>
      <c r="CY528" s="211"/>
      <c r="CZ528" s="211"/>
      <c r="DA528" s="211"/>
      <c r="DB528" s="211"/>
      <c r="DC528" s="219"/>
      <c r="DD528" s="219"/>
      <c r="DE528" s="219"/>
      <c r="DF528" s="211"/>
      <c r="DG528" s="211"/>
      <c r="DH528" s="211"/>
      <c r="DI528" s="211"/>
      <c r="DJ528" s="211"/>
      <c r="DK528" s="220" t="s">
        <v>32</v>
      </c>
      <c r="DT528" s="222"/>
    </row>
    <row r="529" spans="1:124" s="176" customFormat="1" ht="42" x14ac:dyDescent="0.2">
      <c r="A529" s="195" t="s">
        <v>108</v>
      </c>
      <c r="B529" s="197" t="s">
        <v>1307</v>
      </c>
      <c r="C529" s="198">
        <v>1</v>
      </c>
      <c r="D529" s="199">
        <v>875000</v>
      </c>
      <c r="E529" s="198" t="s">
        <v>241</v>
      </c>
      <c r="F529" s="198" t="s">
        <v>241</v>
      </c>
      <c r="G529" s="198" t="s">
        <v>98</v>
      </c>
      <c r="H529" s="200">
        <v>1</v>
      </c>
      <c r="I529" s="199">
        <f t="shared" si="516"/>
        <v>0</v>
      </c>
      <c r="J529" s="199">
        <f t="shared" si="517"/>
        <v>875000</v>
      </c>
      <c r="K529" s="199">
        <f t="shared" si="518"/>
        <v>875000</v>
      </c>
      <c r="L529" s="199"/>
      <c r="M529" s="199">
        <v>875000</v>
      </c>
      <c r="N529" s="199">
        <f t="shared" si="519"/>
        <v>875000</v>
      </c>
      <c r="O529" s="199"/>
      <c r="P529" s="201">
        <v>0</v>
      </c>
      <c r="Q529" s="202">
        <v>206</v>
      </c>
      <c r="R529" s="203">
        <v>45583</v>
      </c>
      <c r="S529" s="204"/>
      <c r="T529" s="199">
        <v>875000</v>
      </c>
      <c r="U529" s="199">
        <f t="shared" si="520"/>
        <v>875000</v>
      </c>
      <c r="V529" s="205"/>
      <c r="W529" s="200"/>
      <c r="X529" s="201"/>
      <c r="Y529" s="201"/>
      <c r="Z529" s="201">
        <f t="shared" si="521"/>
        <v>0</v>
      </c>
      <c r="AA529" s="198"/>
      <c r="AB529" s="206"/>
      <c r="AC529" s="207"/>
      <c r="AD529" s="201"/>
      <c r="AE529" s="204">
        <f t="shared" si="522"/>
        <v>0</v>
      </c>
      <c r="AF529" s="203">
        <f t="shared" si="523"/>
        <v>45583</v>
      </c>
      <c r="AG529" s="201">
        <f t="shared" si="524"/>
        <v>0</v>
      </c>
      <c r="AH529" s="199">
        <f t="shared" si="525"/>
        <v>875000</v>
      </c>
      <c r="AI529" s="199">
        <f t="shared" si="526"/>
        <v>875000</v>
      </c>
      <c r="AJ529" s="201">
        <f t="shared" si="527"/>
        <v>0</v>
      </c>
      <c r="AK529" s="201">
        <f t="shared" si="527"/>
        <v>875000</v>
      </c>
      <c r="AL529" s="201">
        <f t="shared" si="528"/>
        <v>875000</v>
      </c>
      <c r="AM529" s="202"/>
      <c r="AN529" s="203"/>
      <c r="AO529" s="208"/>
      <c r="AP529" s="201">
        <f t="shared" si="529"/>
        <v>0</v>
      </c>
      <c r="AQ529" s="201">
        <f t="shared" si="530"/>
        <v>0</v>
      </c>
      <c r="AR529" s="201">
        <f t="shared" si="531"/>
        <v>0</v>
      </c>
      <c r="AS529" s="201">
        <f t="shared" si="532"/>
        <v>0</v>
      </c>
      <c r="AT529" s="201"/>
      <c r="AU529" s="223"/>
      <c r="AV529" s="201">
        <f t="shared" si="533"/>
        <v>0</v>
      </c>
      <c r="AW529" s="201">
        <f t="shared" si="548"/>
        <v>0</v>
      </c>
      <c r="AX529" s="201">
        <f t="shared" si="534"/>
        <v>0</v>
      </c>
      <c r="AY529" s="208"/>
      <c r="AZ529" s="201">
        <f t="shared" si="535"/>
        <v>0</v>
      </c>
      <c r="BA529" s="201">
        <f t="shared" si="536"/>
        <v>0</v>
      </c>
      <c r="BB529" s="201">
        <f t="shared" si="537"/>
        <v>0</v>
      </c>
      <c r="BC529" s="201"/>
      <c r="BD529" s="223"/>
      <c r="BE529" s="201">
        <f t="shared" si="538"/>
        <v>0</v>
      </c>
      <c r="BF529" s="208"/>
      <c r="BG529" s="201">
        <f t="shared" si="539"/>
        <v>0</v>
      </c>
      <c r="BH529" s="201">
        <f t="shared" si="539"/>
        <v>0</v>
      </c>
      <c r="BI529" s="201">
        <f t="shared" si="540"/>
        <v>0</v>
      </c>
      <c r="BJ529" s="201">
        <f t="shared" si="504"/>
        <v>0</v>
      </c>
      <c r="BK529" s="210"/>
      <c r="BL529" s="210"/>
      <c r="BM529" s="211" t="s">
        <v>1294</v>
      </c>
      <c r="BN529" s="211"/>
      <c r="BO529" s="212">
        <f t="shared" si="541"/>
        <v>0</v>
      </c>
      <c r="BP529" s="201">
        <f t="shared" si="542"/>
        <v>875000</v>
      </c>
      <c r="BQ529" s="201">
        <f t="shared" si="549"/>
        <v>875000</v>
      </c>
      <c r="BR529" s="201">
        <f t="shared" si="544"/>
        <v>0</v>
      </c>
      <c r="BS529" s="201">
        <f t="shared" si="544"/>
        <v>875000</v>
      </c>
      <c r="BT529" s="201">
        <f t="shared" si="550"/>
        <v>875000</v>
      </c>
      <c r="BU529" s="213">
        <f t="shared" si="551"/>
        <v>0</v>
      </c>
      <c r="BV529" s="201"/>
      <c r="BW529" s="201"/>
      <c r="BX529" s="201">
        <f t="shared" si="552"/>
        <v>0</v>
      </c>
      <c r="BY529" s="333">
        <v>350000</v>
      </c>
      <c r="BZ529" s="333">
        <v>620000</v>
      </c>
      <c r="CA529" s="333">
        <v>875000</v>
      </c>
      <c r="CB529" s="333"/>
      <c r="CC529" s="333"/>
      <c r="CD529" s="333"/>
      <c r="CE529" s="333"/>
      <c r="CF529" s="333"/>
      <c r="CG529" s="333"/>
      <c r="CH529" s="333"/>
      <c r="CI529" s="333"/>
      <c r="CJ529" s="333"/>
      <c r="CK529" s="214" t="s">
        <v>1295</v>
      </c>
      <c r="CL529" s="214" t="s">
        <v>610</v>
      </c>
      <c r="CM529" s="211">
        <v>198</v>
      </c>
      <c r="CN529" s="215"/>
      <c r="CO529" s="215">
        <v>500</v>
      </c>
      <c r="CP529" s="216">
        <v>50</v>
      </c>
      <c r="CQ529" s="217"/>
      <c r="CR529" s="211"/>
      <c r="CS529" s="218"/>
      <c r="CT529" s="218"/>
      <c r="CU529" s="218"/>
      <c r="CV529" s="211"/>
      <c r="CW529" s="211"/>
      <c r="CX529" s="211"/>
      <c r="CY529" s="211"/>
      <c r="CZ529" s="211"/>
      <c r="DA529" s="211"/>
      <c r="DB529" s="211"/>
      <c r="DC529" s="219"/>
      <c r="DD529" s="219"/>
      <c r="DE529" s="219"/>
      <c r="DF529" s="211"/>
      <c r="DG529" s="211"/>
      <c r="DH529" s="211"/>
      <c r="DI529" s="211"/>
      <c r="DJ529" s="211"/>
      <c r="DK529" s="220" t="s">
        <v>32</v>
      </c>
      <c r="DT529" s="222"/>
    </row>
    <row r="530" spans="1:124" s="108" customFormat="1" x14ac:dyDescent="0.2">
      <c r="A530" s="334" t="s">
        <v>90</v>
      </c>
      <c r="B530" s="226" t="s">
        <v>1308</v>
      </c>
      <c r="C530" s="139">
        <f>+C531+C547</f>
        <v>21</v>
      </c>
      <c r="D530" s="141">
        <f>+D531+D547</f>
        <v>966618300</v>
      </c>
      <c r="E530" s="139"/>
      <c r="F530" s="139"/>
      <c r="G530" s="139"/>
      <c r="H530" s="139">
        <f t="shared" ref="H530:AR530" si="553">+H531+H547</f>
        <v>21</v>
      </c>
      <c r="I530" s="141">
        <f t="shared" si="553"/>
        <v>24767700</v>
      </c>
      <c r="J530" s="141">
        <f t="shared" si="553"/>
        <v>941850600</v>
      </c>
      <c r="K530" s="141">
        <f t="shared" si="553"/>
        <v>966618300</v>
      </c>
      <c r="L530" s="141">
        <f t="shared" si="553"/>
        <v>24767700</v>
      </c>
      <c r="M530" s="141">
        <f t="shared" si="553"/>
        <v>941850600</v>
      </c>
      <c r="N530" s="141">
        <f t="shared" si="553"/>
        <v>966618300</v>
      </c>
      <c r="O530" s="141">
        <f t="shared" si="553"/>
        <v>0</v>
      </c>
      <c r="P530" s="142">
        <f t="shared" si="553"/>
        <v>0</v>
      </c>
      <c r="Q530" s="139">
        <f t="shared" si="553"/>
        <v>1755</v>
      </c>
      <c r="R530" s="139">
        <f t="shared" si="553"/>
        <v>911482</v>
      </c>
      <c r="S530" s="144">
        <f t="shared" si="553"/>
        <v>0</v>
      </c>
      <c r="T530" s="144">
        <f t="shared" si="553"/>
        <v>931424200</v>
      </c>
      <c r="U530" s="144">
        <f t="shared" si="553"/>
        <v>931424200</v>
      </c>
      <c r="V530" s="139">
        <f t="shared" si="553"/>
        <v>9629</v>
      </c>
      <c r="W530" s="143">
        <f t="shared" si="553"/>
        <v>866588</v>
      </c>
      <c r="X530" s="144">
        <f t="shared" si="553"/>
        <v>409444</v>
      </c>
      <c r="Y530" s="141">
        <f t="shared" si="553"/>
        <v>-95737194.280000016</v>
      </c>
      <c r="Z530" s="144">
        <f t="shared" si="553"/>
        <v>-95327750.280000016</v>
      </c>
      <c r="AA530" s="139">
        <f t="shared" si="553"/>
        <v>20168</v>
      </c>
      <c r="AB530" s="143">
        <f t="shared" si="553"/>
        <v>821981</v>
      </c>
      <c r="AC530" s="144">
        <f t="shared" si="553"/>
        <v>19249877</v>
      </c>
      <c r="AD530" s="144">
        <f t="shared" si="553"/>
        <v>58929291.189999983</v>
      </c>
      <c r="AE530" s="144">
        <f t="shared" si="553"/>
        <v>78179168.189999998</v>
      </c>
      <c r="AF530" s="227">
        <f t="shared" si="553"/>
        <v>20</v>
      </c>
      <c r="AG530" s="142">
        <f t="shared" si="553"/>
        <v>19659321</v>
      </c>
      <c r="AH530" s="228">
        <f t="shared" si="553"/>
        <v>901288296.90999997</v>
      </c>
      <c r="AI530" s="228">
        <f t="shared" si="553"/>
        <v>920947617.90999997</v>
      </c>
      <c r="AJ530" s="142">
        <f t="shared" si="553"/>
        <v>19659321</v>
      </c>
      <c r="AK530" s="142">
        <f t="shared" si="553"/>
        <v>894616296.91000009</v>
      </c>
      <c r="AL530" s="142">
        <f t="shared" si="553"/>
        <v>914275617.91000009</v>
      </c>
      <c r="AM530" s="148">
        <f t="shared" si="553"/>
        <v>2310</v>
      </c>
      <c r="AN530" s="149">
        <f t="shared" si="553"/>
        <v>455860</v>
      </c>
      <c r="AO530" s="150">
        <f t="shared" si="553"/>
        <v>6672000</v>
      </c>
      <c r="AP530" s="142">
        <f t="shared" si="553"/>
        <v>729320.1</v>
      </c>
      <c r="AQ530" s="142">
        <f t="shared" si="553"/>
        <v>473023098.08999991</v>
      </c>
      <c r="AR530" s="142">
        <f t="shared" si="553"/>
        <v>473752418.18999994</v>
      </c>
      <c r="AS530" s="142">
        <f>IF(AI530= 0,0,(AR530*100/AI530))</f>
        <v>51.441841965467532</v>
      </c>
      <c r="AT530" s="142">
        <f>+AT531+AT547</f>
        <v>729320.1</v>
      </c>
      <c r="AU530" s="151">
        <f>+AU531+AU547</f>
        <v>470339547.63999993</v>
      </c>
      <c r="AV530" s="142">
        <f>+AV531+AV547</f>
        <v>471068867.73999995</v>
      </c>
      <c r="AW530" s="142"/>
      <c r="AX530" s="142">
        <f>IF(AL530= 0,0,(AV530*100/AL530))</f>
        <v>51.52372638098408</v>
      </c>
      <c r="AY530" s="150">
        <f t="shared" ref="AY530:BI530" si="554">+AY531+AY547</f>
        <v>2683550.4499999997</v>
      </c>
      <c r="AZ530" s="142">
        <f t="shared" si="554"/>
        <v>0</v>
      </c>
      <c r="BA530" s="142">
        <f t="shared" si="554"/>
        <v>94364519.530000001</v>
      </c>
      <c r="BB530" s="142">
        <f t="shared" si="554"/>
        <v>94364519.530000001</v>
      </c>
      <c r="BC530" s="142">
        <f t="shared" si="554"/>
        <v>0</v>
      </c>
      <c r="BD530" s="151">
        <f t="shared" si="554"/>
        <v>94212652.36999999</v>
      </c>
      <c r="BE530" s="142">
        <f t="shared" si="554"/>
        <v>94212652.36999999</v>
      </c>
      <c r="BF530" s="150">
        <f t="shared" si="554"/>
        <v>151867.16</v>
      </c>
      <c r="BG530" s="142">
        <f t="shared" si="554"/>
        <v>729320.1</v>
      </c>
      <c r="BH530" s="142">
        <f t="shared" si="554"/>
        <v>567387617.62</v>
      </c>
      <c r="BI530" s="142">
        <f t="shared" si="554"/>
        <v>568116937.72000003</v>
      </c>
      <c r="BJ530" s="142">
        <f t="shared" si="504"/>
        <v>61.688300905678602</v>
      </c>
      <c r="BK530" s="229"/>
      <c r="BL530" s="229"/>
      <c r="BM530" s="230"/>
      <c r="BN530" s="230"/>
      <c r="BO530" s="154">
        <f t="shared" ref="BO530:BU530" si="555">+BO531+BO547</f>
        <v>18930000.899999999</v>
      </c>
      <c r="BP530" s="142">
        <f t="shared" si="555"/>
        <v>428265198.82000005</v>
      </c>
      <c r="BQ530" s="142">
        <f t="shared" si="555"/>
        <v>447195199.72000009</v>
      </c>
      <c r="BR530" s="142">
        <f t="shared" si="555"/>
        <v>18930000.899999999</v>
      </c>
      <c r="BS530" s="142">
        <f t="shared" si="555"/>
        <v>424276749.27000004</v>
      </c>
      <c r="BT530" s="142">
        <f t="shared" si="555"/>
        <v>443206750.17000002</v>
      </c>
      <c r="BU530" s="155">
        <f t="shared" si="555"/>
        <v>3988449.5500000003</v>
      </c>
      <c r="BV530" s="142"/>
      <c r="BW530" s="142"/>
      <c r="BX530" s="142">
        <f t="shared" ref="BX530:BX532" si="556">SUM(BV530:BW530)</f>
        <v>0</v>
      </c>
      <c r="BY530" s="141"/>
      <c r="BZ530" s="141"/>
      <c r="CA530" s="141"/>
      <c r="CB530" s="141"/>
      <c r="CC530" s="141"/>
      <c r="CD530" s="141"/>
      <c r="CE530" s="141"/>
      <c r="CF530" s="141"/>
      <c r="CG530" s="141"/>
      <c r="CH530" s="141"/>
      <c r="CI530" s="141"/>
      <c r="CJ530" s="141"/>
      <c r="CK530" s="156"/>
      <c r="CL530" s="156"/>
      <c r="CM530" s="157"/>
      <c r="CN530" s="231"/>
      <c r="CO530" s="231"/>
      <c r="CP530" s="232"/>
      <c r="CQ530" s="233"/>
      <c r="CR530" s="157"/>
      <c r="CS530" s="234"/>
      <c r="CT530" s="234"/>
      <c r="CU530" s="234"/>
      <c r="CV530" s="157"/>
      <c r="CW530" s="157"/>
      <c r="CX530" s="157"/>
      <c r="CY530" s="157"/>
      <c r="CZ530" s="157"/>
      <c r="DA530" s="157"/>
      <c r="DB530" s="157"/>
      <c r="DC530" s="235"/>
      <c r="DD530" s="235"/>
      <c r="DE530" s="235"/>
      <c r="DF530" s="157"/>
      <c r="DG530" s="157"/>
      <c r="DH530" s="157"/>
      <c r="DI530" s="157"/>
      <c r="DJ530" s="157"/>
      <c r="DK530" s="135"/>
      <c r="DT530" s="222"/>
    </row>
    <row r="531" spans="1:124" s="176" customFormat="1" x14ac:dyDescent="0.2">
      <c r="A531" s="158" t="s">
        <v>90</v>
      </c>
      <c r="B531" s="159" t="s">
        <v>1309</v>
      </c>
      <c r="C531" s="160">
        <f>+C532</f>
        <v>14</v>
      </c>
      <c r="D531" s="161">
        <f>+D532</f>
        <v>809783300</v>
      </c>
      <c r="E531" s="160"/>
      <c r="F531" s="160"/>
      <c r="G531" s="160"/>
      <c r="H531" s="160">
        <f>+H532</f>
        <v>14</v>
      </c>
      <c r="I531" s="161">
        <f>+I532</f>
        <v>23950700</v>
      </c>
      <c r="J531" s="161">
        <f t="shared" ref="J531:N531" si="557">+J532</f>
        <v>785832600</v>
      </c>
      <c r="K531" s="161">
        <f t="shared" si="557"/>
        <v>809783300</v>
      </c>
      <c r="L531" s="161">
        <f t="shared" si="557"/>
        <v>23950700</v>
      </c>
      <c r="M531" s="161">
        <f t="shared" si="557"/>
        <v>785832600</v>
      </c>
      <c r="N531" s="161">
        <f t="shared" si="557"/>
        <v>809783300</v>
      </c>
      <c r="O531" s="161">
        <f>+O532</f>
        <v>0</v>
      </c>
      <c r="P531" s="162">
        <f t="shared" ref="P531:AE531" si="558">+P532</f>
        <v>0</v>
      </c>
      <c r="Q531" s="160">
        <f t="shared" si="558"/>
        <v>883</v>
      </c>
      <c r="R531" s="163">
        <f t="shared" si="558"/>
        <v>638014</v>
      </c>
      <c r="S531" s="164">
        <f t="shared" si="558"/>
        <v>0</v>
      </c>
      <c r="T531" s="164">
        <f t="shared" si="558"/>
        <v>785420700</v>
      </c>
      <c r="U531" s="164">
        <f t="shared" si="558"/>
        <v>785420700</v>
      </c>
      <c r="V531" s="160">
        <f t="shared" si="558"/>
        <v>6635</v>
      </c>
      <c r="W531" s="163">
        <f t="shared" si="558"/>
        <v>638514</v>
      </c>
      <c r="X531" s="164">
        <f t="shared" si="558"/>
        <v>409444</v>
      </c>
      <c r="Y531" s="161">
        <f t="shared" si="558"/>
        <v>-89436150.220000014</v>
      </c>
      <c r="Z531" s="164">
        <f t="shared" si="558"/>
        <v>-89026706.220000014</v>
      </c>
      <c r="AA531" s="160">
        <f t="shared" si="558"/>
        <v>15329</v>
      </c>
      <c r="AB531" s="163">
        <f t="shared" si="558"/>
        <v>593736</v>
      </c>
      <c r="AC531" s="164">
        <f t="shared" si="558"/>
        <v>18440000</v>
      </c>
      <c r="AD531" s="164">
        <f t="shared" si="558"/>
        <v>60150014.029999986</v>
      </c>
      <c r="AE531" s="164">
        <f t="shared" si="558"/>
        <v>78590014.030000001</v>
      </c>
      <c r="AF531" s="165">
        <f>+AF532</f>
        <v>14</v>
      </c>
      <c r="AG531" s="162">
        <f t="shared" ref="AG531:AR531" si="559">+AG532</f>
        <v>18849444</v>
      </c>
      <c r="AH531" s="166">
        <f t="shared" si="559"/>
        <v>762644263.80999994</v>
      </c>
      <c r="AI531" s="166">
        <f t="shared" si="559"/>
        <v>781493707.80999994</v>
      </c>
      <c r="AJ531" s="162">
        <f t="shared" si="559"/>
        <v>18849444</v>
      </c>
      <c r="AK531" s="162">
        <f t="shared" si="559"/>
        <v>756134563.81000006</v>
      </c>
      <c r="AL531" s="162">
        <f t="shared" si="559"/>
        <v>774984007.81000006</v>
      </c>
      <c r="AM531" s="167">
        <f t="shared" si="559"/>
        <v>2079</v>
      </c>
      <c r="AN531" s="168">
        <f t="shared" si="559"/>
        <v>410274</v>
      </c>
      <c r="AO531" s="169">
        <f t="shared" si="559"/>
        <v>6509700</v>
      </c>
      <c r="AP531" s="162">
        <f t="shared" si="559"/>
        <v>409443.1</v>
      </c>
      <c r="AQ531" s="162">
        <f t="shared" si="559"/>
        <v>411993886.7899999</v>
      </c>
      <c r="AR531" s="162">
        <f t="shared" si="559"/>
        <v>412403329.88999993</v>
      </c>
      <c r="AS531" s="162">
        <f>IF(AI531= 0,0,(AR531*100/AI531))</f>
        <v>52.771164472416352</v>
      </c>
      <c r="AT531" s="162">
        <f>+AT532</f>
        <v>409443.1</v>
      </c>
      <c r="AU531" s="170">
        <f t="shared" ref="AU531:AV531" si="560">+AU532</f>
        <v>409448792.98999995</v>
      </c>
      <c r="AV531" s="162">
        <f t="shared" si="560"/>
        <v>409858236.08999997</v>
      </c>
      <c r="AW531" s="162"/>
      <c r="AX531" s="162">
        <f>IF(AL531= 0,0,(AV531*100/AL531))</f>
        <v>52.886024996593662</v>
      </c>
      <c r="AY531" s="169">
        <f t="shared" ref="AY531:BI531" si="561">+AY532</f>
        <v>2545093.7999999998</v>
      </c>
      <c r="AZ531" s="162">
        <f t="shared" si="561"/>
        <v>0</v>
      </c>
      <c r="BA531" s="162">
        <f t="shared" si="561"/>
        <v>93011957.730000004</v>
      </c>
      <c r="BB531" s="162">
        <f t="shared" si="561"/>
        <v>93011957.730000004</v>
      </c>
      <c r="BC531" s="162">
        <f t="shared" si="561"/>
        <v>0</v>
      </c>
      <c r="BD531" s="170">
        <f t="shared" si="561"/>
        <v>92860090.569999993</v>
      </c>
      <c r="BE531" s="162">
        <f t="shared" si="561"/>
        <v>92860090.569999993</v>
      </c>
      <c r="BF531" s="169">
        <f t="shared" si="561"/>
        <v>151867.16</v>
      </c>
      <c r="BG531" s="162">
        <f t="shared" si="561"/>
        <v>409443.1</v>
      </c>
      <c r="BH531" s="162">
        <f t="shared" si="561"/>
        <v>505005844.51999998</v>
      </c>
      <c r="BI531" s="162">
        <f t="shared" si="561"/>
        <v>505415287.62</v>
      </c>
      <c r="BJ531" s="162">
        <f t="shared" si="504"/>
        <v>64.67298233741873</v>
      </c>
      <c r="BK531" s="171"/>
      <c r="BL531" s="171"/>
      <c r="BM531" s="236"/>
      <c r="BN531" s="236"/>
      <c r="BO531" s="173">
        <f t="shared" ref="BO531:BU531" si="562">+BO532</f>
        <v>18440000.899999999</v>
      </c>
      <c r="BP531" s="162">
        <f t="shared" si="562"/>
        <v>350650377.02000004</v>
      </c>
      <c r="BQ531" s="162">
        <f t="shared" si="562"/>
        <v>369090377.92000008</v>
      </c>
      <c r="BR531" s="162">
        <f t="shared" si="562"/>
        <v>18440000.899999999</v>
      </c>
      <c r="BS531" s="162">
        <f t="shared" si="562"/>
        <v>346685770.82000005</v>
      </c>
      <c r="BT531" s="162">
        <f t="shared" si="562"/>
        <v>365125771.72000003</v>
      </c>
      <c r="BU531" s="174">
        <f t="shared" si="562"/>
        <v>3964606.2</v>
      </c>
      <c r="BV531" s="162"/>
      <c r="BW531" s="162"/>
      <c r="BX531" s="162">
        <f t="shared" si="556"/>
        <v>0</v>
      </c>
      <c r="BY531" s="161"/>
      <c r="BZ531" s="161"/>
      <c r="CA531" s="161"/>
      <c r="CB531" s="161"/>
      <c r="CC531" s="161"/>
      <c r="CD531" s="161"/>
      <c r="CE531" s="161"/>
      <c r="CF531" s="161"/>
      <c r="CG531" s="161"/>
      <c r="CH531" s="161"/>
      <c r="CI531" s="161"/>
      <c r="CJ531" s="161"/>
      <c r="CK531" s="175"/>
      <c r="CL531" s="175"/>
      <c r="CM531" s="148"/>
      <c r="CN531" s="237"/>
      <c r="CO531" s="237"/>
      <c r="CP531" s="238"/>
      <c r="CQ531" s="239"/>
      <c r="CR531" s="148"/>
      <c r="CS531" s="240"/>
      <c r="CT531" s="240"/>
      <c r="CU531" s="240"/>
      <c r="CV531" s="148"/>
      <c r="CW531" s="148"/>
      <c r="CX531" s="148"/>
      <c r="CY531" s="148"/>
      <c r="CZ531" s="148"/>
      <c r="DA531" s="148"/>
      <c r="DB531" s="148"/>
      <c r="DC531" s="241"/>
      <c r="DD531" s="241"/>
      <c r="DE531" s="241"/>
      <c r="DF531" s="148"/>
      <c r="DG531" s="148"/>
      <c r="DH531" s="148"/>
      <c r="DI531" s="148"/>
      <c r="DJ531" s="148"/>
      <c r="DK531" s="135"/>
      <c r="DT531" s="222"/>
    </row>
    <row r="532" spans="1:124" s="194" customFormat="1" x14ac:dyDescent="0.2">
      <c r="A532" s="177" t="s">
        <v>90</v>
      </c>
      <c r="B532" s="179" t="s">
        <v>93</v>
      </c>
      <c r="C532" s="180">
        <f>SUBTOTAL(103,C533:C546)</f>
        <v>14</v>
      </c>
      <c r="D532" s="181">
        <f>SUBTOTAL(109,D533:D546)</f>
        <v>809783300</v>
      </c>
      <c r="E532" s="182"/>
      <c r="F532" s="182"/>
      <c r="G532" s="182"/>
      <c r="H532" s="180">
        <f>SUBTOTAL(103,H533:H546)</f>
        <v>14</v>
      </c>
      <c r="I532" s="181">
        <f t="shared" ref="I532:AE532" si="563">SUBTOTAL(109,I533:I546)</f>
        <v>23950700</v>
      </c>
      <c r="J532" s="181">
        <f t="shared" si="563"/>
        <v>785832600</v>
      </c>
      <c r="K532" s="181">
        <f t="shared" si="563"/>
        <v>809783300</v>
      </c>
      <c r="L532" s="181">
        <f t="shared" si="563"/>
        <v>23950700</v>
      </c>
      <c r="M532" s="181">
        <f t="shared" si="563"/>
        <v>785832600</v>
      </c>
      <c r="N532" s="181">
        <f t="shared" si="563"/>
        <v>809783300</v>
      </c>
      <c r="O532" s="181">
        <f t="shared" si="563"/>
        <v>0</v>
      </c>
      <c r="P532" s="183">
        <f t="shared" si="563"/>
        <v>0</v>
      </c>
      <c r="Q532" s="182">
        <f t="shared" si="563"/>
        <v>883</v>
      </c>
      <c r="R532" s="185">
        <f t="shared" si="563"/>
        <v>638014</v>
      </c>
      <c r="S532" s="184">
        <f t="shared" si="563"/>
        <v>0</v>
      </c>
      <c r="T532" s="184">
        <f t="shared" si="563"/>
        <v>785420700</v>
      </c>
      <c r="U532" s="184">
        <f t="shared" si="563"/>
        <v>785420700</v>
      </c>
      <c r="V532" s="180">
        <f t="shared" si="563"/>
        <v>6635</v>
      </c>
      <c r="W532" s="185">
        <f t="shared" si="563"/>
        <v>638514</v>
      </c>
      <c r="X532" s="184">
        <f t="shared" si="563"/>
        <v>409444</v>
      </c>
      <c r="Y532" s="181">
        <f t="shared" si="563"/>
        <v>-89436150.220000014</v>
      </c>
      <c r="Z532" s="184">
        <f t="shared" si="563"/>
        <v>-89026706.220000014</v>
      </c>
      <c r="AA532" s="182">
        <f t="shared" si="563"/>
        <v>15329</v>
      </c>
      <c r="AB532" s="185">
        <f t="shared" si="563"/>
        <v>593736</v>
      </c>
      <c r="AC532" s="184">
        <f t="shared" si="563"/>
        <v>18440000</v>
      </c>
      <c r="AD532" s="184">
        <f t="shared" si="563"/>
        <v>60150014.029999986</v>
      </c>
      <c r="AE532" s="184">
        <f t="shared" si="563"/>
        <v>78590014.030000001</v>
      </c>
      <c r="AF532" s="180">
        <f>SUBTOTAL(103,Q533:Q546)</f>
        <v>14</v>
      </c>
      <c r="AG532" s="183">
        <f t="shared" ref="AG532:AR532" si="564">SUBTOTAL(109,AG533:AG546)</f>
        <v>18849444</v>
      </c>
      <c r="AH532" s="184">
        <f t="shared" si="564"/>
        <v>762644263.80999994</v>
      </c>
      <c r="AI532" s="184">
        <f t="shared" si="564"/>
        <v>781493707.80999994</v>
      </c>
      <c r="AJ532" s="183">
        <f t="shared" si="564"/>
        <v>18849444</v>
      </c>
      <c r="AK532" s="183">
        <f t="shared" si="564"/>
        <v>756134563.81000006</v>
      </c>
      <c r="AL532" s="183">
        <f t="shared" si="564"/>
        <v>774984007.81000006</v>
      </c>
      <c r="AM532" s="182">
        <f t="shared" si="564"/>
        <v>2079</v>
      </c>
      <c r="AN532" s="185">
        <f t="shared" si="564"/>
        <v>410274</v>
      </c>
      <c r="AO532" s="186">
        <f t="shared" si="564"/>
        <v>6509700</v>
      </c>
      <c r="AP532" s="183">
        <f t="shared" si="564"/>
        <v>409443.1</v>
      </c>
      <c r="AQ532" s="183">
        <f t="shared" si="564"/>
        <v>411993886.7899999</v>
      </c>
      <c r="AR532" s="183">
        <f t="shared" si="564"/>
        <v>412403329.88999993</v>
      </c>
      <c r="AS532" s="183">
        <f>IF(AI532= 0,0,(AR532*100/AI532))</f>
        <v>52.771164472416352</v>
      </c>
      <c r="AT532" s="183">
        <f>SUBTOTAL(109,AT533:AT546)</f>
        <v>409443.1</v>
      </c>
      <c r="AU532" s="187">
        <f>SUBTOTAL(109,AU533:AU546)</f>
        <v>409448792.98999995</v>
      </c>
      <c r="AV532" s="183">
        <f>SUBTOTAL(109,AV533:AV546)</f>
        <v>409858236.08999997</v>
      </c>
      <c r="AW532" s="183"/>
      <c r="AX532" s="183">
        <f>IF(AL532= 0,0,(AV532*100/AL532))</f>
        <v>52.886024996593662</v>
      </c>
      <c r="AY532" s="186">
        <f t="shared" ref="AY532:BI532" si="565">SUBTOTAL(109,AY533:AY546)</f>
        <v>2545093.7999999998</v>
      </c>
      <c r="AZ532" s="183">
        <f t="shared" si="565"/>
        <v>0</v>
      </c>
      <c r="BA532" s="183">
        <f t="shared" si="565"/>
        <v>93011957.730000004</v>
      </c>
      <c r="BB532" s="183">
        <f t="shared" si="565"/>
        <v>93011957.730000004</v>
      </c>
      <c r="BC532" s="183">
        <f t="shared" si="565"/>
        <v>0</v>
      </c>
      <c r="BD532" s="187">
        <f t="shared" si="565"/>
        <v>92860090.569999993</v>
      </c>
      <c r="BE532" s="183">
        <f t="shared" si="565"/>
        <v>92860090.569999993</v>
      </c>
      <c r="BF532" s="186">
        <f t="shared" si="565"/>
        <v>151867.16</v>
      </c>
      <c r="BG532" s="183">
        <f t="shared" si="565"/>
        <v>409443.1</v>
      </c>
      <c r="BH532" s="183">
        <f t="shared" si="565"/>
        <v>505005844.51999998</v>
      </c>
      <c r="BI532" s="183">
        <f t="shared" si="565"/>
        <v>505415287.62</v>
      </c>
      <c r="BJ532" s="183">
        <f t="shared" si="504"/>
        <v>64.67298233741873</v>
      </c>
      <c r="BK532" s="188"/>
      <c r="BL532" s="188"/>
      <c r="BM532" s="189"/>
      <c r="BN532" s="189"/>
      <c r="BO532" s="190">
        <f t="shared" ref="BO532:BU532" si="566">SUBTOTAL(109,BO533:BO546)</f>
        <v>18440000.899999999</v>
      </c>
      <c r="BP532" s="183">
        <f t="shared" si="566"/>
        <v>350650377.02000004</v>
      </c>
      <c r="BQ532" s="183">
        <f t="shared" si="566"/>
        <v>369090377.92000008</v>
      </c>
      <c r="BR532" s="183">
        <f t="shared" si="566"/>
        <v>18440000.899999999</v>
      </c>
      <c r="BS532" s="183">
        <f t="shared" si="566"/>
        <v>346685770.82000005</v>
      </c>
      <c r="BT532" s="183">
        <f t="shared" si="566"/>
        <v>365125771.72000003</v>
      </c>
      <c r="BU532" s="191">
        <f t="shared" si="566"/>
        <v>3964606.2</v>
      </c>
      <c r="BV532" s="183"/>
      <c r="BW532" s="183"/>
      <c r="BX532" s="183">
        <f t="shared" si="556"/>
        <v>0</v>
      </c>
      <c r="BY532" s="181"/>
      <c r="BZ532" s="181"/>
      <c r="CA532" s="181"/>
      <c r="CB532" s="181"/>
      <c r="CC532" s="181"/>
      <c r="CD532" s="181"/>
      <c r="CE532" s="181"/>
      <c r="CF532" s="181"/>
      <c r="CG532" s="181"/>
      <c r="CH532" s="181"/>
      <c r="CI532" s="181"/>
      <c r="CJ532" s="181"/>
      <c r="CK532" s="192"/>
      <c r="CL532" s="192"/>
      <c r="CM532" s="193"/>
      <c r="CN532" s="242"/>
      <c r="CO532" s="242"/>
      <c r="CP532" s="243"/>
      <c r="CQ532" s="244"/>
      <c r="CR532" s="193"/>
      <c r="CS532" s="245"/>
      <c r="CT532" s="245"/>
      <c r="CU532" s="245"/>
      <c r="CV532" s="193"/>
      <c r="CW532" s="193"/>
      <c r="CX532" s="193"/>
      <c r="CY532" s="193"/>
      <c r="CZ532" s="193"/>
      <c r="DA532" s="193"/>
      <c r="DB532" s="193"/>
      <c r="DC532" s="246"/>
      <c r="DD532" s="246"/>
      <c r="DE532" s="246"/>
      <c r="DF532" s="193"/>
      <c r="DG532" s="193"/>
      <c r="DH532" s="193"/>
      <c r="DI532" s="193"/>
      <c r="DJ532" s="193"/>
      <c r="DK532" s="135"/>
      <c r="DT532" s="222"/>
    </row>
    <row r="533" spans="1:124" s="176" customFormat="1" ht="42" x14ac:dyDescent="0.2">
      <c r="A533" s="195" t="s">
        <v>108</v>
      </c>
      <c r="B533" s="197" t="s">
        <v>1310</v>
      </c>
      <c r="C533" s="198">
        <v>1</v>
      </c>
      <c r="D533" s="199">
        <v>42000000</v>
      </c>
      <c r="E533" s="198" t="s">
        <v>761</v>
      </c>
      <c r="F533" s="198" t="s">
        <v>97</v>
      </c>
      <c r="G533" s="198" t="s">
        <v>98</v>
      </c>
      <c r="H533" s="200">
        <v>1</v>
      </c>
      <c r="I533" s="199">
        <f t="shared" ref="I533:I546" si="567">+L533</f>
        <v>0</v>
      </c>
      <c r="J533" s="199">
        <f t="shared" ref="J533:J546" si="568">+O533+M533+P533</f>
        <v>42000000</v>
      </c>
      <c r="K533" s="199">
        <f t="shared" ref="K533:K546" si="569">I533+J533</f>
        <v>42000000</v>
      </c>
      <c r="L533" s="199"/>
      <c r="M533" s="199">
        <v>42000000</v>
      </c>
      <c r="N533" s="199">
        <f t="shared" ref="N533:N546" si="570">L533+M533</f>
        <v>42000000</v>
      </c>
      <c r="O533" s="199"/>
      <c r="P533" s="201">
        <v>0</v>
      </c>
      <c r="Q533" s="202">
        <v>7</v>
      </c>
      <c r="R533" s="203">
        <v>45566</v>
      </c>
      <c r="S533" s="204"/>
      <c r="T533" s="199">
        <v>42000000</v>
      </c>
      <c r="U533" s="199">
        <f t="shared" ref="U533:U546" si="571">S533+T533</f>
        <v>42000000</v>
      </c>
      <c r="V533" s="205">
        <v>201</v>
      </c>
      <c r="W533" s="200">
        <v>45583</v>
      </c>
      <c r="X533" s="201"/>
      <c r="Y533" s="201">
        <v>-4832000</v>
      </c>
      <c r="Z533" s="201">
        <f t="shared" ref="Z533:Z546" si="572">X533+Y533</f>
        <v>-4832000</v>
      </c>
      <c r="AA533" s="198">
        <v>1788</v>
      </c>
      <c r="AB533" s="206">
        <v>45733</v>
      </c>
      <c r="AC533" s="207"/>
      <c r="AD533" s="201">
        <f>+-1055765.18+-542087</f>
        <v>-1597852.18</v>
      </c>
      <c r="AE533" s="204">
        <f t="shared" ref="AE533:AE546" si="573">AC533+AD533</f>
        <v>-1597852.18</v>
      </c>
      <c r="AF533" s="203">
        <f t="shared" ref="AF533:AF546" si="574">+R533</f>
        <v>45566</v>
      </c>
      <c r="AG533" s="201">
        <f t="shared" ref="AG533:AG546" si="575">+AJ533</f>
        <v>0</v>
      </c>
      <c r="AH533" s="199">
        <f t="shared" ref="AH533:AH546" si="576">+AK533+AO533</f>
        <v>35570147.82</v>
      </c>
      <c r="AI533" s="199">
        <f t="shared" ref="AI533:AI546" si="577">AG533+AH533</f>
        <v>35570147.82</v>
      </c>
      <c r="AJ533" s="201">
        <f t="shared" ref="AJ533:AK546" si="578">+S533+X533+AC533</f>
        <v>0</v>
      </c>
      <c r="AK533" s="201">
        <f t="shared" si="578"/>
        <v>35570147.82</v>
      </c>
      <c r="AL533" s="201">
        <f t="shared" ref="AL533:AL546" si="579">SUM(AJ533:AK533)</f>
        <v>35570147.82</v>
      </c>
      <c r="AM533" s="202"/>
      <c r="AN533" s="203"/>
      <c r="AO533" s="208"/>
      <c r="AP533" s="201">
        <f t="shared" ref="AP533:AP546" si="580">+AT533</f>
        <v>0</v>
      </c>
      <c r="AQ533" s="201">
        <f t="shared" ref="AQ533:AQ546" si="581">+AU533+AY533</f>
        <v>24348490.719999999</v>
      </c>
      <c r="AR533" s="201">
        <f t="shared" ref="AR533:AR546" si="582">SUM(AP533:AQ533)</f>
        <v>24348490.719999999</v>
      </c>
      <c r="AS533" s="201">
        <f t="shared" ref="AS533:AS546" si="583">IF(AI533= 0,0,(AR533*100/AI533))</f>
        <v>68.452036924933978</v>
      </c>
      <c r="AT533" s="201"/>
      <c r="AU533" s="223">
        <v>24348490.719999999</v>
      </c>
      <c r="AV533" s="201">
        <f t="shared" ref="AV533:AV546" si="584">SUM(AT533:AU533)</f>
        <v>24348490.719999999</v>
      </c>
      <c r="AW533" s="201">
        <f>+CF533*100/AL533</f>
        <v>19.398288798002525</v>
      </c>
      <c r="AX533" s="201">
        <f t="shared" ref="AX533:AX546" si="585">IF(AL533= 0,0,(AV533*100/AL533))</f>
        <v>68.452036924933978</v>
      </c>
      <c r="AY533" s="208"/>
      <c r="AZ533" s="201">
        <f t="shared" ref="AZ533:AZ546" si="586">+BC533</f>
        <v>0</v>
      </c>
      <c r="BA533" s="201">
        <f t="shared" ref="BA533:BA546" si="587">+BD533+BF533</f>
        <v>4056325.03</v>
      </c>
      <c r="BB533" s="201">
        <f t="shared" ref="BB533:BB546" si="588">SUM(AZ533:BA533)</f>
        <v>4056325.03</v>
      </c>
      <c r="BC533" s="201"/>
      <c r="BD533" s="223">
        <v>4056325.03</v>
      </c>
      <c r="BE533" s="201">
        <f t="shared" ref="BE533:BE546" si="589">SUM(BC533:BD533)</f>
        <v>4056325.03</v>
      </c>
      <c r="BF533" s="208"/>
      <c r="BG533" s="201">
        <f t="shared" ref="BG533:BH546" si="590">+AP533+AZ533</f>
        <v>0</v>
      </c>
      <c r="BH533" s="201">
        <f>+AQ533+BA533</f>
        <v>28404815.75</v>
      </c>
      <c r="BI533" s="201">
        <f t="shared" ref="BI533:BI546" si="591">SUM(BG533:BH533)</f>
        <v>28404815.75</v>
      </c>
      <c r="BJ533" s="201">
        <f t="shared" si="504"/>
        <v>79.855770894572572</v>
      </c>
      <c r="BK533" s="210">
        <v>10</v>
      </c>
      <c r="BL533" s="210">
        <v>60</v>
      </c>
      <c r="BM533" s="211"/>
      <c r="BN533" s="211"/>
      <c r="BO533" s="212">
        <f t="shared" ref="BO533:BO546" si="592">+BR533</f>
        <v>0</v>
      </c>
      <c r="BP533" s="201">
        <f t="shared" ref="BP533:BP546" si="593">+BS533+BU533</f>
        <v>11221657.100000001</v>
      </c>
      <c r="BQ533" s="201">
        <f t="shared" ref="BQ533" si="594">SUM(BO533:BP533)</f>
        <v>11221657.100000001</v>
      </c>
      <c r="BR533" s="201">
        <f t="shared" ref="BR533:BS546" si="595">+AJ533-AT533</f>
        <v>0</v>
      </c>
      <c r="BS533" s="201">
        <f t="shared" si="595"/>
        <v>11221657.100000001</v>
      </c>
      <c r="BT533" s="201">
        <f t="shared" ref="BT533:BT534" si="596">SUM(BR533:BS533)</f>
        <v>11221657.100000001</v>
      </c>
      <c r="BU533" s="213">
        <f>+AO533-AY533</f>
        <v>0</v>
      </c>
      <c r="BV533" s="201">
        <f>4832000+1055765.18+542087</f>
        <v>6429852.1799999997</v>
      </c>
      <c r="BW533" s="201"/>
      <c r="BX533" s="201">
        <f t="shared" ref="BX533" si="597">SUM(BV533:BW533)</f>
        <v>6429852.1799999997</v>
      </c>
      <c r="BY533" s="333">
        <v>2200000</v>
      </c>
      <c r="BZ533" s="333">
        <v>2400000</v>
      </c>
      <c r="CA533" s="333">
        <v>2500000</v>
      </c>
      <c r="CB533" s="333">
        <v>3160000</v>
      </c>
      <c r="CC533" s="333">
        <v>4200000</v>
      </c>
      <c r="CD533" s="333">
        <v>4720000</v>
      </c>
      <c r="CE533" s="333">
        <v>6240000</v>
      </c>
      <c r="CF533" s="333">
        <v>6900000</v>
      </c>
      <c r="CG533" s="333">
        <v>3360000</v>
      </c>
      <c r="CH533" s="333">
        <v>2300000</v>
      </c>
      <c r="CI533" s="333">
        <v>2180000</v>
      </c>
      <c r="CJ533" s="333">
        <v>1840000</v>
      </c>
      <c r="CK533" s="214" t="s">
        <v>1311</v>
      </c>
      <c r="CL533" s="214" t="s">
        <v>1312</v>
      </c>
      <c r="CM533" s="211">
        <v>159</v>
      </c>
      <c r="CN533" s="215">
        <v>200</v>
      </c>
      <c r="CO533" s="215"/>
      <c r="CP533" s="216">
        <v>80</v>
      </c>
      <c r="CQ533" s="217"/>
      <c r="CR533" s="211"/>
      <c r="CS533" s="218"/>
      <c r="CT533" s="218"/>
      <c r="CU533" s="218"/>
      <c r="CV533" s="211"/>
      <c r="CW533" s="211"/>
      <c r="CX533" s="211"/>
      <c r="CY533" s="211"/>
      <c r="CZ533" s="211"/>
      <c r="DA533" s="211"/>
      <c r="DB533" s="211"/>
      <c r="DC533" s="219"/>
      <c r="DD533" s="219"/>
      <c r="DE533" s="219"/>
      <c r="DF533" s="211"/>
      <c r="DG533" s="211"/>
      <c r="DH533" s="211"/>
      <c r="DI533" s="211"/>
      <c r="DJ533" s="211"/>
      <c r="DK533" s="220" t="s">
        <v>32</v>
      </c>
      <c r="DT533" s="222"/>
    </row>
    <row r="534" spans="1:124" s="176" customFormat="1" ht="42" x14ac:dyDescent="0.2">
      <c r="A534" s="195" t="s">
        <v>108</v>
      </c>
      <c r="B534" s="197" t="s">
        <v>1313</v>
      </c>
      <c r="C534" s="198">
        <v>1</v>
      </c>
      <c r="D534" s="199">
        <v>20000000</v>
      </c>
      <c r="E534" s="198" t="s">
        <v>233</v>
      </c>
      <c r="F534" s="198" t="s">
        <v>234</v>
      </c>
      <c r="G534" s="198" t="s">
        <v>98</v>
      </c>
      <c r="H534" s="200">
        <v>1</v>
      </c>
      <c r="I534" s="199">
        <f t="shared" si="567"/>
        <v>0</v>
      </c>
      <c r="J534" s="199">
        <f t="shared" si="568"/>
        <v>20000000</v>
      </c>
      <c r="K534" s="199">
        <f t="shared" si="569"/>
        <v>20000000</v>
      </c>
      <c r="L534" s="199"/>
      <c r="M534" s="199">
        <v>20000000</v>
      </c>
      <c r="N534" s="199">
        <f t="shared" si="570"/>
        <v>20000000</v>
      </c>
      <c r="O534" s="199"/>
      <c r="P534" s="201">
        <v>0</v>
      </c>
      <c r="Q534" s="202">
        <v>7</v>
      </c>
      <c r="R534" s="203">
        <v>45566</v>
      </c>
      <c r="S534" s="204"/>
      <c r="T534" s="199">
        <v>20000000</v>
      </c>
      <c r="U534" s="199">
        <f t="shared" si="571"/>
        <v>20000000</v>
      </c>
      <c r="V534" s="205">
        <v>230</v>
      </c>
      <c r="W534" s="200">
        <v>45586</v>
      </c>
      <c r="X534" s="201"/>
      <c r="Y534" s="201">
        <v>-494000</v>
      </c>
      <c r="Z534" s="201">
        <f t="shared" si="572"/>
        <v>-494000</v>
      </c>
      <c r="AA534" s="198">
        <v>1342</v>
      </c>
      <c r="AB534" s="206">
        <v>45681</v>
      </c>
      <c r="AC534" s="207"/>
      <c r="AD534" s="201">
        <v>-157939.07</v>
      </c>
      <c r="AE534" s="204">
        <f t="shared" si="573"/>
        <v>-157939.07</v>
      </c>
      <c r="AF534" s="203">
        <f t="shared" si="574"/>
        <v>45566</v>
      </c>
      <c r="AG534" s="201">
        <f t="shared" si="575"/>
        <v>0</v>
      </c>
      <c r="AH534" s="199">
        <f t="shared" si="576"/>
        <v>19842060.93</v>
      </c>
      <c r="AI534" s="199">
        <f t="shared" si="577"/>
        <v>19842060.93</v>
      </c>
      <c r="AJ534" s="201">
        <f t="shared" si="578"/>
        <v>0</v>
      </c>
      <c r="AK534" s="201">
        <f t="shared" si="578"/>
        <v>19348060.93</v>
      </c>
      <c r="AL534" s="201">
        <f t="shared" si="579"/>
        <v>19348060.93</v>
      </c>
      <c r="AM534" s="202">
        <v>231</v>
      </c>
      <c r="AN534" s="200">
        <v>45586</v>
      </c>
      <c r="AO534" s="208">
        <v>494000</v>
      </c>
      <c r="AP534" s="201">
        <f t="shared" si="580"/>
        <v>0</v>
      </c>
      <c r="AQ534" s="201">
        <f t="shared" si="581"/>
        <v>15982032.050000001</v>
      </c>
      <c r="AR534" s="201">
        <f t="shared" si="582"/>
        <v>15982032.050000001</v>
      </c>
      <c r="AS534" s="201">
        <f t="shared" si="583"/>
        <v>80.546230083570251</v>
      </c>
      <c r="AT534" s="201"/>
      <c r="AU534" s="223">
        <v>15813249.9</v>
      </c>
      <c r="AV534" s="201">
        <f t="shared" si="584"/>
        <v>15813249.9</v>
      </c>
      <c r="AW534" s="201">
        <f>+CF534*100/AL534</f>
        <v>15.505429773318374</v>
      </c>
      <c r="AX534" s="201">
        <f t="shared" si="585"/>
        <v>81.73041193746127</v>
      </c>
      <c r="AY534" s="208">
        <v>168782.14999999997</v>
      </c>
      <c r="AZ534" s="201">
        <f t="shared" si="586"/>
        <v>0</v>
      </c>
      <c r="BA534" s="201">
        <f t="shared" si="587"/>
        <v>1022600</v>
      </c>
      <c r="BB534" s="201">
        <f t="shared" si="588"/>
        <v>1022600</v>
      </c>
      <c r="BC534" s="201"/>
      <c r="BD534" s="223">
        <v>1022600</v>
      </c>
      <c r="BE534" s="201">
        <f t="shared" si="589"/>
        <v>1022600</v>
      </c>
      <c r="BF534" s="208"/>
      <c r="BG534" s="201">
        <f t="shared" si="590"/>
        <v>0</v>
      </c>
      <c r="BH534" s="201">
        <f>+AQ534+BA534</f>
        <v>17004632.050000001</v>
      </c>
      <c r="BI534" s="201">
        <f t="shared" si="591"/>
        <v>17004632.050000001</v>
      </c>
      <c r="BJ534" s="201">
        <f t="shared" si="504"/>
        <v>85.699928601116341</v>
      </c>
      <c r="BK534" s="210">
        <v>10</v>
      </c>
      <c r="BL534" s="210">
        <v>70</v>
      </c>
      <c r="BM534" s="211"/>
      <c r="BN534" s="214"/>
      <c r="BO534" s="212">
        <f t="shared" si="592"/>
        <v>0</v>
      </c>
      <c r="BP534" s="201">
        <f t="shared" si="593"/>
        <v>3860028.8799999994</v>
      </c>
      <c r="BQ534" s="201">
        <f t="shared" ref="BQ534" si="598">SUM(BO534:BP534)</f>
        <v>3860028.8799999994</v>
      </c>
      <c r="BR534" s="201">
        <f t="shared" si="595"/>
        <v>0</v>
      </c>
      <c r="BS534" s="201">
        <f t="shared" si="595"/>
        <v>3534811.0299999993</v>
      </c>
      <c r="BT534" s="201">
        <f t="shared" si="596"/>
        <v>3534811.0299999993</v>
      </c>
      <c r="BU534" s="213">
        <f>+AO534-AY534</f>
        <v>325217.85000000003</v>
      </c>
      <c r="BV534" s="201">
        <f>494000+157939.07</f>
        <v>651939.07000000007</v>
      </c>
      <c r="BW534" s="201"/>
      <c r="BX534" s="201">
        <f t="shared" ref="BX534" si="599">SUM(BV534:BW534)</f>
        <v>651939.07000000007</v>
      </c>
      <c r="BY534" s="333">
        <v>900000</v>
      </c>
      <c r="BZ534" s="333">
        <v>1200000</v>
      </c>
      <c r="CA534" s="333">
        <v>1400000</v>
      </c>
      <c r="CB534" s="333">
        <v>1600000</v>
      </c>
      <c r="CC534" s="333">
        <v>2000000</v>
      </c>
      <c r="CD534" s="333">
        <v>2200000</v>
      </c>
      <c r="CE534" s="333">
        <v>3900000</v>
      </c>
      <c r="CF534" s="333">
        <v>3000000</v>
      </c>
      <c r="CG534" s="333">
        <v>1600000</v>
      </c>
      <c r="CH534" s="333">
        <v>1000000</v>
      </c>
      <c r="CI534" s="333">
        <v>800000</v>
      </c>
      <c r="CJ534" s="333">
        <v>400000</v>
      </c>
      <c r="CK534" s="214" t="s">
        <v>1314</v>
      </c>
      <c r="CL534" s="214" t="s">
        <v>1312</v>
      </c>
      <c r="CM534" s="211">
        <v>159</v>
      </c>
      <c r="CN534" s="215">
        <v>1200</v>
      </c>
      <c r="CO534" s="215"/>
      <c r="CP534" s="216">
        <v>136</v>
      </c>
      <c r="CQ534" s="217"/>
      <c r="CR534" s="211"/>
      <c r="CS534" s="218"/>
      <c r="CT534" s="218"/>
      <c r="CU534" s="218"/>
      <c r="CV534" s="211"/>
      <c r="CW534" s="211"/>
      <c r="CX534" s="211"/>
      <c r="CY534" s="211"/>
      <c r="CZ534" s="211"/>
      <c r="DA534" s="211"/>
      <c r="DB534" s="211"/>
      <c r="DC534" s="219"/>
      <c r="DD534" s="219"/>
      <c r="DE534" s="219"/>
      <c r="DF534" s="211"/>
      <c r="DG534" s="211"/>
      <c r="DH534" s="211"/>
      <c r="DI534" s="211"/>
      <c r="DJ534" s="211"/>
      <c r="DK534" s="220" t="s">
        <v>32</v>
      </c>
      <c r="DT534" s="222"/>
    </row>
    <row r="535" spans="1:124" s="176" customFormat="1" ht="42" x14ac:dyDescent="0.2">
      <c r="A535" s="195" t="s">
        <v>108</v>
      </c>
      <c r="B535" s="197" t="s">
        <v>1315</v>
      </c>
      <c r="C535" s="198">
        <v>1</v>
      </c>
      <c r="D535" s="199">
        <v>13000000</v>
      </c>
      <c r="E535" s="198" t="s">
        <v>340</v>
      </c>
      <c r="F535" s="198" t="s">
        <v>234</v>
      </c>
      <c r="G535" s="198" t="s">
        <v>98</v>
      </c>
      <c r="H535" s="200">
        <v>1</v>
      </c>
      <c r="I535" s="199">
        <f t="shared" si="567"/>
        <v>0</v>
      </c>
      <c r="J535" s="199">
        <f t="shared" si="568"/>
        <v>13000000</v>
      </c>
      <c r="K535" s="199">
        <f t="shared" si="569"/>
        <v>13000000</v>
      </c>
      <c r="L535" s="199"/>
      <c r="M535" s="199">
        <v>13000000</v>
      </c>
      <c r="N535" s="199">
        <f t="shared" si="570"/>
        <v>13000000</v>
      </c>
      <c r="O535" s="199"/>
      <c r="P535" s="201">
        <v>0</v>
      </c>
      <c r="Q535" s="202">
        <v>7</v>
      </c>
      <c r="R535" s="203">
        <v>45566</v>
      </c>
      <c r="S535" s="204"/>
      <c r="T535" s="199">
        <v>13000000</v>
      </c>
      <c r="U535" s="199">
        <f t="shared" si="571"/>
        <v>13000000</v>
      </c>
      <c r="V535" s="205">
        <v>230</v>
      </c>
      <c r="W535" s="200">
        <v>45586</v>
      </c>
      <c r="X535" s="201"/>
      <c r="Y535" s="201">
        <v>-420000</v>
      </c>
      <c r="Z535" s="201">
        <f t="shared" si="572"/>
        <v>-420000</v>
      </c>
      <c r="AA535" s="198">
        <v>1512</v>
      </c>
      <c r="AB535" s="206">
        <v>45701</v>
      </c>
      <c r="AC535" s="207"/>
      <c r="AD535" s="201">
        <v>-597256.15</v>
      </c>
      <c r="AE535" s="204">
        <f t="shared" si="573"/>
        <v>-597256.15</v>
      </c>
      <c r="AF535" s="203">
        <f t="shared" si="574"/>
        <v>45566</v>
      </c>
      <c r="AG535" s="201">
        <f t="shared" si="575"/>
        <v>0</v>
      </c>
      <c r="AH535" s="199">
        <f t="shared" si="576"/>
        <v>12402743.85</v>
      </c>
      <c r="AI535" s="199">
        <f t="shared" si="577"/>
        <v>12402743.85</v>
      </c>
      <c r="AJ535" s="201">
        <f t="shared" si="578"/>
        <v>0</v>
      </c>
      <c r="AK535" s="201">
        <f t="shared" si="578"/>
        <v>11982743.85</v>
      </c>
      <c r="AL535" s="201">
        <f t="shared" si="579"/>
        <v>11982743.85</v>
      </c>
      <c r="AM535" s="202">
        <v>231</v>
      </c>
      <c r="AN535" s="200">
        <v>45586</v>
      </c>
      <c r="AO535" s="208">
        <v>420000</v>
      </c>
      <c r="AP535" s="201">
        <f t="shared" si="580"/>
        <v>0</v>
      </c>
      <c r="AQ535" s="201">
        <f t="shared" si="581"/>
        <v>7662555.4400000004</v>
      </c>
      <c r="AR535" s="201">
        <f t="shared" si="582"/>
        <v>7662555.4400000004</v>
      </c>
      <c r="AS535" s="201">
        <f t="shared" si="583"/>
        <v>61.781131116402122</v>
      </c>
      <c r="AT535" s="201"/>
      <c r="AU535" s="223">
        <v>7440315.3200000003</v>
      </c>
      <c r="AV535" s="201">
        <f t="shared" si="584"/>
        <v>7440315.3200000003</v>
      </c>
      <c r="AW535" s="201">
        <f t="shared" ref="AW535:AW546" si="600">+CF535*100/AL535</f>
        <v>16.273401354565383</v>
      </c>
      <c r="AX535" s="201">
        <f t="shared" si="585"/>
        <v>62.091916618913622</v>
      </c>
      <c r="AY535" s="208">
        <v>222240.12</v>
      </c>
      <c r="AZ535" s="201">
        <f t="shared" si="586"/>
        <v>0</v>
      </c>
      <c r="BA535" s="201">
        <f t="shared" si="587"/>
        <v>177310</v>
      </c>
      <c r="BB535" s="201">
        <f t="shared" si="588"/>
        <v>177310</v>
      </c>
      <c r="BC535" s="201"/>
      <c r="BD535" s="223">
        <v>169410</v>
      </c>
      <c r="BE535" s="201">
        <f t="shared" si="589"/>
        <v>169410</v>
      </c>
      <c r="BF535" s="208">
        <v>7900</v>
      </c>
      <c r="BG535" s="201">
        <f t="shared" si="590"/>
        <v>0</v>
      </c>
      <c r="BH535" s="201">
        <f t="shared" si="590"/>
        <v>7839865.4400000004</v>
      </c>
      <c r="BI535" s="201">
        <f t="shared" si="591"/>
        <v>7839865.4400000004</v>
      </c>
      <c r="BJ535" s="201">
        <f t="shared" si="504"/>
        <v>63.210734131222104</v>
      </c>
      <c r="BK535" s="210">
        <v>10</v>
      </c>
      <c r="BL535" s="210">
        <v>50</v>
      </c>
      <c r="BM535" s="211"/>
      <c r="BN535" s="211"/>
      <c r="BO535" s="212">
        <f t="shared" si="592"/>
        <v>0</v>
      </c>
      <c r="BP535" s="201">
        <f t="shared" si="593"/>
        <v>4740188.4099999992</v>
      </c>
      <c r="BQ535" s="201">
        <f t="shared" ref="BQ535:BQ546" si="601">SUM(BO535:BP535)</f>
        <v>4740188.4099999992</v>
      </c>
      <c r="BR535" s="201">
        <f t="shared" si="595"/>
        <v>0</v>
      </c>
      <c r="BS535" s="201">
        <f t="shared" si="595"/>
        <v>4542428.5299999993</v>
      </c>
      <c r="BT535" s="201">
        <f t="shared" ref="BT535:BT546" si="602">SUM(BR535:BS535)</f>
        <v>4542428.5299999993</v>
      </c>
      <c r="BU535" s="213">
        <f t="shared" ref="BU535:BU546" si="603">+AO535-AY535</f>
        <v>197759.88</v>
      </c>
      <c r="BV535" s="201">
        <f>420000+597256.15</f>
        <v>1017256.15</v>
      </c>
      <c r="BW535" s="201"/>
      <c r="BX535" s="201">
        <f t="shared" ref="BX535:BX546" si="604">SUM(BV535:BW535)</f>
        <v>1017256.15</v>
      </c>
      <c r="BY535" s="333">
        <v>830000</v>
      </c>
      <c r="BZ535" s="333">
        <v>1090000</v>
      </c>
      <c r="CA535" s="333">
        <v>1380000</v>
      </c>
      <c r="CB535" s="333">
        <v>1040000</v>
      </c>
      <c r="CC535" s="333">
        <v>1300000</v>
      </c>
      <c r="CD535" s="333">
        <v>1080000</v>
      </c>
      <c r="CE535" s="333">
        <v>1860000</v>
      </c>
      <c r="CF535" s="333">
        <v>1950000</v>
      </c>
      <c r="CG535" s="333">
        <v>1040000</v>
      </c>
      <c r="CH535" s="333">
        <v>650000</v>
      </c>
      <c r="CI535" s="333">
        <v>520000</v>
      </c>
      <c r="CJ535" s="333">
        <v>260000</v>
      </c>
      <c r="CK535" s="214" t="s">
        <v>1316</v>
      </c>
      <c r="CL535" s="214" t="s">
        <v>1312</v>
      </c>
      <c r="CM535" s="211">
        <v>159</v>
      </c>
      <c r="CN535" s="215">
        <v>500</v>
      </c>
      <c r="CO535" s="215">
        <v>0</v>
      </c>
      <c r="CP535" s="216">
        <v>275</v>
      </c>
      <c r="CQ535" s="217"/>
      <c r="CR535" s="211"/>
      <c r="CS535" s="218"/>
      <c r="CT535" s="218"/>
      <c r="CU535" s="218"/>
      <c r="CV535" s="211"/>
      <c r="CW535" s="211"/>
      <c r="CX535" s="211"/>
      <c r="CY535" s="211"/>
      <c r="CZ535" s="211"/>
      <c r="DA535" s="211"/>
      <c r="DB535" s="211"/>
      <c r="DC535" s="219"/>
      <c r="DD535" s="219"/>
      <c r="DE535" s="219"/>
      <c r="DF535" s="211"/>
      <c r="DG535" s="211"/>
      <c r="DH535" s="211"/>
      <c r="DI535" s="211"/>
      <c r="DJ535" s="211"/>
      <c r="DK535" s="220" t="s">
        <v>32</v>
      </c>
      <c r="DT535" s="222"/>
    </row>
    <row r="536" spans="1:124" s="176" customFormat="1" ht="42" x14ac:dyDescent="0.2">
      <c r="A536" s="195" t="s">
        <v>108</v>
      </c>
      <c r="B536" s="197" t="s">
        <v>1317</v>
      </c>
      <c r="C536" s="198">
        <v>1</v>
      </c>
      <c r="D536" s="199">
        <v>35000000</v>
      </c>
      <c r="E536" s="198" t="s">
        <v>343</v>
      </c>
      <c r="F536" s="198" t="s">
        <v>234</v>
      </c>
      <c r="G536" s="198" t="s">
        <v>98</v>
      </c>
      <c r="H536" s="200">
        <v>1</v>
      </c>
      <c r="I536" s="199">
        <f t="shared" si="567"/>
        <v>410000</v>
      </c>
      <c r="J536" s="199">
        <f t="shared" si="568"/>
        <v>34590000</v>
      </c>
      <c r="K536" s="199">
        <f t="shared" si="569"/>
        <v>35000000</v>
      </c>
      <c r="L536" s="199">
        <v>410000</v>
      </c>
      <c r="M536" s="199">
        <v>34590000</v>
      </c>
      <c r="N536" s="199">
        <f t="shared" si="570"/>
        <v>35000000</v>
      </c>
      <c r="O536" s="199"/>
      <c r="P536" s="201">
        <v>0</v>
      </c>
      <c r="Q536" s="202">
        <v>6</v>
      </c>
      <c r="R536" s="203">
        <v>45566</v>
      </c>
      <c r="S536" s="204"/>
      <c r="T536" s="199">
        <v>34590000</v>
      </c>
      <c r="U536" s="199">
        <f t="shared" si="571"/>
        <v>34590000</v>
      </c>
      <c r="V536" s="205">
        <v>490</v>
      </c>
      <c r="W536" s="200">
        <v>45608</v>
      </c>
      <c r="X536" s="201">
        <v>409444</v>
      </c>
      <c r="Y536" s="201"/>
      <c r="Z536" s="201">
        <f t="shared" si="572"/>
        <v>409444</v>
      </c>
      <c r="AA536" s="198">
        <v>2068</v>
      </c>
      <c r="AB536" s="206">
        <v>45771</v>
      </c>
      <c r="AC536" s="207"/>
      <c r="AD536" s="201">
        <v>-431753.17</v>
      </c>
      <c r="AE536" s="204">
        <f t="shared" si="573"/>
        <v>-431753.17</v>
      </c>
      <c r="AF536" s="203">
        <f t="shared" si="574"/>
        <v>45566</v>
      </c>
      <c r="AG536" s="201">
        <f t="shared" si="575"/>
        <v>409444</v>
      </c>
      <c r="AH536" s="199">
        <f t="shared" si="576"/>
        <v>34158246.829999998</v>
      </c>
      <c r="AI536" s="199">
        <f t="shared" si="577"/>
        <v>34567690.829999998</v>
      </c>
      <c r="AJ536" s="201">
        <f t="shared" si="578"/>
        <v>409444</v>
      </c>
      <c r="AK536" s="201">
        <f t="shared" si="578"/>
        <v>34158246.829999998</v>
      </c>
      <c r="AL536" s="201">
        <f t="shared" si="579"/>
        <v>34567690.829999998</v>
      </c>
      <c r="AM536" s="202"/>
      <c r="AN536" s="203"/>
      <c r="AO536" s="208"/>
      <c r="AP536" s="201">
        <f t="shared" si="580"/>
        <v>409443.1</v>
      </c>
      <c r="AQ536" s="201">
        <f t="shared" si="581"/>
        <v>30275584.75</v>
      </c>
      <c r="AR536" s="201">
        <f t="shared" si="582"/>
        <v>30685027.850000001</v>
      </c>
      <c r="AS536" s="201">
        <f t="shared" si="583"/>
        <v>88.767942298794281</v>
      </c>
      <c r="AT536" s="201">
        <v>409443.1</v>
      </c>
      <c r="AU536" s="223">
        <f>30685027.85-AT536</f>
        <v>30275584.75</v>
      </c>
      <c r="AV536" s="201">
        <f t="shared" si="584"/>
        <v>30685027.850000001</v>
      </c>
      <c r="AW536" s="201">
        <f t="shared" si="600"/>
        <v>12.294717691444941</v>
      </c>
      <c r="AX536" s="201">
        <f t="shared" si="585"/>
        <v>88.767942298794281</v>
      </c>
      <c r="AY536" s="208"/>
      <c r="AZ536" s="201">
        <f t="shared" si="586"/>
        <v>0</v>
      </c>
      <c r="BA536" s="201">
        <f t="shared" si="587"/>
        <v>3880800</v>
      </c>
      <c r="BB536" s="201">
        <f t="shared" si="588"/>
        <v>3880800</v>
      </c>
      <c r="BC536" s="322"/>
      <c r="BD536" s="223">
        <v>3880800</v>
      </c>
      <c r="BE536" s="201">
        <f t="shared" si="589"/>
        <v>3880800</v>
      </c>
      <c r="BF536" s="208"/>
      <c r="BG536" s="201">
        <f t="shared" si="590"/>
        <v>409443.1</v>
      </c>
      <c r="BH536" s="201">
        <f t="shared" si="590"/>
        <v>34156384.75</v>
      </c>
      <c r="BI536" s="201">
        <f t="shared" si="591"/>
        <v>34565827.850000001</v>
      </c>
      <c r="BJ536" s="201">
        <f t="shared" si="504"/>
        <v>99.994610632196526</v>
      </c>
      <c r="BK536" s="210">
        <v>10</v>
      </c>
      <c r="BL536" s="210">
        <v>80</v>
      </c>
      <c r="BM536" s="211"/>
      <c r="BN536" s="211"/>
      <c r="BO536" s="212">
        <f t="shared" si="592"/>
        <v>0.90000000002328306</v>
      </c>
      <c r="BP536" s="201">
        <f t="shared" si="593"/>
        <v>3882662.0799999982</v>
      </c>
      <c r="BQ536" s="201">
        <f t="shared" si="601"/>
        <v>3882662.9799999981</v>
      </c>
      <c r="BR536" s="201">
        <f t="shared" si="595"/>
        <v>0.90000000002328306</v>
      </c>
      <c r="BS536" s="201">
        <f t="shared" si="595"/>
        <v>3882662.0799999982</v>
      </c>
      <c r="BT536" s="201">
        <f t="shared" si="602"/>
        <v>3882662.9799999981</v>
      </c>
      <c r="BU536" s="213">
        <f t="shared" si="603"/>
        <v>0</v>
      </c>
      <c r="BV536" s="201">
        <v>431753.17</v>
      </c>
      <c r="BW536" s="201"/>
      <c r="BX536" s="201">
        <f t="shared" si="604"/>
        <v>431753.17</v>
      </c>
      <c r="BY536" s="333">
        <v>2350000</v>
      </c>
      <c r="BZ536" s="333">
        <v>3050000</v>
      </c>
      <c r="CA536" s="333">
        <v>3100000</v>
      </c>
      <c r="CB536" s="333">
        <v>2800000</v>
      </c>
      <c r="CC536" s="333">
        <v>3500000</v>
      </c>
      <c r="CD536" s="333">
        <v>3600000</v>
      </c>
      <c r="CE536" s="333">
        <v>4200000</v>
      </c>
      <c r="CF536" s="333">
        <v>4250000</v>
      </c>
      <c r="CG536" s="333">
        <v>4300000</v>
      </c>
      <c r="CH536" s="333">
        <v>1750000</v>
      </c>
      <c r="CI536" s="333">
        <v>1400000</v>
      </c>
      <c r="CJ536" s="333">
        <v>700000</v>
      </c>
      <c r="CK536" s="214" t="s">
        <v>1318</v>
      </c>
      <c r="CL536" s="214" t="s">
        <v>1312</v>
      </c>
      <c r="CM536" s="211">
        <v>159</v>
      </c>
      <c r="CN536" s="215">
        <v>1200</v>
      </c>
      <c r="CO536" s="215">
        <v>0</v>
      </c>
      <c r="CP536" s="216">
        <v>153</v>
      </c>
      <c r="CQ536" s="217"/>
      <c r="CR536" s="211"/>
      <c r="CS536" s="218"/>
      <c r="CT536" s="218"/>
      <c r="CU536" s="218"/>
      <c r="CV536" s="211"/>
      <c r="CW536" s="211"/>
      <c r="CX536" s="211"/>
      <c r="CY536" s="211"/>
      <c r="CZ536" s="211"/>
      <c r="DA536" s="211"/>
      <c r="DB536" s="211"/>
      <c r="DC536" s="219"/>
      <c r="DD536" s="219"/>
      <c r="DE536" s="219"/>
      <c r="DF536" s="211"/>
      <c r="DG536" s="211"/>
      <c r="DH536" s="211"/>
      <c r="DI536" s="211"/>
      <c r="DJ536" s="211"/>
      <c r="DK536" s="220" t="s">
        <v>53</v>
      </c>
      <c r="DT536" s="222"/>
    </row>
    <row r="537" spans="1:124" s="176" customFormat="1" x14ac:dyDescent="0.2">
      <c r="A537" s="195" t="s">
        <v>113</v>
      </c>
      <c r="B537" s="197" t="s">
        <v>1319</v>
      </c>
      <c r="C537" s="198">
        <v>1</v>
      </c>
      <c r="D537" s="199">
        <v>26100000</v>
      </c>
      <c r="E537" s="198" t="s">
        <v>404</v>
      </c>
      <c r="F537" s="198" t="s">
        <v>405</v>
      </c>
      <c r="G537" s="198" t="s">
        <v>123</v>
      </c>
      <c r="H537" s="200">
        <v>1</v>
      </c>
      <c r="I537" s="199">
        <f t="shared" si="567"/>
        <v>0</v>
      </c>
      <c r="J537" s="199">
        <f t="shared" si="568"/>
        <v>26100000</v>
      </c>
      <c r="K537" s="199">
        <f t="shared" si="569"/>
        <v>26100000</v>
      </c>
      <c r="L537" s="199"/>
      <c r="M537" s="199">
        <v>26100000</v>
      </c>
      <c r="N537" s="199">
        <f t="shared" si="570"/>
        <v>26100000</v>
      </c>
      <c r="O537" s="199"/>
      <c r="P537" s="201">
        <v>0</v>
      </c>
      <c r="Q537" s="202">
        <v>7</v>
      </c>
      <c r="R537" s="203">
        <v>45573</v>
      </c>
      <c r="S537" s="204"/>
      <c r="T537" s="199">
        <v>26100000</v>
      </c>
      <c r="U537" s="199">
        <f t="shared" si="571"/>
        <v>26100000</v>
      </c>
      <c r="V537" s="205">
        <v>99</v>
      </c>
      <c r="W537" s="200">
        <v>45573</v>
      </c>
      <c r="X537" s="201"/>
      <c r="Y537" s="201">
        <v>-26100000</v>
      </c>
      <c r="Z537" s="201">
        <f t="shared" si="572"/>
        <v>-26100000</v>
      </c>
      <c r="AA537" s="198">
        <v>100</v>
      </c>
      <c r="AB537" s="206">
        <v>45573</v>
      </c>
      <c r="AC537" s="207"/>
      <c r="AD537" s="201">
        <f>26100000+-652800+-465712.45</f>
        <v>24981487.550000001</v>
      </c>
      <c r="AE537" s="204">
        <f t="shared" si="573"/>
        <v>24981487.550000001</v>
      </c>
      <c r="AF537" s="203">
        <f t="shared" si="574"/>
        <v>45573</v>
      </c>
      <c r="AG537" s="201">
        <f t="shared" si="575"/>
        <v>0</v>
      </c>
      <c r="AH537" s="199">
        <f t="shared" si="576"/>
        <v>25634287.550000001</v>
      </c>
      <c r="AI537" s="199">
        <f t="shared" si="577"/>
        <v>25634287.550000001</v>
      </c>
      <c r="AJ537" s="201">
        <f t="shared" si="578"/>
        <v>0</v>
      </c>
      <c r="AK537" s="201">
        <f t="shared" si="578"/>
        <v>24981487.550000001</v>
      </c>
      <c r="AL537" s="201">
        <f t="shared" si="579"/>
        <v>24981487.550000001</v>
      </c>
      <c r="AM537" s="202">
        <v>231</v>
      </c>
      <c r="AN537" s="203">
        <v>45586</v>
      </c>
      <c r="AO537" s="208">
        <v>652800</v>
      </c>
      <c r="AP537" s="201">
        <f t="shared" si="580"/>
        <v>0</v>
      </c>
      <c r="AQ537" s="201">
        <f t="shared" si="581"/>
        <v>22090536.66</v>
      </c>
      <c r="AR537" s="201">
        <f t="shared" si="582"/>
        <v>22090536.66</v>
      </c>
      <c r="AS537" s="201">
        <f t="shared" si="583"/>
        <v>86.175738712894315</v>
      </c>
      <c r="AT537" s="201"/>
      <c r="AU537" s="209">
        <v>21710489.170000002</v>
      </c>
      <c r="AV537" s="201">
        <f t="shared" si="584"/>
        <v>21710489.170000002</v>
      </c>
      <c r="AW537" s="201">
        <f t="shared" si="600"/>
        <v>8.0059283739490521</v>
      </c>
      <c r="AX537" s="201">
        <f t="shared" si="585"/>
        <v>86.906310629208306</v>
      </c>
      <c r="AY537" s="208">
        <v>380047.49</v>
      </c>
      <c r="AZ537" s="201">
        <f t="shared" si="586"/>
        <v>0</v>
      </c>
      <c r="BA537" s="201">
        <f t="shared" si="587"/>
        <v>660015.82999999996</v>
      </c>
      <c r="BB537" s="201">
        <f t="shared" si="588"/>
        <v>660015.82999999996</v>
      </c>
      <c r="BC537" s="201"/>
      <c r="BD537" s="223">
        <v>660015.82999999996</v>
      </c>
      <c r="BE537" s="201">
        <f t="shared" si="589"/>
        <v>660015.82999999996</v>
      </c>
      <c r="BF537" s="208"/>
      <c r="BG537" s="201">
        <f t="shared" si="590"/>
        <v>0</v>
      </c>
      <c r="BH537" s="201">
        <f t="shared" si="590"/>
        <v>22750552.489999998</v>
      </c>
      <c r="BI537" s="201">
        <f t="shared" si="591"/>
        <v>22750552.489999998</v>
      </c>
      <c r="BJ537" s="201">
        <f t="shared" si="504"/>
        <v>88.75047705392538</v>
      </c>
      <c r="BK537" s="210">
        <v>5</v>
      </c>
      <c r="BL537" s="210">
        <v>80</v>
      </c>
      <c r="BM537" s="211"/>
      <c r="BN537" s="211"/>
      <c r="BO537" s="212">
        <f t="shared" si="592"/>
        <v>0</v>
      </c>
      <c r="BP537" s="201">
        <f t="shared" si="593"/>
        <v>3543750.8899999987</v>
      </c>
      <c r="BQ537" s="201">
        <f t="shared" si="601"/>
        <v>3543750.8899999987</v>
      </c>
      <c r="BR537" s="201">
        <f t="shared" si="595"/>
        <v>0</v>
      </c>
      <c r="BS537" s="201">
        <f t="shared" si="595"/>
        <v>3270998.379999999</v>
      </c>
      <c r="BT537" s="201">
        <f t="shared" si="602"/>
        <v>3270998.379999999</v>
      </c>
      <c r="BU537" s="213">
        <f t="shared" si="603"/>
        <v>272752.51</v>
      </c>
      <c r="BV537" s="201">
        <v>465712.45</v>
      </c>
      <c r="BW537" s="201"/>
      <c r="BX537" s="201">
        <f t="shared" si="604"/>
        <v>465712.45</v>
      </c>
      <c r="BY537" s="333">
        <v>1000000</v>
      </c>
      <c r="BZ537" s="333">
        <v>4000000</v>
      </c>
      <c r="CA537" s="333">
        <v>4500000</v>
      </c>
      <c r="CB537" s="333">
        <v>2000000</v>
      </c>
      <c r="CC537" s="333">
        <v>2000000</v>
      </c>
      <c r="CD537" s="333">
        <v>2000000</v>
      </c>
      <c r="CE537" s="333">
        <v>2000000</v>
      </c>
      <c r="CF537" s="333">
        <v>2000000</v>
      </c>
      <c r="CG537" s="333">
        <v>2000000</v>
      </c>
      <c r="CH537" s="333">
        <v>1600000</v>
      </c>
      <c r="CI537" s="333">
        <v>1500000</v>
      </c>
      <c r="CJ537" s="333">
        <v>1500000</v>
      </c>
      <c r="CK537" s="214" t="s">
        <v>1320</v>
      </c>
      <c r="CL537" s="214" t="s">
        <v>1312</v>
      </c>
      <c r="CM537" s="211">
        <v>159</v>
      </c>
      <c r="CN537" s="215">
        <v>200</v>
      </c>
      <c r="CO537" s="215">
        <v>0</v>
      </c>
      <c r="CP537" s="216">
        <v>86</v>
      </c>
      <c r="CQ537" s="217"/>
      <c r="CR537" s="211"/>
      <c r="CS537" s="218"/>
      <c r="CT537" s="218"/>
      <c r="CU537" s="218"/>
      <c r="CV537" s="211"/>
      <c r="CW537" s="211"/>
      <c r="CX537" s="211"/>
      <c r="CY537" s="211"/>
      <c r="CZ537" s="211"/>
      <c r="DA537" s="211"/>
      <c r="DB537" s="211"/>
      <c r="DC537" s="219"/>
      <c r="DD537" s="219"/>
      <c r="DE537" s="219"/>
      <c r="DF537" s="211"/>
      <c r="DG537" s="211"/>
      <c r="DH537" s="211"/>
      <c r="DI537" s="211"/>
      <c r="DJ537" s="211"/>
      <c r="DK537" s="220" t="s">
        <v>32</v>
      </c>
      <c r="DT537" s="222"/>
    </row>
    <row r="538" spans="1:124" s="176" customFormat="1" x14ac:dyDescent="0.2">
      <c r="A538" s="195" t="s">
        <v>113</v>
      </c>
      <c r="B538" s="197" t="s">
        <v>1321</v>
      </c>
      <c r="C538" s="198">
        <v>1</v>
      </c>
      <c r="D538" s="199">
        <v>23300000</v>
      </c>
      <c r="E538" s="198" t="s">
        <v>1322</v>
      </c>
      <c r="F538" s="198" t="s">
        <v>191</v>
      </c>
      <c r="G538" s="198" t="s">
        <v>123</v>
      </c>
      <c r="H538" s="200">
        <v>1</v>
      </c>
      <c r="I538" s="199">
        <f t="shared" si="567"/>
        <v>0</v>
      </c>
      <c r="J538" s="199">
        <f t="shared" si="568"/>
        <v>23300000</v>
      </c>
      <c r="K538" s="199">
        <f t="shared" si="569"/>
        <v>23300000</v>
      </c>
      <c r="L538" s="199"/>
      <c r="M538" s="199">
        <v>23300000</v>
      </c>
      <c r="N538" s="199">
        <f t="shared" si="570"/>
        <v>23300000</v>
      </c>
      <c r="O538" s="199"/>
      <c r="P538" s="201">
        <v>0</v>
      </c>
      <c r="Q538" s="202">
        <v>7</v>
      </c>
      <c r="R538" s="203">
        <v>45573</v>
      </c>
      <c r="S538" s="204"/>
      <c r="T538" s="199">
        <v>23300000</v>
      </c>
      <c r="U538" s="199">
        <f t="shared" si="571"/>
        <v>23300000</v>
      </c>
      <c r="V538" s="205">
        <v>99</v>
      </c>
      <c r="W538" s="200">
        <v>45573</v>
      </c>
      <c r="X538" s="201"/>
      <c r="Y538" s="201">
        <v>-23300000</v>
      </c>
      <c r="Z538" s="201">
        <f t="shared" si="572"/>
        <v>-23300000</v>
      </c>
      <c r="AA538" s="198">
        <v>100</v>
      </c>
      <c r="AB538" s="206">
        <v>45573</v>
      </c>
      <c r="AC538" s="207"/>
      <c r="AD538" s="201">
        <f>23300000+-615300+-556318.7</f>
        <v>22128381.300000001</v>
      </c>
      <c r="AE538" s="204">
        <f t="shared" si="573"/>
        <v>22128381.300000001</v>
      </c>
      <c r="AF538" s="203">
        <f t="shared" si="574"/>
        <v>45573</v>
      </c>
      <c r="AG538" s="201">
        <f t="shared" si="575"/>
        <v>0</v>
      </c>
      <c r="AH538" s="199">
        <f t="shared" si="576"/>
        <v>22743681.300000001</v>
      </c>
      <c r="AI538" s="199">
        <f t="shared" si="577"/>
        <v>22743681.300000001</v>
      </c>
      <c r="AJ538" s="201">
        <f t="shared" si="578"/>
        <v>0</v>
      </c>
      <c r="AK538" s="201">
        <f t="shared" si="578"/>
        <v>22128381.300000001</v>
      </c>
      <c r="AL538" s="201">
        <f t="shared" si="579"/>
        <v>22128381.300000001</v>
      </c>
      <c r="AM538" s="202">
        <v>231</v>
      </c>
      <c r="AN538" s="203">
        <v>45586</v>
      </c>
      <c r="AO538" s="208">
        <v>615300</v>
      </c>
      <c r="AP538" s="201">
        <f t="shared" si="580"/>
        <v>0</v>
      </c>
      <c r="AQ538" s="201">
        <f t="shared" si="581"/>
        <v>18208687.239999998</v>
      </c>
      <c r="AR538" s="201">
        <f t="shared" si="582"/>
        <v>18208687.239999998</v>
      </c>
      <c r="AS538" s="201">
        <f t="shared" si="583"/>
        <v>80.060422056652712</v>
      </c>
      <c r="AT538" s="201"/>
      <c r="AU538" s="223">
        <v>17808732.75</v>
      </c>
      <c r="AV538" s="201">
        <f t="shared" si="584"/>
        <v>17808732.75</v>
      </c>
      <c r="AW538" s="201">
        <f t="shared" si="600"/>
        <v>6.7786250592129846</v>
      </c>
      <c r="AX538" s="201">
        <f t="shared" si="585"/>
        <v>80.479148061317971</v>
      </c>
      <c r="AY538" s="208">
        <v>399954.49</v>
      </c>
      <c r="AZ538" s="201">
        <f t="shared" si="586"/>
        <v>0</v>
      </c>
      <c r="BA538" s="201">
        <f t="shared" si="587"/>
        <v>1919191.4</v>
      </c>
      <c r="BB538" s="201">
        <f t="shared" si="588"/>
        <v>1919191.4</v>
      </c>
      <c r="BC538" s="201"/>
      <c r="BD538" s="223">
        <v>1919191.4</v>
      </c>
      <c r="BE538" s="201">
        <f t="shared" si="589"/>
        <v>1919191.4</v>
      </c>
      <c r="BF538" s="208"/>
      <c r="BG538" s="201">
        <f t="shared" si="590"/>
        <v>0</v>
      </c>
      <c r="BH538" s="201">
        <f t="shared" si="590"/>
        <v>20127878.639999997</v>
      </c>
      <c r="BI538" s="201">
        <f t="shared" si="591"/>
        <v>20127878.639999997</v>
      </c>
      <c r="BJ538" s="201">
        <f t="shared" si="504"/>
        <v>88.498771920445421</v>
      </c>
      <c r="BK538" s="210">
        <v>5</v>
      </c>
      <c r="BL538" s="210">
        <v>65</v>
      </c>
      <c r="BM538" s="211"/>
      <c r="BN538" s="211"/>
      <c r="BO538" s="212">
        <f t="shared" si="592"/>
        <v>0</v>
      </c>
      <c r="BP538" s="201">
        <f t="shared" si="593"/>
        <v>4534994.0600000005</v>
      </c>
      <c r="BQ538" s="201">
        <f t="shared" si="601"/>
        <v>4534994.0600000005</v>
      </c>
      <c r="BR538" s="201">
        <f t="shared" si="595"/>
        <v>0</v>
      </c>
      <c r="BS538" s="201">
        <f t="shared" si="595"/>
        <v>4319648.5500000007</v>
      </c>
      <c r="BT538" s="201">
        <f t="shared" si="602"/>
        <v>4319648.5500000007</v>
      </c>
      <c r="BU538" s="213">
        <f t="shared" si="603"/>
        <v>215345.51</v>
      </c>
      <c r="BV538" s="201">
        <f>556318.7</f>
        <v>556318.69999999995</v>
      </c>
      <c r="BW538" s="201"/>
      <c r="BX538" s="201">
        <f t="shared" si="604"/>
        <v>556318.69999999995</v>
      </c>
      <c r="BY538" s="333">
        <v>1000000</v>
      </c>
      <c r="BZ538" s="333">
        <v>4000000</v>
      </c>
      <c r="CA538" s="333">
        <v>4500000</v>
      </c>
      <c r="CB538" s="333">
        <v>2000000</v>
      </c>
      <c r="CC538" s="333">
        <v>2000000</v>
      </c>
      <c r="CD538" s="333">
        <v>2000000</v>
      </c>
      <c r="CE538" s="333">
        <v>1500000</v>
      </c>
      <c r="CF538" s="333">
        <v>1500000</v>
      </c>
      <c r="CG538" s="333">
        <v>1500000</v>
      </c>
      <c r="CH538" s="333">
        <v>1500000</v>
      </c>
      <c r="CI538" s="333">
        <v>1500000</v>
      </c>
      <c r="CJ538" s="333">
        <v>300000</v>
      </c>
      <c r="CK538" s="214" t="s">
        <v>1323</v>
      </c>
      <c r="CL538" s="214" t="s">
        <v>1312</v>
      </c>
      <c r="CM538" s="211">
        <v>159</v>
      </c>
      <c r="CN538" s="215">
        <v>400</v>
      </c>
      <c r="CO538" s="215">
        <v>0</v>
      </c>
      <c r="CP538" s="216">
        <v>322</v>
      </c>
      <c r="CQ538" s="217"/>
      <c r="CR538" s="211"/>
      <c r="CS538" s="218"/>
      <c r="CT538" s="218"/>
      <c r="CU538" s="218"/>
      <c r="CV538" s="211"/>
      <c r="CW538" s="211"/>
      <c r="CX538" s="211"/>
      <c r="CY538" s="211"/>
      <c r="CZ538" s="211"/>
      <c r="DA538" s="211"/>
      <c r="DB538" s="211"/>
      <c r="DC538" s="219"/>
      <c r="DD538" s="219"/>
      <c r="DE538" s="219"/>
      <c r="DF538" s="211"/>
      <c r="DG538" s="211"/>
      <c r="DH538" s="211"/>
      <c r="DI538" s="211"/>
      <c r="DJ538" s="211"/>
      <c r="DK538" s="220" t="s">
        <v>32</v>
      </c>
      <c r="DT538" s="222"/>
    </row>
    <row r="539" spans="1:124" s="176" customFormat="1" x14ac:dyDescent="0.2">
      <c r="A539" s="195" t="s">
        <v>113</v>
      </c>
      <c r="B539" s="197" t="s">
        <v>1324</v>
      </c>
      <c r="C539" s="198">
        <v>1</v>
      </c>
      <c r="D539" s="199">
        <v>28700000</v>
      </c>
      <c r="E539" s="198" t="s">
        <v>190</v>
      </c>
      <c r="F539" s="198" t="s">
        <v>191</v>
      </c>
      <c r="G539" s="198" t="s">
        <v>123</v>
      </c>
      <c r="H539" s="200">
        <v>1</v>
      </c>
      <c r="I539" s="199">
        <f t="shared" si="567"/>
        <v>0</v>
      </c>
      <c r="J539" s="199">
        <f t="shared" si="568"/>
        <v>28700000</v>
      </c>
      <c r="K539" s="199">
        <f t="shared" si="569"/>
        <v>28700000</v>
      </c>
      <c r="L539" s="199"/>
      <c r="M539" s="199">
        <v>28700000</v>
      </c>
      <c r="N539" s="199">
        <f t="shared" si="570"/>
        <v>28700000</v>
      </c>
      <c r="O539" s="199"/>
      <c r="P539" s="201">
        <v>0</v>
      </c>
      <c r="Q539" s="202">
        <v>7</v>
      </c>
      <c r="R539" s="203">
        <v>45573</v>
      </c>
      <c r="S539" s="204"/>
      <c r="T539" s="199">
        <v>28700000</v>
      </c>
      <c r="U539" s="199">
        <f t="shared" si="571"/>
        <v>28700000</v>
      </c>
      <c r="V539" s="205">
        <v>99</v>
      </c>
      <c r="W539" s="200">
        <v>45573</v>
      </c>
      <c r="X539" s="201"/>
      <c r="Y539" s="201">
        <v>-28700000</v>
      </c>
      <c r="Z539" s="201">
        <f t="shared" si="572"/>
        <v>-28700000</v>
      </c>
      <c r="AA539" s="198">
        <v>100</v>
      </c>
      <c r="AB539" s="206">
        <v>45573</v>
      </c>
      <c r="AC539" s="207"/>
      <c r="AD539" s="201">
        <f>28700000+-708300+-734216.68</f>
        <v>27257483.32</v>
      </c>
      <c r="AE539" s="204">
        <f t="shared" si="573"/>
        <v>27257483.32</v>
      </c>
      <c r="AF539" s="203">
        <f t="shared" si="574"/>
        <v>45573</v>
      </c>
      <c r="AG539" s="201">
        <f t="shared" si="575"/>
        <v>0</v>
      </c>
      <c r="AH539" s="199">
        <f t="shared" si="576"/>
        <v>27965783.32</v>
      </c>
      <c r="AI539" s="199">
        <f t="shared" si="577"/>
        <v>27965783.32</v>
      </c>
      <c r="AJ539" s="201">
        <f t="shared" si="578"/>
        <v>0</v>
      </c>
      <c r="AK539" s="201">
        <f t="shared" si="578"/>
        <v>27257483.32</v>
      </c>
      <c r="AL539" s="201">
        <f t="shared" si="579"/>
        <v>27257483.32</v>
      </c>
      <c r="AM539" s="202">
        <v>231</v>
      </c>
      <c r="AN539" s="203">
        <v>45586</v>
      </c>
      <c r="AO539" s="208">
        <v>708300</v>
      </c>
      <c r="AP539" s="201">
        <f t="shared" si="580"/>
        <v>0</v>
      </c>
      <c r="AQ539" s="201">
        <f t="shared" si="581"/>
        <v>22334525.389999997</v>
      </c>
      <c r="AR539" s="201">
        <f t="shared" si="582"/>
        <v>22334525.389999997</v>
      </c>
      <c r="AS539" s="201">
        <f t="shared" si="583"/>
        <v>79.863757558427636</v>
      </c>
      <c r="AT539" s="201"/>
      <c r="AU539" s="223">
        <v>21874588.899999999</v>
      </c>
      <c r="AV539" s="201">
        <f t="shared" si="584"/>
        <v>21874588.899999999</v>
      </c>
      <c r="AW539" s="201">
        <f t="shared" si="600"/>
        <v>9.171793194002035</v>
      </c>
      <c r="AX539" s="201">
        <f t="shared" si="585"/>
        <v>80.251682237844989</v>
      </c>
      <c r="AY539" s="208">
        <v>459936.49</v>
      </c>
      <c r="AZ539" s="201">
        <f t="shared" si="586"/>
        <v>0</v>
      </c>
      <c r="BA539" s="201">
        <f t="shared" si="587"/>
        <v>2358936.6</v>
      </c>
      <c r="BB539" s="201">
        <f t="shared" si="588"/>
        <v>2358936.6</v>
      </c>
      <c r="BC539" s="201"/>
      <c r="BD539" s="223">
        <v>2358936.6</v>
      </c>
      <c r="BE539" s="201">
        <f t="shared" si="589"/>
        <v>2358936.6</v>
      </c>
      <c r="BF539" s="208"/>
      <c r="BG539" s="201">
        <f t="shared" si="590"/>
        <v>0</v>
      </c>
      <c r="BH539" s="201">
        <f t="shared" si="590"/>
        <v>24693461.989999998</v>
      </c>
      <c r="BI539" s="201">
        <f t="shared" si="591"/>
        <v>24693461.989999998</v>
      </c>
      <c r="BJ539" s="201">
        <f t="shared" si="504"/>
        <v>88.298839004234978</v>
      </c>
      <c r="BK539" s="210">
        <v>5</v>
      </c>
      <c r="BL539" s="210">
        <v>65</v>
      </c>
      <c r="BM539" s="211"/>
      <c r="BN539" s="211"/>
      <c r="BO539" s="212">
        <f t="shared" si="592"/>
        <v>0</v>
      </c>
      <c r="BP539" s="201">
        <f t="shared" si="593"/>
        <v>5631257.9300000016</v>
      </c>
      <c r="BQ539" s="201">
        <f t="shared" si="601"/>
        <v>5631257.9300000016</v>
      </c>
      <c r="BR539" s="201">
        <f t="shared" si="595"/>
        <v>0</v>
      </c>
      <c r="BS539" s="201">
        <f t="shared" si="595"/>
        <v>5382894.4200000018</v>
      </c>
      <c r="BT539" s="201">
        <f t="shared" si="602"/>
        <v>5382894.4200000018</v>
      </c>
      <c r="BU539" s="213">
        <f t="shared" si="603"/>
        <v>248363.51</v>
      </c>
      <c r="BV539" s="201">
        <f>734216.68</f>
        <v>734216.68</v>
      </c>
      <c r="BW539" s="201"/>
      <c r="BX539" s="201">
        <f t="shared" si="604"/>
        <v>734216.68</v>
      </c>
      <c r="BY539" s="333">
        <v>1000000</v>
      </c>
      <c r="BZ539" s="333">
        <v>4000000</v>
      </c>
      <c r="CA539" s="333">
        <v>4500000</v>
      </c>
      <c r="CB539" s="333">
        <v>2500000</v>
      </c>
      <c r="CC539" s="333">
        <v>2000000</v>
      </c>
      <c r="CD539" s="333">
        <v>2000000</v>
      </c>
      <c r="CE539" s="333">
        <v>2700000</v>
      </c>
      <c r="CF539" s="333">
        <v>2500000</v>
      </c>
      <c r="CG539" s="333">
        <v>2000000</v>
      </c>
      <c r="CH539" s="333">
        <v>2000000</v>
      </c>
      <c r="CI539" s="333">
        <v>2000000</v>
      </c>
      <c r="CJ539" s="333">
        <v>1500000</v>
      </c>
      <c r="CK539" s="214" t="s">
        <v>1325</v>
      </c>
      <c r="CL539" s="214" t="s">
        <v>1312</v>
      </c>
      <c r="CM539" s="211">
        <v>159</v>
      </c>
      <c r="CN539" s="215">
        <v>400</v>
      </c>
      <c r="CO539" s="215">
        <v>0</v>
      </c>
      <c r="CP539" s="216">
        <v>262</v>
      </c>
      <c r="CQ539" s="217"/>
      <c r="CR539" s="211"/>
      <c r="CS539" s="218"/>
      <c r="CT539" s="218"/>
      <c r="CU539" s="218"/>
      <c r="CV539" s="211"/>
      <c r="CW539" s="211"/>
      <c r="CX539" s="211"/>
      <c r="CY539" s="211"/>
      <c r="CZ539" s="211"/>
      <c r="DA539" s="211"/>
      <c r="DB539" s="211"/>
      <c r="DC539" s="219"/>
      <c r="DD539" s="219"/>
      <c r="DE539" s="219"/>
      <c r="DF539" s="211"/>
      <c r="DG539" s="211"/>
      <c r="DH539" s="211"/>
      <c r="DI539" s="211"/>
      <c r="DJ539" s="211"/>
      <c r="DK539" s="220" t="s">
        <v>32</v>
      </c>
      <c r="DT539" s="222"/>
    </row>
    <row r="540" spans="1:124" s="176" customFormat="1" x14ac:dyDescent="0.2">
      <c r="A540" s="195" t="s">
        <v>119</v>
      </c>
      <c r="B540" s="197" t="s">
        <v>1326</v>
      </c>
      <c r="C540" s="247">
        <v>1</v>
      </c>
      <c r="D540" s="298">
        <v>12000000</v>
      </c>
      <c r="E540" s="247" t="s">
        <v>964</v>
      </c>
      <c r="F540" s="247" t="s">
        <v>187</v>
      </c>
      <c r="G540" s="247" t="s">
        <v>123</v>
      </c>
      <c r="H540" s="297">
        <v>1</v>
      </c>
      <c r="I540" s="298">
        <f t="shared" si="567"/>
        <v>0</v>
      </c>
      <c r="J540" s="298">
        <f t="shared" si="568"/>
        <v>12000000</v>
      </c>
      <c r="K540" s="298">
        <f t="shared" si="569"/>
        <v>12000000</v>
      </c>
      <c r="L540" s="298"/>
      <c r="M540" s="298">
        <v>12000000</v>
      </c>
      <c r="N540" s="298">
        <f t="shared" si="570"/>
        <v>12000000</v>
      </c>
      <c r="O540" s="298"/>
      <c r="P540" s="299">
        <v>0</v>
      </c>
      <c r="Q540" s="300">
        <v>794</v>
      </c>
      <c r="R540" s="301">
        <v>45635</v>
      </c>
      <c r="S540" s="302"/>
      <c r="T540" s="298">
        <v>12000000</v>
      </c>
      <c r="U540" s="298">
        <f t="shared" si="571"/>
        <v>12000000</v>
      </c>
      <c r="V540" s="303">
        <v>1788</v>
      </c>
      <c r="W540" s="297">
        <v>45733</v>
      </c>
      <c r="X540" s="299"/>
      <c r="Y540" s="299">
        <v>-142713.59</v>
      </c>
      <c r="Z540" s="299">
        <f t="shared" si="572"/>
        <v>-142713.59</v>
      </c>
      <c r="AA540" s="247"/>
      <c r="AB540" s="304"/>
      <c r="AC540" s="305"/>
      <c r="AD540" s="299"/>
      <c r="AE540" s="302">
        <f t="shared" si="573"/>
        <v>0</v>
      </c>
      <c r="AF540" s="203">
        <f t="shared" si="574"/>
        <v>45635</v>
      </c>
      <c r="AG540" s="201">
        <f t="shared" si="575"/>
        <v>0</v>
      </c>
      <c r="AH540" s="199">
        <f t="shared" si="576"/>
        <v>11857286.41</v>
      </c>
      <c r="AI540" s="199">
        <f t="shared" si="577"/>
        <v>11857286.41</v>
      </c>
      <c r="AJ540" s="201">
        <f t="shared" si="578"/>
        <v>0</v>
      </c>
      <c r="AK540" s="201">
        <f t="shared" si="578"/>
        <v>11857286.41</v>
      </c>
      <c r="AL540" s="201">
        <f t="shared" si="579"/>
        <v>11857286.41</v>
      </c>
      <c r="AM540" s="300"/>
      <c r="AN540" s="301"/>
      <c r="AO540" s="208"/>
      <c r="AP540" s="299">
        <f t="shared" si="580"/>
        <v>0</v>
      </c>
      <c r="AQ540" s="299">
        <f t="shared" si="581"/>
        <v>9289033.2300000004</v>
      </c>
      <c r="AR540" s="299">
        <f t="shared" si="582"/>
        <v>9289033.2300000004</v>
      </c>
      <c r="AS540" s="299">
        <f t="shared" si="583"/>
        <v>78.34029565285671</v>
      </c>
      <c r="AT540" s="201"/>
      <c r="AU540" s="209">
        <v>9289033.2300000004</v>
      </c>
      <c r="AV540" s="201">
        <f t="shared" si="584"/>
        <v>9289033.2300000004</v>
      </c>
      <c r="AW540" s="299">
        <f t="shared" si="600"/>
        <v>4.4529581368187596</v>
      </c>
      <c r="AX540" s="201">
        <f t="shared" si="585"/>
        <v>78.34029565285671</v>
      </c>
      <c r="AY540" s="208"/>
      <c r="AZ540" s="299">
        <f t="shared" si="586"/>
        <v>0</v>
      </c>
      <c r="BA540" s="299">
        <f t="shared" si="587"/>
        <v>694812.8</v>
      </c>
      <c r="BB540" s="299">
        <f t="shared" si="588"/>
        <v>694812.8</v>
      </c>
      <c r="BC540" s="201"/>
      <c r="BD540" s="209">
        <v>694812.8</v>
      </c>
      <c r="BE540" s="201">
        <f t="shared" si="589"/>
        <v>694812.8</v>
      </c>
      <c r="BF540" s="208"/>
      <c r="BG540" s="201">
        <f t="shared" si="590"/>
        <v>0</v>
      </c>
      <c r="BH540" s="201">
        <f t="shared" si="590"/>
        <v>9983846.0300000012</v>
      </c>
      <c r="BI540" s="201">
        <f t="shared" si="591"/>
        <v>9983846.0300000012</v>
      </c>
      <c r="BJ540" s="201">
        <f t="shared" si="504"/>
        <v>84.200091697034424</v>
      </c>
      <c r="BK540" s="210">
        <v>0</v>
      </c>
      <c r="BL540" s="210">
        <v>70</v>
      </c>
      <c r="BM540" s="211"/>
      <c r="BN540" s="211"/>
      <c r="BO540" s="212">
        <f t="shared" si="592"/>
        <v>0</v>
      </c>
      <c r="BP540" s="201">
        <f t="shared" si="593"/>
        <v>2568253.1799999997</v>
      </c>
      <c r="BQ540" s="201">
        <f t="shared" si="601"/>
        <v>2568253.1799999997</v>
      </c>
      <c r="BR540" s="201">
        <f t="shared" si="595"/>
        <v>0</v>
      </c>
      <c r="BS540" s="201">
        <f t="shared" si="595"/>
        <v>2568253.1799999997</v>
      </c>
      <c r="BT540" s="201">
        <f t="shared" si="602"/>
        <v>2568253.1799999997</v>
      </c>
      <c r="BU540" s="213">
        <f t="shared" si="603"/>
        <v>0</v>
      </c>
      <c r="BV540" s="201">
        <v>142713.59</v>
      </c>
      <c r="BW540" s="201"/>
      <c r="BX540" s="201">
        <f t="shared" si="604"/>
        <v>142713.59</v>
      </c>
      <c r="BY540" s="333">
        <v>0</v>
      </c>
      <c r="BZ540" s="333">
        <v>1096000</v>
      </c>
      <c r="CA540" s="333">
        <v>1288200</v>
      </c>
      <c r="CB540" s="333">
        <v>1576500</v>
      </c>
      <c r="CC540" s="333">
        <v>2595250</v>
      </c>
      <c r="CD540" s="333">
        <v>2595250</v>
      </c>
      <c r="CE540" s="333">
        <v>1850300</v>
      </c>
      <c r="CF540" s="333">
        <v>528000</v>
      </c>
      <c r="CG540" s="333">
        <v>200499.99999999997</v>
      </c>
      <c r="CH540" s="333">
        <v>135000</v>
      </c>
      <c r="CI540" s="333">
        <v>135000</v>
      </c>
      <c r="CJ540" s="333">
        <v>0</v>
      </c>
      <c r="CK540" s="214"/>
      <c r="CL540" s="214"/>
      <c r="CM540" s="211">
        <v>157</v>
      </c>
      <c r="CN540" s="215">
        <v>200</v>
      </c>
      <c r="CO540" s="215">
        <v>0</v>
      </c>
      <c r="CP540" s="216">
        <v>180</v>
      </c>
      <c r="CQ540" s="217"/>
      <c r="CR540" s="211"/>
      <c r="CS540" s="218"/>
      <c r="CT540" s="218"/>
      <c r="CU540" s="218"/>
      <c r="CV540" s="211"/>
      <c r="CW540" s="211"/>
      <c r="CX540" s="211"/>
      <c r="CY540" s="211"/>
      <c r="CZ540" s="211"/>
      <c r="DA540" s="211"/>
      <c r="DB540" s="211"/>
      <c r="DC540" s="219"/>
      <c r="DD540" s="219"/>
      <c r="DE540" s="219"/>
      <c r="DF540" s="211"/>
      <c r="DG540" s="211"/>
      <c r="DH540" s="211"/>
      <c r="DI540" s="211"/>
      <c r="DJ540" s="211"/>
      <c r="DK540" s="220" t="s">
        <v>32</v>
      </c>
      <c r="DT540" s="222"/>
    </row>
    <row r="541" spans="1:124" s="176" customFormat="1" x14ac:dyDescent="0.2">
      <c r="A541" s="195" t="s">
        <v>113</v>
      </c>
      <c r="B541" s="197" t="s">
        <v>1327</v>
      </c>
      <c r="C541" s="198">
        <v>1</v>
      </c>
      <c r="D541" s="199">
        <v>35000000</v>
      </c>
      <c r="E541" s="198" t="s">
        <v>1328</v>
      </c>
      <c r="F541" s="198" t="s">
        <v>492</v>
      </c>
      <c r="G541" s="198" t="s">
        <v>139</v>
      </c>
      <c r="H541" s="200">
        <v>1</v>
      </c>
      <c r="I541" s="199">
        <f t="shared" si="567"/>
        <v>0</v>
      </c>
      <c r="J541" s="199">
        <f t="shared" si="568"/>
        <v>35000000</v>
      </c>
      <c r="K541" s="199">
        <f t="shared" si="569"/>
        <v>35000000</v>
      </c>
      <c r="L541" s="199"/>
      <c r="M541" s="199">
        <v>35000000</v>
      </c>
      <c r="N541" s="199">
        <f t="shared" si="570"/>
        <v>35000000</v>
      </c>
      <c r="O541" s="199"/>
      <c r="P541" s="201">
        <v>0</v>
      </c>
      <c r="Q541" s="202">
        <v>7</v>
      </c>
      <c r="R541" s="203">
        <v>45566</v>
      </c>
      <c r="S541" s="204"/>
      <c r="T541" s="199">
        <v>35000000</v>
      </c>
      <c r="U541" s="199">
        <f t="shared" si="571"/>
        <v>35000000</v>
      </c>
      <c r="V541" s="205">
        <v>230</v>
      </c>
      <c r="W541" s="200">
        <v>45586</v>
      </c>
      <c r="X541" s="201"/>
      <c r="Y541" s="201">
        <v>-852000</v>
      </c>
      <c r="Z541" s="201">
        <f t="shared" si="572"/>
        <v>-852000</v>
      </c>
      <c r="AA541" s="198">
        <v>691</v>
      </c>
      <c r="AB541" s="206">
        <v>45622</v>
      </c>
      <c r="AC541" s="207"/>
      <c r="AD541" s="201">
        <v>-368045</v>
      </c>
      <c r="AE541" s="204">
        <f t="shared" si="573"/>
        <v>-368045</v>
      </c>
      <c r="AF541" s="203">
        <f t="shared" si="574"/>
        <v>45566</v>
      </c>
      <c r="AG541" s="201">
        <f t="shared" si="575"/>
        <v>0</v>
      </c>
      <c r="AH541" s="199">
        <f t="shared" si="576"/>
        <v>34631955</v>
      </c>
      <c r="AI541" s="199">
        <f t="shared" si="577"/>
        <v>34631955</v>
      </c>
      <c r="AJ541" s="201">
        <f t="shared" si="578"/>
        <v>0</v>
      </c>
      <c r="AK541" s="201">
        <f t="shared" si="578"/>
        <v>33779955</v>
      </c>
      <c r="AL541" s="201">
        <f t="shared" si="579"/>
        <v>33779955</v>
      </c>
      <c r="AM541" s="202">
        <v>231</v>
      </c>
      <c r="AN541" s="203">
        <v>45586</v>
      </c>
      <c r="AO541" s="208">
        <v>852000</v>
      </c>
      <c r="AP541" s="201">
        <f t="shared" si="580"/>
        <v>0</v>
      </c>
      <c r="AQ541" s="201">
        <f t="shared" si="581"/>
        <v>30850341.890000001</v>
      </c>
      <c r="AR541" s="201">
        <f t="shared" si="582"/>
        <v>30850341.890000001</v>
      </c>
      <c r="AS541" s="201">
        <f t="shared" si="583"/>
        <v>89.080567037003831</v>
      </c>
      <c r="AT541" s="201"/>
      <c r="AU541" s="223">
        <v>30509627.93</v>
      </c>
      <c r="AV541" s="201">
        <f t="shared" si="584"/>
        <v>30509627.93</v>
      </c>
      <c r="AW541" s="201">
        <f t="shared" si="600"/>
        <v>11.841342002971881</v>
      </c>
      <c r="AX541" s="201">
        <f t="shared" si="585"/>
        <v>90.318734675638254</v>
      </c>
      <c r="AY541" s="208">
        <v>340713.96</v>
      </c>
      <c r="AZ541" s="201">
        <f t="shared" si="586"/>
        <v>0</v>
      </c>
      <c r="BA541" s="201">
        <f t="shared" si="587"/>
        <v>1183998</v>
      </c>
      <c r="BB541" s="201">
        <f t="shared" si="588"/>
        <v>1183998</v>
      </c>
      <c r="BC541" s="201"/>
      <c r="BD541" s="223">
        <v>1152500</v>
      </c>
      <c r="BE541" s="201">
        <f t="shared" si="589"/>
        <v>1152500</v>
      </c>
      <c r="BF541" s="208">
        <v>31498</v>
      </c>
      <c r="BG541" s="201">
        <f t="shared" si="590"/>
        <v>0</v>
      </c>
      <c r="BH541" s="201">
        <f t="shared" si="590"/>
        <v>32034339.890000001</v>
      </c>
      <c r="BI541" s="201">
        <f t="shared" si="591"/>
        <v>32034339.890000001</v>
      </c>
      <c r="BJ541" s="201">
        <f t="shared" si="504"/>
        <v>92.499369123111876</v>
      </c>
      <c r="BK541" s="210">
        <v>10</v>
      </c>
      <c r="BL541" s="210">
        <v>45</v>
      </c>
      <c r="BM541" s="211"/>
      <c r="BN541" s="211"/>
      <c r="BO541" s="212">
        <f t="shared" si="592"/>
        <v>0</v>
      </c>
      <c r="BP541" s="201">
        <f t="shared" si="593"/>
        <v>3781613.1100000003</v>
      </c>
      <c r="BQ541" s="201">
        <f t="shared" si="601"/>
        <v>3781613.1100000003</v>
      </c>
      <c r="BR541" s="201">
        <f t="shared" si="595"/>
        <v>0</v>
      </c>
      <c r="BS541" s="201">
        <f t="shared" si="595"/>
        <v>3270327.0700000003</v>
      </c>
      <c r="BT541" s="201">
        <f t="shared" si="602"/>
        <v>3270327.0700000003</v>
      </c>
      <c r="BU541" s="213">
        <f t="shared" si="603"/>
        <v>511286.04</v>
      </c>
      <c r="BV541" s="201">
        <f>368045</f>
        <v>368045</v>
      </c>
      <c r="BW541" s="201"/>
      <c r="BX541" s="201">
        <f t="shared" si="604"/>
        <v>368045</v>
      </c>
      <c r="BY541" s="333">
        <v>1000000</v>
      </c>
      <c r="BZ541" s="333">
        <v>4000000</v>
      </c>
      <c r="CA541" s="333">
        <v>4500000</v>
      </c>
      <c r="CB541" s="333">
        <v>3500000</v>
      </c>
      <c r="CC541" s="333">
        <v>3000000</v>
      </c>
      <c r="CD541" s="333">
        <v>2000000</v>
      </c>
      <c r="CE541" s="333">
        <v>4000000</v>
      </c>
      <c r="CF541" s="333">
        <v>4000000</v>
      </c>
      <c r="CG541" s="333">
        <v>3000000</v>
      </c>
      <c r="CH541" s="333">
        <v>3000000</v>
      </c>
      <c r="CI541" s="333">
        <v>2000000</v>
      </c>
      <c r="CJ541" s="333">
        <v>1000000</v>
      </c>
      <c r="CK541" s="214" t="s">
        <v>1329</v>
      </c>
      <c r="CL541" s="214" t="s">
        <v>1312</v>
      </c>
      <c r="CM541" s="211">
        <v>159</v>
      </c>
      <c r="CN541" s="215">
        <v>500</v>
      </c>
      <c r="CO541" s="215">
        <v>0</v>
      </c>
      <c r="CP541" s="216">
        <v>122</v>
      </c>
      <c r="CQ541" s="217"/>
      <c r="CR541" s="211"/>
      <c r="CS541" s="218"/>
      <c r="CT541" s="218"/>
      <c r="CU541" s="218"/>
      <c r="CV541" s="211"/>
      <c r="CW541" s="211"/>
      <c r="CX541" s="211"/>
      <c r="CY541" s="211"/>
      <c r="CZ541" s="211"/>
      <c r="DA541" s="211"/>
      <c r="DB541" s="211"/>
      <c r="DC541" s="219"/>
      <c r="DD541" s="219"/>
      <c r="DE541" s="219"/>
      <c r="DF541" s="211"/>
      <c r="DG541" s="211"/>
      <c r="DH541" s="211"/>
      <c r="DI541" s="211"/>
      <c r="DJ541" s="211"/>
      <c r="DK541" s="220" t="s">
        <v>32</v>
      </c>
      <c r="DT541" s="222"/>
    </row>
    <row r="542" spans="1:124" s="176" customFormat="1" ht="42" x14ac:dyDescent="0.2">
      <c r="A542" s="195" t="s">
        <v>136</v>
      </c>
      <c r="B542" s="197" t="s">
        <v>1330</v>
      </c>
      <c r="C542" s="198">
        <v>1</v>
      </c>
      <c r="D542" s="199">
        <v>50000000</v>
      </c>
      <c r="E542" s="198" t="s">
        <v>111</v>
      </c>
      <c r="F542" s="198" t="s">
        <v>473</v>
      </c>
      <c r="G542" s="198" t="s">
        <v>139</v>
      </c>
      <c r="H542" s="200">
        <v>1</v>
      </c>
      <c r="I542" s="199">
        <f t="shared" si="567"/>
        <v>0</v>
      </c>
      <c r="J542" s="199">
        <f t="shared" si="568"/>
        <v>50000000</v>
      </c>
      <c r="K542" s="199">
        <f t="shared" si="569"/>
        <v>50000000</v>
      </c>
      <c r="L542" s="199"/>
      <c r="M542" s="199">
        <v>50000000</v>
      </c>
      <c r="N542" s="199">
        <f t="shared" si="570"/>
        <v>50000000</v>
      </c>
      <c r="O542" s="199"/>
      <c r="P542" s="201">
        <v>0</v>
      </c>
      <c r="Q542" s="202">
        <v>7</v>
      </c>
      <c r="R542" s="203">
        <v>45566</v>
      </c>
      <c r="S542" s="204"/>
      <c r="T542" s="199">
        <v>50000000</v>
      </c>
      <c r="U542" s="199">
        <f t="shared" si="571"/>
        <v>50000000</v>
      </c>
      <c r="V542" s="205">
        <v>230</v>
      </c>
      <c r="W542" s="200">
        <v>45586</v>
      </c>
      <c r="X542" s="201"/>
      <c r="Y542" s="201">
        <v>-935600</v>
      </c>
      <c r="Z542" s="201">
        <f t="shared" si="572"/>
        <v>-935600</v>
      </c>
      <c r="AA542" s="198">
        <v>1451</v>
      </c>
      <c r="AB542" s="206">
        <v>45693</v>
      </c>
      <c r="AC542" s="207"/>
      <c r="AD542" s="201">
        <v>-2760071.79</v>
      </c>
      <c r="AE542" s="204">
        <f t="shared" si="573"/>
        <v>-2760071.79</v>
      </c>
      <c r="AF542" s="203">
        <f t="shared" si="574"/>
        <v>45566</v>
      </c>
      <c r="AG542" s="201">
        <f t="shared" si="575"/>
        <v>0</v>
      </c>
      <c r="AH542" s="199">
        <f t="shared" si="576"/>
        <v>47239928.210000001</v>
      </c>
      <c r="AI542" s="199">
        <f t="shared" si="577"/>
        <v>47239928.210000001</v>
      </c>
      <c r="AJ542" s="201">
        <f t="shared" si="578"/>
        <v>0</v>
      </c>
      <c r="AK542" s="201">
        <f t="shared" si="578"/>
        <v>46304328.210000001</v>
      </c>
      <c r="AL542" s="201">
        <f t="shared" si="579"/>
        <v>46304328.210000001</v>
      </c>
      <c r="AM542" s="202">
        <v>231</v>
      </c>
      <c r="AN542" s="203">
        <v>45586</v>
      </c>
      <c r="AO542" s="208">
        <v>935600</v>
      </c>
      <c r="AP542" s="201">
        <f t="shared" si="580"/>
        <v>0</v>
      </c>
      <c r="AQ542" s="201">
        <f t="shared" si="581"/>
        <v>35292140.060000002</v>
      </c>
      <c r="AR542" s="201">
        <f t="shared" si="582"/>
        <v>35292140.060000002</v>
      </c>
      <c r="AS542" s="201">
        <f t="shared" si="583"/>
        <v>74.70828470168837</v>
      </c>
      <c r="AT542" s="201"/>
      <c r="AU542" s="223">
        <v>35027794.609999999</v>
      </c>
      <c r="AV542" s="201">
        <f t="shared" si="584"/>
        <v>35027794.609999999</v>
      </c>
      <c r="AW542" s="201">
        <f t="shared" si="600"/>
        <v>10.79812664017915</v>
      </c>
      <c r="AX542" s="201">
        <f t="shared" si="585"/>
        <v>75.646912424992934</v>
      </c>
      <c r="AY542" s="208">
        <v>264345.45</v>
      </c>
      <c r="AZ542" s="201">
        <f t="shared" si="586"/>
        <v>0</v>
      </c>
      <c r="BA542" s="201">
        <f t="shared" si="587"/>
        <v>2330547.16</v>
      </c>
      <c r="BB542" s="201">
        <f t="shared" si="588"/>
        <v>2330547.16</v>
      </c>
      <c r="BC542" s="201"/>
      <c r="BD542" s="223">
        <v>2218078</v>
      </c>
      <c r="BE542" s="201">
        <f t="shared" si="589"/>
        <v>2218078</v>
      </c>
      <c r="BF542" s="208">
        <v>112469.16</v>
      </c>
      <c r="BG542" s="201">
        <f t="shared" si="590"/>
        <v>0</v>
      </c>
      <c r="BH542" s="201">
        <f t="shared" si="590"/>
        <v>37622687.219999999</v>
      </c>
      <c r="BI542" s="201">
        <f t="shared" si="591"/>
        <v>37622687.219999999</v>
      </c>
      <c r="BJ542" s="201">
        <f t="shared" si="504"/>
        <v>79.641711250602256</v>
      </c>
      <c r="BK542" s="210">
        <v>10</v>
      </c>
      <c r="BL542" s="210">
        <v>60</v>
      </c>
      <c r="BM542" s="211"/>
      <c r="BN542" s="211"/>
      <c r="BO542" s="212">
        <f t="shared" si="592"/>
        <v>0</v>
      </c>
      <c r="BP542" s="201">
        <f t="shared" si="593"/>
        <v>11947788.150000002</v>
      </c>
      <c r="BQ542" s="201">
        <f t="shared" si="601"/>
        <v>11947788.150000002</v>
      </c>
      <c r="BR542" s="201">
        <f t="shared" si="595"/>
        <v>0</v>
      </c>
      <c r="BS542" s="201">
        <f t="shared" si="595"/>
        <v>11276533.600000001</v>
      </c>
      <c r="BT542" s="201">
        <f t="shared" si="602"/>
        <v>11276533.600000001</v>
      </c>
      <c r="BU542" s="213">
        <f t="shared" si="603"/>
        <v>671254.55</v>
      </c>
      <c r="BV542" s="201">
        <v>2760071.79</v>
      </c>
      <c r="BW542" s="201"/>
      <c r="BX542" s="201">
        <f t="shared" si="604"/>
        <v>2760071.79</v>
      </c>
      <c r="BY542" s="333">
        <v>2500000</v>
      </c>
      <c r="BZ542" s="333">
        <v>2500000</v>
      </c>
      <c r="CA542" s="333">
        <v>5000000</v>
      </c>
      <c r="CB542" s="333">
        <v>2500000</v>
      </c>
      <c r="CC542" s="333">
        <v>4000000</v>
      </c>
      <c r="CD542" s="333">
        <v>4000000</v>
      </c>
      <c r="CE542" s="333">
        <v>5000000</v>
      </c>
      <c r="CF542" s="333">
        <v>5000000</v>
      </c>
      <c r="CG542" s="333">
        <v>2500000</v>
      </c>
      <c r="CH542" s="333">
        <v>8000000</v>
      </c>
      <c r="CI542" s="333">
        <v>6000000</v>
      </c>
      <c r="CJ542" s="333">
        <v>3000000</v>
      </c>
      <c r="CK542" s="214" t="s">
        <v>1331</v>
      </c>
      <c r="CL542" s="214" t="s">
        <v>1312</v>
      </c>
      <c r="CM542" s="211">
        <v>159</v>
      </c>
      <c r="CN542" s="215">
        <v>1300</v>
      </c>
      <c r="CO542" s="215">
        <v>0</v>
      </c>
      <c r="CP542" s="216"/>
      <c r="CQ542" s="217"/>
      <c r="CR542" s="211"/>
      <c r="CS542" s="218"/>
      <c r="CT542" s="218"/>
      <c r="CU542" s="218"/>
      <c r="CV542" s="211"/>
      <c r="CW542" s="211"/>
      <c r="CX542" s="211"/>
      <c r="CY542" s="211"/>
      <c r="CZ542" s="211"/>
      <c r="DA542" s="211"/>
      <c r="DB542" s="211"/>
      <c r="DC542" s="219"/>
      <c r="DD542" s="219"/>
      <c r="DE542" s="219"/>
      <c r="DF542" s="211"/>
      <c r="DG542" s="211"/>
      <c r="DH542" s="211"/>
      <c r="DI542" s="211"/>
      <c r="DJ542" s="211"/>
      <c r="DK542" s="220" t="s">
        <v>32</v>
      </c>
      <c r="DT542" s="222"/>
    </row>
    <row r="543" spans="1:124" s="176" customFormat="1" ht="42" x14ac:dyDescent="0.2">
      <c r="A543" s="195" t="s">
        <v>136</v>
      </c>
      <c r="B543" s="197" t="s">
        <v>1332</v>
      </c>
      <c r="C543" s="198">
        <v>1</v>
      </c>
      <c r="D543" s="199">
        <v>40000000</v>
      </c>
      <c r="E543" s="198" t="s">
        <v>1333</v>
      </c>
      <c r="F543" s="198" t="s">
        <v>1334</v>
      </c>
      <c r="G543" s="198" t="s">
        <v>139</v>
      </c>
      <c r="H543" s="200">
        <v>1</v>
      </c>
      <c r="I543" s="199">
        <f t="shared" si="567"/>
        <v>0</v>
      </c>
      <c r="J543" s="199">
        <f t="shared" si="568"/>
        <v>40000000</v>
      </c>
      <c r="K543" s="199">
        <f t="shared" si="569"/>
        <v>40000000</v>
      </c>
      <c r="L543" s="199"/>
      <c r="M543" s="199">
        <v>40000000</v>
      </c>
      <c r="N543" s="199">
        <f t="shared" si="570"/>
        <v>40000000</v>
      </c>
      <c r="O543" s="199"/>
      <c r="P543" s="201">
        <v>0</v>
      </c>
      <c r="Q543" s="202">
        <v>7</v>
      </c>
      <c r="R543" s="203">
        <v>45566</v>
      </c>
      <c r="S543" s="204"/>
      <c r="T543" s="199">
        <v>40000000</v>
      </c>
      <c r="U543" s="199">
        <f t="shared" si="571"/>
        <v>40000000</v>
      </c>
      <c r="V543" s="205">
        <v>230</v>
      </c>
      <c r="W543" s="200">
        <v>45586</v>
      </c>
      <c r="X543" s="201"/>
      <c r="Y543" s="201">
        <v>-512400</v>
      </c>
      <c r="Z543" s="201">
        <f t="shared" si="572"/>
        <v>-512400</v>
      </c>
      <c r="AA543" s="198">
        <v>1451</v>
      </c>
      <c r="AB543" s="206">
        <v>45693</v>
      </c>
      <c r="AC543" s="207"/>
      <c r="AD543" s="201">
        <v>-232741.05</v>
      </c>
      <c r="AE543" s="204">
        <f t="shared" si="573"/>
        <v>-232741.05</v>
      </c>
      <c r="AF543" s="203">
        <f t="shared" si="574"/>
        <v>45566</v>
      </c>
      <c r="AG543" s="201">
        <f t="shared" si="575"/>
        <v>0</v>
      </c>
      <c r="AH543" s="199">
        <f t="shared" si="576"/>
        <v>39767258.950000003</v>
      </c>
      <c r="AI543" s="199">
        <f t="shared" si="577"/>
        <v>39767258.950000003</v>
      </c>
      <c r="AJ543" s="201">
        <f t="shared" si="578"/>
        <v>0</v>
      </c>
      <c r="AK543" s="201">
        <f t="shared" si="578"/>
        <v>39254858.950000003</v>
      </c>
      <c r="AL543" s="201">
        <f t="shared" si="579"/>
        <v>39254858.950000003</v>
      </c>
      <c r="AM543" s="202">
        <v>231</v>
      </c>
      <c r="AN543" s="203">
        <v>45586</v>
      </c>
      <c r="AO543" s="208">
        <v>512400</v>
      </c>
      <c r="AP543" s="201">
        <f t="shared" si="580"/>
        <v>0</v>
      </c>
      <c r="AQ543" s="201">
        <f t="shared" si="581"/>
        <v>30678996.800000001</v>
      </c>
      <c r="AR543" s="201">
        <f t="shared" si="582"/>
        <v>30678996.800000001</v>
      </c>
      <c r="AS543" s="201">
        <f t="shared" si="583"/>
        <v>77.146370179984444</v>
      </c>
      <c r="AT543" s="201"/>
      <c r="AU543" s="223">
        <v>30612433.359999999</v>
      </c>
      <c r="AV543" s="201">
        <f t="shared" si="584"/>
        <v>30612433.359999999</v>
      </c>
      <c r="AW543" s="201">
        <f t="shared" si="600"/>
        <v>12.737276693233412</v>
      </c>
      <c r="AX543" s="201">
        <f t="shared" si="585"/>
        <v>77.983806791897791</v>
      </c>
      <c r="AY543" s="208">
        <v>66563.44</v>
      </c>
      <c r="AZ543" s="201">
        <f t="shared" si="586"/>
        <v>0</v>
      </c>
      <c r="BA543" s="201">
        <f t="shared" si="587"/>
        <v>3499948.21</v>
      </c>
      <c r="BB543" s="201">
        <f t="shared" si="588"/>
        <v>3499948.21</v>
      </c>
      <c r="BC543" s="201"/>
      <c r="BD543" s="223">
        <v>3499948.21</v>
      </c>
      <c r="BE543" s="201">
        <f t="shared" si="589"/>
        <v>3499948.21</v>
      </c>
      <c r="BF543" s="208"/>
      <c r="BG543" s="201">
        <f t="shared" si="590"/>
        <v>0</v>
      </c>
      <c r="BH543" s="201">
        <f t="shared" si="590"/>
        <v>34178945.009999998</v>
      </c>
      <c r="BI543" s="201">
        <f t="shared" si="591"/>
        <v>34178945.009999998</v>
      </c>
      <c r="BJ543" s="201">
        <f t="shared" ref="BJ543:BJ555" si="605">+BI543*100/AI543</f>
        <v>85.947450019056433</v>
      </c>
      <c r="BK543" s="210">
        <v>10</v>
      </c>
      <c r="BL543" s="210">
        <v>75</v>
      </c>
      <c r="BM543" s="211"/>
      <c r="BN543" s="211"/>
      <c r="BO543" s="212">
        <f t="shared" si="592"/>
        <v>0</v>
      </c>
      <c r="BP543" s="201">
        <f t="shared" si="593"/>
        <v>9088262.1500000041</v>
      </c>
      <c r="BQ543" s="201">
        <f t="shared" si="601"/>
        <v>9088262.1500000041</v>
      </c>
      <c r="BR543" s="201">
        <f t="shared" si="595"/>
        <v>0</v>
      </c>
      <c r="BS543" s="201">
        <f t="shared" si="595"/>
        <v>8642425.5900000036</v>
      </c>
      <c r="BT543" s="201">
        <f t="shared" si="602"/>
        <v>8642425.5900000036</v>
      </c>
      <c r="BU543" s="213">
        <f t="shared" si="603"/>
        <v>445836.56</v>
      </c>
      <c r="BV543" s="201">
        <v>232741.05</v>
      </c>
      <c r="BW543" s="201"/>
      <c r="BX543" s="201">
        <f t="shared" si="604"/>
        <v>232741.05</v>
      </c>
      <c r="BY543" s="333">
        <v>2000000</v>
      </c>
      <c r="BZ543" s="333">
        <v>4000000</v>
      </c>
      <c r="CA543" s="333">
        <v>4000000</v>
      </c>
      <c r="CB543" s="333">
        <v>2000000</v>
      </c>
      <c r="CC543" s="333">
        <v>4000000</v>
      </c>
      <c r="CD543" s="333">
        <v>4000000</v>
      </c>
      <c r="CE543" s="333">
        <v>5000000</v>
      </c>
      <c r="CF543" s="333">
        <v>5000000</v>
      </c>
      <c r="CG543" s="333">
        <v>5000000</v>
      </c>
      <c r="CH543" s="333">
        <v>3000000</v>
      </c>
      <c r="CI543" s="333">
        <v>1500000</v>
      </c>
      <c r="CJ543" s="333">
        <v>500000</v>
      </c>
      <c r="CK543" s="214" t="s">
        <v>1335</v>
      </c>
      <c r="CL543" s="214" t="s">
        <v>1312</v>
      </c>
      <c r="CM543" s="211">
        <v>159</v>
      </c>
      <c r="CN543" s="215">
        <v>1000</v>
      </c>
      <c r="CO543" s="215">
        <v>0</v>
      </c>
      <c r="CP543" s="216">
        <v>100</v>
      </c>
      <c r="CQ543" s="217"/>
      <c r="CR543" s="211"/>
      <c r="CS543" s="218"/>
      <c r="CT543" s="218"/>
      <c r="CU543" s="218"/>
      <c r="CV543" s="211"/>
      <c r="CW543" s="211"/>
      <c r="CX543" s="211"/>
      <c r="CY543" s="211"/>
      <c r="CZ543" s="211"/>
      <c r="DA543" s="211"/>
      <c r="DB543" s="211"/>
      <c r="DC543" s="219"/>
      <c r="DD543" s="219"/>
      <c r="DE543" s="219"/>
      <c r="DF543" s="211"/>
      <c r="DG543" s="211"/>
      <c r="DH543" s="211"/>
      <c r="DI543" s="211"/>
      <c r="DJ543" s="211"/>
      <c r="DK543" s="220" t="s">
        <v>32</v>
      </c>
      <c r="DT543" s="222"/>
    </row>
    <row r="544" spans="1:124" s="176" customFormat="1" ht="42" x14ac:dyDescent="0.2">
      <c r="A544" s="195" t="s">
        <v>108</v>
      </c>
      <c r="B544" s="197" t="s">
        <v>1336</v>
      </c>
      <c r="C544" s="198">
        <v>1</v>
      </c>
      <c r="D544" s="199">
        <v>190000000</v>
      </c>
      <c r="E544" s="198" t="s">
        <v>1337</v>
      </c>
      <c r="F544" s="198" t="s">
        <v>327</v>
      </c>
      <c r="G544" s="198" t="s">
        <v>98</v>
      </c>
      <c r="H544" s="200">
        <v>1</v>
      </c>
      <c r="I544" s="199">
        <f t="shared" si="567"/>
        <v>0</v>
      </c>
      <c r="J544" s="199">
        <f t="shared" si="568"/>
        <v>190000000</v>
      </c>
      <c r="K544" s="199">
        <f t="shared" si="569"/>
        <v>190000000</v>
      </c>
      <c r="L544" s="199"/>
      <c r="M544" s="199">
        <v>190000000</v>
      </c>
      <c r="N544" s="199">
        <f t="shared" si="570"/>
        <v>190000000</v>
      </c>
      <c r="O544" s="199"/>
      <c r="P544" s="201">
        <v>0</v>
      </c>
      <c r="Q544" s="202">
        <v>7</v>
      </c>
      <c r="R544" s="203">
        <v>45566</v>
      </c>
      <c r="S544" s="204"/>
      <c r="T544" s="199">
        <v>190000000</v>
      </c>
      <c r="U544" s="199">
        <f t="shared" si="571"/>
        <v>190000000</v>
      </c>
      <c r="V544" s="205">
        <v>1788</v>
      </c>
      <c r="W544" s="200">
        <v>45733</v>
      </c>
      <c r="X544" s="201"/>
      <c r="Y544" s="201">
        <v>-1808084.98</v>
      </c>
      <c r="Z544" s="201">
        <f t="shared" si="572"/>
        <v>-1808084.98</v>
      </c>
      <c r="AA544" s="198">
        <v>2068</v>
      </c>
      <c r="AB544" s="206">
        <v>45758</v>
      </c>
      <c r="AC544" s="207"/>
      <c r="AD544" s="201">
        <v>-43815</v>
      </c>
      <c r="AE544" s="204">
        <f t="shared" si="573"/>
        <v>-43815</v>
      </c>
      <c r="AF544" s="203">
        <f t="shared" si="574"/>
        <v>45566</v>
      </c>
      <c r="AG544" s="201">
        <f t="shared" si="575"/>
        <v>0</v>
      </c>
      <c r="AH544" s="199">
        <f t="shared" si="576"/>
        <v>188148100.02000001</v>
      </c>
      <c r="AI544" s="199">
        <f t="shared" si="577"/>
        <v>188148100.02000001</v>
      </c>
      <c r="AJ544" s="201">
        <f t="shared" si="578"/>
        <v>0</v>
      </c>
      <c r="AK544" s="201">
        <f t="shared" si="578"/>
        <v>188148100.02000001</v>
      </c>
      <c r="AL544" s="201">
        <f t="shared" si="579"/>
        <v>188148100.02000001</v>
      </c>
      <c r="AM544" s="202"/>
      <c r="AN544" s="203"/>
      <c r="AO544" s="208"/>
      <c r="AP544" s="201">
        <f t="shared" si="580"/>
        <v>0</v>
      </c>
      <c r="AQ544" s="201">
        <f t="shared" si="581"/>
        <v>103465805.27</v>
      </c>
      <c r="AR544" s="201">
        <f t="shared" si="582"/>
        <v>103465805.27</v>
      </c>
      <c r="AS544" s="201">
        <f t="shared" si="583"/>
        <v>54.991682222143972</v>
      </c>
      <c r="AT544" s="201"/>
      <c r="AU544" s="223">
        <v>103465805.27</v>
      </c>
      <c r="AV544" s="201">
        <f t="shared" si="584"/>
        <v>103465805.27</v>
      </c>
      <c r="AW544" s="201">
        <f t="shared" si="600"/>
        <v>10.28445144965222</v>
      </c>
      <c r="AX544" s="201">
        <f t="shared" si="585"/>
        <v>54.991682222143972</v>
      </c>
      <c r="AY544" s="208"/>
      <c r="AZ544" s="201">
        <f t="shared" si="586"/>
        <v>0</v>
      </c>
      <c r="BA544" s="201">
        <f t="shared" si="587"/>
        <v>22949939.699999999</v>
      </c>
      <c r="BB544" s="201">
        <f t="shared" si="588"/>
        <v>22949939.699999999</v>
      </c>
      <c r="BC544" s="201"/>
      <c r="BD544" s="223">
        <v>22949939.699999999</v>
      </c>
      <c r="BE544" s="201">
        <f t="shared" si="589"/>
        <v>22949939.699999999</v>
      </c>
      <c r="BF544" s="208"/>
      <c r="BG544" s="201">
        <f t="shared" si="590"/>
        <v>0</v>
      </c>
      <c r="BH544" s="201">
        <f t="shared" si="590"/>
        <v>126415744.97</v>
      </c>
      <c r="BI544" s="201">
        <f t="shared" si="591"/>
        <v>126415744.97</v>
      </c>
      <c r="BJ544" s="201">
        <f t="shared" si="605"/>
        <v>67.189487938789753</v>
      </c>
      <c r="BK544" s="210">
        <v>10</v>
      </c>
      <c r="BL544" s="210">
        <v>50</v>
      </c>
      <c r="BM544" s="211"/>
      <c r="BN544" s="211"/>
      <c r="BO544" s="212">
        <f t="shared" si="592"/>
        <v>0</v>
      </c>
      <c r="BP544" s="201">
        <f t="shared" si="593"/>
        <v>84682294.750000015</v>
      </c>
      <c r="BQ544" s="201">
        <f t="shared" si="601"/>
        <v>84682294.750000015</v>
      </c>
      <c r="BR544" s="201">
        <f t="shared" si="595"/>
        <v>0</v>
      </c>
      <c r="BS544" s="201">
        <f t="shared" si="595"/>
        <v>84682294.750000015</v>
      </c>
      <c r="BT544" s="201">
        <f t="shared" si="602"/>
        <v>84682294.750000015</v>
      </c>
      <c r="BU544" s="213">
        <f t="shared" si="603"/>
        <v>0</v>
      </c>
      <c r="BV544" s="201">
        <f>1808084.98+43815</f>
        <v>1851899.98</v>
      </c>
      <c r="BW544" s="201"/>
      <c r="BX544" s="201">
        <f t="shared" si="604"/>
        <v>1851899.98</v>
      </c>
      <c r="BY544" s="333">
        <v>12800000</v>
      </c>
      <c r="BZ544" s="333">
        <v>12900000</v>
      </c>
      <c r="CA544" s="333">
        <v>12700000</v>
      </c>
      <c r="CB544" s="333">
        <v>13900000</v>
      </c>
      <c r="CC544" s="333">
        <v>14400000</v>
      </c>
      <c r="CD544" s="333">
        <v>14450000</v>
      </c>
      <c r="CE544" s="333">
        <v>19000000</v>
      </c>
      <c r="CF544" s="333">
        <v>19350000</v>
      </c>
      <c r="CG544" s="333">
        <v>19400000</v>
      </c>
      <c r="CH544" s="333">
        <v>18900000</v>
      </c>
      <c r="CI544" s="333">
        <v>17400000</v>
      </c>
      <c r="CJ544" s="333">
        <v>14800000</v>
      </c>
      <c r="CK544" s="214" t="s">
        <v>1338</v>
      </c>
      <c r="CL544" s="214" t="s">
        <v>1339</v>
      </c>
      <c r="CM544" s="211">
        <v>162</v>
      </c>
      <c r="CN544" s="215"/>
      <c r="CO544" s="215">
        <v>1865</v>
      </c>
      <c r="CP544" s="216">
        <v>10008</v>
      </c>
      <c r="CQ544" s="217"/>
      <c r="CR544" s="211"/>
      <c r="CS544" s="218"/>
      <c r="CT544" s="218"/>
      <c r="CU544" s="218"/>
      <c r="CV544" s="211"/>
      <c r="CW544" s="211"/>
      <c r="CX544" s="211"/>
      <c r="CY544" s="211"/>
      <c r="CZ544" s="211"/>
      <c r="DA544" s="211"/>
      <c r="DB544" s="211"/>
      <c r="DC544" s="219"/>
      <c r="DD544" s="219">
        <v>2.6</v>
      </c>
      <c r="DE544" s="219"/>
      <c r="DF544" s="211"/>
      <c r="DG544" s="211"/>
      <c r="DH544" s="211"/>
      <c r="DI544" s="211"/>
      <c r="DJ544" s="211"/>
      <c r="DK544" s="220" t="s">
        <v>32</v>
      </c>
      <c r="DT544" s="222"/>
    </row>
    <row r="545" spans="1:124" s="176" customFormat="1" ht="42" x14ac:dyDescent="0.2">
      <c r="A545" s="195" t="s">
        <v>136</v>
      </c>
      <c r="B545" s="197" t="s">
        <v>1340</v>
      </c>
      <c r="C545" s="198">
        <v>1</v>
      </c>
      <c r="D545" s="199">
        <v>269220000</v>
      </c>
      <c r="E545" s="198" t="s">
        <v>1341</v>
      </c>
      <c r="F545" s="198" t="s">
        <v>143</v>
      </c>
      <c r="G545" s="198" t="s">
        <v>139</v>
      </c>
      <c r="H545" s="200">
        <v>1</v>
      </c>
      <c r="I545" s="199">
        <f t="shared" si="567"/>
        <v>23540700</v>
      </c>
      <c r="J545" s="199">
        <f t="shared" si="568"/>
        <v>245679300</v>
      </c>
      <c r="K545" s="199">
        <f t="shared" si="569"/>
        <v>269220000</v>
      </c>
      <c r="L545" s="199">
        <v>23540700</v>
      </c>
      <c r="M545" s="199">
        <f>411900+245267400</f>
        <v>245679300</v>
      </c>
      <c r="N545" s="199">
        <f t="shared" si="570"/>
        <v>269220000</v>
      </c>
      <c r="O545" s="199"/>
      <c r="P545" s="201">
        <v>0</v>
      </c>
      <c r="Q545" s="202">
        <v>6</v>
      </c>
      <c r="R545" s="203">
        <v>45566</v>
      </c>
      <c r="S545" s="204"/>
      <c r="T545" s="199">
        <v>245267400</v>
      </c>
      <c r="U545" s="199">
        <f t="shared" si="571"/>
        <v>245267400</v>
      </c>
      <c r="V545" s="205">
        <v>230</v>
      </c>
      <c r="W545" s="200">
        <v>45586</v>
      </c>
      <c r="X545" s="201"/>
      <c r="Y545" s="201">
        <v>-1319300</v>
      </c>
      <c r="Z545" s="201">
        <f t="shared" si="572"/>
        <v>-1319300</v>
      </c>
      <c r="AA545" s="198">
        <v>1451</v>
      </c>
      <c r="AB545" s="206">
        <v>45693</v>
      </c>
      <c r="AC545" s="207">
        <v>18440000</v>
      </c>
      <c r="AD545" s="201">
        <f>+-8344586.88+322700</f>
        <v>-8021886.8799999999</v>
      </c>
      <c r="AE545" s="204">
        <f t="shared" si="573"/>
        <v>10418113.120000001</v>
      </c>
      <c r="AF545" s="203">
        <f t="shared" si="574"/>
        <v>45566</v>
      </c>
      <c r="AG545" s="201">
        <f t="shared" si="575"/>
        <v>18440000</v>
      </c>
      <c r="AH545" s="199">
        <f t="shared" si="576"/>
        <v>237245513.12</v>
      </c>
      <c r="AI545" s="199">
        <f t="shared" si="577"/>
        <v>255685513.12</v>
      </c>
      <c r="AJ545" s="201">
        <f t="shared" si="578"/>
        <v>18440000</v>
      </c>
      <c r="AK545" s="201">
        <f t="shared" si="578"/>
        <v>235926213.12</v>
      </c>
      <c r="AL545" s="201">
        <f t="shared" si="579"/>
        <v>254366213.12</v>
      </c>
      <c r="AM545" s="202">
        <v>231</v>
      </c>
      <c r="AN545" s="203">
        <v>45586</v>
      </c>
      <c r="AO545" s="208">
        <v>1319300</v>
      </c>
      <c r="AP545" s="201">
        <f t="shared" si="580"/>
        <v>0</v>
      </c>
      <c r="AQ545" s="201">
        <f t="shared" si="581"/>
        <v>36082017.520000003</v>
      </c>
      <c r="AR545" s="201">
        <f t="shared" si="582"/>
        <v>36082017.520000003</v>
      </c>
      <c r="AS545" s="201">
        <f t="shared" si="583"/>
        <v>14.111874028258205</v>
      </c>
      <c r="AT545" s="201"/>
      <c r="AU545" s="223">
        <v>35839507.310000002</v>
      </c>
      <c r="AV545" s="201">
        <f t="shared" si="584"/>
        <v>35839507.310000002</v>
      </c>
      <c r="AW545" s="201">
        <f t="shared" si="600"/>
        <v>10.614617275157711</v>
      </c>
      <c r="AX545" s="201">
        <f t="shared" si="585"/>
        <v>14.089727904661743</v>
      </c>
      <c r="AY545" s="208">
        <v>242510.21000000002</v>
      </c>
      <c r="AZ545" s="201">
        <f t="shared" si="586"/>
        <v>0</v>
      </c>
      <c r="BA545" s="201">
        <f t="shared" si="587"/>
        <v>48277533</v>
      </c>
      <c r="BB545" s="201">
        <f t="shared" si="588"/>
        <v>48277533</v>
      </c>
      <c r="BC545" s="201"/>
      <c r="BD545" s="223">
        <v>48277533</v>
      </c>
      <c r="BE545" s="201">
        <f t="shared" si="589"/>
        <v>48277533</v>
      </c>
      <c r="BF545" s="208"/>
      <c r="BG545" s="201">
        <f t="shared" si="590"/>
        <v>0</v>
      </c>
      <c r="BH545" s="201">
        <f t="shared" si="590"/>
        <v>84359550.520000011</v>
      </c>
      <c r="BI545" s="201">
        <f t="shared" si="591"/>
        <v>84359550.520000011</v>
      </c>
      <c r="BJ545" s="201">
        <f t="shared" si="605"/>
        <v>32.993480737568355</v>
      </c>
      <c r="BK545" s="210">
        <v>5</v>
      </c>
      <c r="BL545" s="210">
        <v>30</v>
      </c>
      <c r="BM545" s="211"/>
      <c r="BN545" s="211"/>
      <c r="BO545" s="212">
        <f t="shared" si="592"/>
        <v>18440000</v>
      </c>
      <c r="BP545" s="201">
        <f t="shared" si="593"/>
        <v>201163495.59999999</v>
      </c>
      <c r="BQ545" s="201">
        <f t="shared" si="601"/>
        <v>219603495.59999999</v>
      </c>
      <c r="BR545" s="201">
        <f t="shared" si="595"/>
        <v>18440000</v>
      </c>
      <c r="BS545" s="201">
        <f t="shared" si="595"/>
        <v>200086705.81</v>
      </c>
      <c r="BT545" s="201">
        <f t="shared" si="602"/>
        <v>218526705.81</v>
      </c>
      <c r="BU545" s="213">
        <f t="shared" si="603"/>
        <v>1076789.79</v>
      </c>
      <c r="BV545" s="201">
        <v>8344586.8799999999</v>
      </c>
      <c r="BW545" s="201"/>
      <c r="BX545" s="201">
        <f t="shared" si="604"/>
        <v>8344586.8799999999</v>
      </c>
      <c r="BY545" s="333">
        <v>26922000</v>
      </c>
      <c r="BZ545" s="333">
        <v>26922000</v>
      </c>
      <c r="CA545" s="333">
        <v>26922000</v>
      </c>
      <c r="CB545" s="333">
        <v>15500000</v>
      </c>
      <c r="CC545" s="333">
        <v>15000000</v>
      </c>
      <c r="CD545" s="333">
        <v>18000000</v>
      </c>
      <c r="CE545" s="333">
        <v>27000000</v>
      </c>
      <c r="CF545" s="333">
        <v>27000000</v>
      </c>
      <c r="CG545" s="333">
        <v>26000000</v>
      </c>
      <c r="CH545" s="333">
        <v>30000000</v>
      </c>
      <c r="CI545" s="333">
        <v>28000000</v>
      </c>
      <c r="CJ545" s="333">
        <v>1954000</v>
      </c>
      <c r="CK545" s="214" t="s">
        <v>1342</v>
      </c>
      <c r="CL545" s="214" t="s">
        <v>1339</v>
      </c>
      <c r="CM545" s="211">
        <v>162</v>
      </c>
      <c r="CN545" s="215"/>
      <c r="CO545" s="215">
        <v>0</v>
      </c>
      <c r="CP545" s="216">
        <v>1000</v>
      </c>
      <c r="CQ545" s="217"/>
      <c r="CR545" s="211"/>
      <c r="CS545" s="218"/>
      <c r="CT545" s="218"/>
      <c r="CU545" s="218"/>
      <c r="CV545" s="211"/>
      <c r="CW545" s="211"/>
      <c r="CX545" s="211"/>
      <c r="CY545" s="211"/>
      <c r="CZ545" s="211"/>
      <c r="DA545" s="211"/>
      <c r="DB545" s="211"/>
      <c r="DC545" s="219"/>
      <c r="DD545" s="219">
        <v>2</v>
      </c>
      <c r="DE545" s="219"/>
      <c r="DF545" s="211"/>
      <c r="DG545" s="211"/>
      <c r="DH545" s="211"/>
      <c r="DI545" s="211"/>
      <c r="DJ545" s="211"/>
      <c r="DK545" s="220" t="s">
        <v>53</v>
      </c>
      <c r="DT545" s="222"/>
    </row>
    <row r="546" spans="1:124" s="176" customFormat="1" x14ac:dyDescent="0.2">
      <c r="A546" s="195" t="s">
        <v>154</v>
      </c>
      <c r="B546" s="197" t="s">
        <v>1343</v>
      </c>
      <c r="C546" s="198">
        <v>1</v>
      </c>
      <c r="D546" s="199">
        <v>25463300</v>
      </c>
      <c r="E546" s="198" t="s">
        <v>1344</v>
      </c>
      <c r="F546" s="198" t="s">
        <v>271</v>
      </c>
      <c r="G546" s="198" t="s">
        <v>151</v>
      </c>
      <c r="H546" s="200">
        <v>1</v>
      </c>
      <c r="I546" s="199">
        <f t="shared" si="567"/>
        <v>0</v>
      </c>
      <c r="J546" s="199">
        <f t="shared" si="568"/>
        <v>25463300</v>
      </c>
      <c r="K546" s="199">
        <f t="shared" si="569"/>
        <v>25463300</v>
      </c>
      <c r="L546" s="199"/>
      <c r="M546" s="199">
        <v>25463300</v>
      </c>
      <c r="N546" s="199">
        <f t="shared" si="570"/>
        <v>25463300</v>
      </c>
      <c r="O546" s="199"/>
      <c r="P546" s="201">
        <v>0</v>
      </c>
      <c r="Q546" s="202">
        <v>7</v>
      </c>
      <c r="R546" s="203">
        <v>45566</v>
      </c>
      <c r="S546" s="204"/>
      <c r="T546" s="199">
        <v>25463300</v>
      </c>
      <c r="U546" s="199">
        <f t="shared" si="571"/>
        <v>25463300</v>
      </c>
      <c r="V546" s="205">
        <v>691</v>
      </c>
      <c r="W546" s="200">
        <v>45622</v>
      </c>
      <c r="X546" s="201"/>
      <c r="Y546" s="201">
        <v>-20051.650000000001</v>
      </c>
      <c r="Z546" s="201">
        <f t="shared" si="572"/>
        <v>-20051.650000000001</v>
      </c>
      <c r="AA546" s="198">
        <v>1207</v>
      </c>
      <c r="AB546" s="206">
        <v>45672</v>
      </c>
      <c r="AC546" s="207"/>
      <c r="AD546" s="201">
        <v>-5977.85</v>
      </c>
      <c r="AE546" s="204">
        <f t="shared" si="573"/>
        <v>-5977.85</v>
      </c>
      <c r="AF546" s="203">
        <f t="shared" si="574"/>
        <v>45566</v>
      </c>
      <c r="AG546" s="201">
        <f t="shared" si="575"/>
        <v>0</v>
      </c>
      <c r="AH546" s="199">
        <f t="shared" si="576"/>
        <v>25437270.5</v>
      </c>
      <c r="AI546" s="199">
        <f t="shared" si="577"/>
        <v>25437270.5</v>
      </c>
      <c r="AJ546" s="201">
        <f t="shared" si="578"/>
        <v>0</v>
      </c>
      <c r="AK546" s="201">
        <f t="shared" si="578"/>
        <v>25437270.5</v>
      </c>
      <c r="AL546" s="201">
        <f t="shared" si="579"/>
        <v>25437270.5</v>
      </c>
      <c r="AM546" s="202"/>
      <c r="AN546" s="203"/>
      <c r="AO546" s="208"/>
      <c r="AP546" s="201">
        <f t="shared" si="580"/>
        <v>0</v>
      </c>
      <c r="AQ546" s="201">
        <f t="shared" si="581"/>
        <v>25433139.77</v>
      </c>
      <c r="AR546" s="201">
        <f t="shared" si="582"/>
        <v>25433139.77</v>
      </c>
      <c r="AS546" s="201">
        <f t="shared" si="583"/>
        <v>99.98376111147617</v>
      </c>
      <c r="AT546" s="201"/>
      <c r="AU546" s="209">
        <v>25433139.77</v>
      </c>
      <c r="AV546" s="201">
        <f t="shared" si="584"/>
        <v>25433139.77</v>
      </c>
      <c r="AW546" s="201">
        <f t="shared" si="600"/>
        <v>9.9853480741968763</v>
      </c>
      <c r="AX546" s="201">
        <f t="shared" si="585"/>
        <v>99.98376111147617</v>
      </c>
      <c r="AY546" s="208"/>
      <c r="AZ546" s="201">
        <f t="shared" si="586"/>
        <v>0</v>
      </c>
      <c r="BA546" s="201">
        <f t="shared" si="587"/>
        <v>0</v>
      </c>
      <c r="BB546" s="201">
        <f t="shared" si="588"/>
        <v>0</v>
      </c>
      <c r="BC546" s="201"/>
      <c r="BD546" s="209">
        <v>0</v>
      </c>
      <c r="BE546" s="201">
        <f t="shared" si="589"/>
        <v>0</v>
      </c>
      <c r="BF546" s="208"/>
      <c r="BG546" s="201">
        <f t="shared" si="590"/>
        <v>0</v>
      </c>
      <c r="BH546" s="201">
        <f t="shared" si="590"/>
        <v>25433139.77</v>
      </c>
      <c r="BI546" s="201">
        <f t="shared" si="591"/>
        <v>25433139.77</v>
      </c>
      <c r="BJ546" s="201">
        <f t="shared" si="605"/>
        <v>99.98376111147617</v>
      </c>
      <c r="BK546" s="210">
        <v>5</v>
      </c>
      <c r="BL546" s="210">
        <v>90</v>
      </c>
      <c r="BM546" s="211"/>
      <c r="BN546" s="211"/>
      <c r="BO546" s="212">
        <f t="shared" si="592"/>
        <v>0</v>
      </c>
      <c r="BP546" s="201">
        <f t="shared" si="593"/>
        <v>4130.730000000447</v>
      </c>
      <c r="BQ546" s="201">
        <f t="shared" si="601"/>
        <v>4130.730000000447</v>
      </c>
      <c r="BR546" s="201">
        <f t="shared" si="595"/>
        <v>0</v>
      </c>
      <c r="BS546" s="201">
        <f t="shared" si="595"/>
        <v>4130.730000000447</v>
      </c>
      <c r="BT546" s="201">
        <f t="shared" si="602"/>
        <v>4130.730000000447</v>
      </c>
      <c r="BU546" s="213">
        <f t="shared" si="603"/>
        <v>0</v>
      </c>
      <c r="BV546" s="201">
        <f>20051.65+5977.85</f>
        <v>26029.5</v>
      </c>
      <c r="BW546" s="201"/>
      <c r="BX546" s="201">
        <f t="shared" si="604"/>
        <v>26029.5</v>
      </c>
      <c r="BY546" s="333">
        <v>2540000</v>
      </c>
      <c r="BZ546" s="333">
        <v>3819000</v>
      </c>
      <c r="CA546" s="333">
        <v>3819000</v>
      </c>
      <c r="CB546" s="333">
        <v>2558000</v>
      </c>
      <c r="CC546" s="333">
        <v>2540000</v>
      </c>
      <c r="CD546" s="333">
        <v>2540000</v>
      </c>
      <c r="CE546" s="333">
        <v>2540000</v>
      </c>
      <c r="CF546" s="333">
        <v>2540000</v>
      </c>
      <c r="CG546" s="333">
        <v>2567300</v>
      </c>
      <c r="CH546" s="333"/>
      <c r="CI546" s="333">
        <v>0</v>
      </c>
      <c r="CJ546" s="333">
        <v>0</v>
      </c>
      <c r="CK546" s="214" t="s">
        <v>1345</v>
      </c>
      <c r="CL546" s="214" t="s">
        <v>1339</v>
      </c>
      <c r="CM546" s="211">
        <v>162</v>
      </c>
      <c r="CN546" s="215"/>
      <c r="CO546" s="215">
        <v>2200</v>
      </c>
      <c r="CP546" s="216">
        <v>871</v>
      </c>
      <c r="CQ546" s="217"/>
      <c r="CR546" s="211"/>
      <c r="CS546" s="218"/>
      <c r="CT546" s="218"/>
      <c r="CU546" s="218"/>
      <c r="CV546" s="211"/>
      <c r="CW546" s="211"/>
      <c r="CX546" s="211"/>
      <c r="CY546" s="211"/>
      <c r="CZ546" s="211"/>
      <c r="DA546" s="211"/>
      <c r="DB546" s="211"/>
      <c r="DC546" s="219"/>
      <c r="DD546" s="219"/>
      <c r="DE546" s="219"/>
      <c r="DF546" s="211"/>
      <c r="DG546" s="211"/>
      <c r="DH546" s="211"/>
      <c r="DI546" s="211"/>
      <c r="DJ546" s="211"/>
      <c r="DK546" s="220" t="s">
        <v>32</v>
      </c>
      <c r="DT546" s="222"/>
    </row>
    <row r="547" spans="1:124" s="176" customFormat="1" x14ac:dyDescent="0.2">
      <c r="A547" s="158" t="s">
        <v>90</v>
      </c>
      <c r="B547" s="159" t="s">
        <v>1346</v>
      </c>
      <c r="C547" s="160">
        <f>SUBTOTAL(103,C548:C556)</f>
        <v>7</v>
      </c>
      <c r="D547" s="161">
        <f>SUBTOTAL(109,D548:D556)</f>
        <v>156835000</v>
      </c>
      <c r="E547" s="160"/>
      <c r="F547" s="160"/>
      <c r="G547" s="160"/>
      <c r="H547" s="160">
        <f>SUBTOTAL(103,H548:H556)</f>
        <v>7</v>
      </c>
      <c r="I547" s="161">
        <f t="shared" ref="I547:AE547" si="606">SUBTOTAL(109,I548:I556)</f>
        <v>817000</v>
      </c>
      <c r="J547" s="161">
        <f t="shared" si="606"/>
        <v>156018000</v>
      </c>
      <c r="K547" s="161">
        <f t="shared" si="606"/>
        <v>156835000</v>
      </c>
      <c r="L547" s="161">
        <f t="shared" si="606"/>
        <v>817000</v>
      </c>
      <c r="M547" s="161">
        <f t="shared" si="606"/>
        <v>156018000</v>
      </c>
      <c r="N547" s="161">
        <f t="shared" si="606"/>
        <v>156835000</v>
      </c>
      <c r="O547" s="161">
        <f t="shared" si="606"/>
        <v>0</v>
      </c>
      <c r="P547" s="162">
        <f t="shared" si="606"/>
        <v>0</v>
      </c>
      <c r="Q547" s="160">
        <f t="shared" si="606"/>
        <v>872</v>
      </c>
      <c r="R547" s="163">
        <f t="shared" si="606"/>
        <v>273468</v>
      </c>
      <c r="S547" s="164">
        <f t="shared" si="606"/>
        <v>0</v>
      </c>
      <c r="T547" s="164">
        <f t="shared" si="606"/>
        <v>146003500</v>
      </c>
      <c r="U547" s="164">
        <f t="shared" si="606"/>
        <v>146003500</v>
      </c>
      <c r="V547" s="160">
        <f t="shared" si="606"/>
        <v>2994</v>
      </c>
      <c r="W547" s="163">
        <f t="shared" si="606"/>
        <v>228074</v>
      </c>
      <c r="X547" s="164">
        <f t="shared" si="606"/>
        <v>0</v>
      </c>
      <c r="Y547" s="161">
        <f t="shared" si="606"/>
        <v>-6301044.0599999996</v>
      </c>
      <c r="Z547" s="164">
        <f t="shared" si="606"/>
        <v>-6301044.0599999996</v>
      </c>
      <c r="AA547" s="160">
        <f t="shared" si="606"/>
        <v>4839</v>
      </c>
      <c r="AB547" s="163">
        <f t="shared" si="606"/>
        <v>228245</v>
      </c>
      <c r="AC547" s="164">
        <f t="shared" si="606"/>
        <v>809877</v>
      </c>
      <c r="AD547" s="164">
        <f t="shared" si="606"/>
        <v>-1220722.8400000001</v>
      </c>
      <c r="AE547" s="164">
        <f t="shared" si="606"/>
        <v>-410845.84</v>
      </c>
      <c r="AF547" s="165">
        <f>+AF548</f>
        <v>6</v>
      </c>
      <c r="AG547" s="162">
        <f t="shared" ref="AG547:AR547" si="607">SUBTOTAL(109,AG548:AG556)</f>
        <v>809877</v>
      </c>
      <c r="AH547" s="166">
        <f t="shared" si="607"/>
        <v>138644033.09999999</v>
      </c>
      <c r="AI547" s="166">
        <f t="shared" si="607"/>
        <v>139453910.09999999</v>
      </c>
      <c r="AJ547" s="162">
        <f t="shared" si="607"/>
        <v>809877</v>
      </c>
      <c r="AK547" s="162">
        <f t="shared" si="607"/>
        <v>138481733.09999999</v>
      </c>
      <c r="AL547" s="162">
        <f t="shared" si="607"/>
        <v>139291610.09999999</v>
      </c>
      <c r="AM547" s="167">
        <f t="shared" si="607"/>
        <v>231</v>
      </c>
      <c r="AN547" s="168">
        <f t="shared" si="607"/>
        <v>45586</v>
      </c>
      <c r="AO547" s="169">
        <f t="shared" si="607"/>
        <v>162300</v>
      </c>
      <c r="AP547" s="162">
        <f t="shared" si="607"/>
        <v>319877</v>
      </c>
      <c r="AQ547" s="162">
        <f t="shared" si="607"/>
        <v>61029211.299999997</v>
      </c>
      <c r="AR547" s="162">
        <f t="shared" si="607"/>
        <v>61349088.299999997</v>
      </c>
      <c r="AS547" s="162">
        <f>IF(AI547= 0,0,(AR547*100/AI547))</f>
        <v>43.992375872435289</v>
      </c>
      <c r="AT547" s="162">
        <f>SUBTOTAL(109,AT548:AT556)</f>
        <v>319877</v>
      </c>
      <c r="AU547" s="170">
        <f>SUBTOTAL(109,AU548:AU556)</f>
        <v>60890754.649999991</v>
      </c>
      <c r="AV547" s="162">
        <f>SUBTOTAL(109,AV548:AV556)</f>
        <v>61210631.649999991</v>
      </c>
      <c r="AW547" s="162"/>
      <c r="AX547" s="162">
        <f>IF(AL547= 0,0,(AV547*100/AL547))</f>
        <v>43.944234405830876</v>
      </c>
      <c r="AY547" s="169">
        <f t="shared" ref="AY547:BI547" si="608">SUBTOTAL(109,AY548:AY556)</f>
        <v>138456.65</v>
      </c>
      <c r="AZ547" s="162">
        <f t="shared" si="608"/>
        <v>0</v>
      </c>
      <c r="BA547" s="162">
        <f t="shared" si="608"/>
        <v>1352561.8</v>
      </c>
      <c r="BB547" s="162">
        <f t="shared" si="608"/>
        <v>1352561.8</v>
      </c>
      <c r="BC547" s="162">
        <f t="shared" si="608"/>
        <v>0</v>
      </c>
      <c r="BD547" s="170">
        <f t="shared" si="608"/>
        <v>1352561.8</v>
      </c>
      <c r="BE547" s="162">
        <f t="shared" si="608"/>
        <v>1352561.8</v>
      </c>
      <c r="BF547" s="169">
        <f t="shared" si="608"/>
        <v>0</v>
      </c>
      <c r="BG547" s="162">
        <f t="shared" si="608"/>
        <v>319877</v>
      </c>
      <c r="BH547" s="162">
        <f t="shared" si="608"/>
        <v>62381773.099999994</v>
      </c>
      <c r="BI547" s="162">
        <f t="shared" si="608"/>
        <v>62701650.099999994</v>
      </c>
      <c r="BJ547" s="162">
        <f t="shared" si="605"/>
        <v>44.962274671995729</v>
      </c>
      <c r="BK547" s="171"/>
      <c r="BL547" s="171"/>
      <c r="BM547" s="236"/>
      <c r="BN547" s="236"/>
      <c r="BO547" s="173">
        <f t="shared" ref="BO547:BX547" si="609">SUBTOTAL(109,BO548:BO556)</f>
        <v>490000</v>
      </c>
      <c r="BP547" s="162">
        <f t="shared" si="609"/>
        <v>77614821.799999997</v>
      </c>
      <c r="BQ547" s="162">
        <f t="shared" si="609"/>
        <v>78104821.799999997</v>
      </c>
      <c r="BR547" s="162">
        <f t="shared" si="609"/>
        <v>490000</v>
      </c>
      <c r="BS547" s="162">
        <f t="shared" si="609"/>
        <v>77590978.450000003</v>
      </c>
      <c r="BT547" s="162">
        <f t="shared" si="609"/>
        <v>78080978.450000003</v>
      </c>
      <c r="BU547" s="174">
        <f t="shared" si="609"/>
        <v>23843.350000000006</v>
      </c>
      <c r="BV547" s="162">
        <f t="shared" si="609"/>
        <v>7373564.9000000004</v>
      </c>
      <c r="BW547" s="162">
        <f t="shared" si="609"/>
        <v>0</v>
      </c>
      <c r="BX547" s="162">
        <f t="shared" si="609"/>
        <v>7373564.9000000004</v>
      </c>
      <c r="BY547" s="161"/>
      <c r="BZ547" s="161"/>
      <c r="CA547" s="161"/>
      <c r="CB547" s="161"/>
      <c r="CC547" s="161"/>
      <c r="CD547" s="161"/>
      <c r="CE547" s="161"/>
      <c r="CF547" s="161"/>
      <c r="CG547" s="161"/>
      <c r="CH547" s="161"/>
      <c r="CI547" s="161"/>
      <c r="CJ547" s="161"/>
      <c r="CK547" s="175"/>
      <c r="CL547" s="175"/>
      <c r="CM547" s="148"/>
      <c r="CN547" s="237"/>
      <c r="CO547" s="237"/>
      <c r="CP547" s="238"/>
      <c r="CQ547" s="239"/>
      <c r="CR547" s="148"/>
      <c r="CS547" s="240"/>
      <c r="CT547" s="240"/>
      <c r="CU547" s="240"/>
      <c r="CV547" s="148"/>
      <c r="CW547" s="148"/>
      <c r="CX547" s="148"/>
      <c r="CY547" s="148"/>
      <c r="CZ547" s="148"/>
      <c r="DA547" s="148"/>
      <c r="DB547" s="148"/>
      <c r="DC547" s="241"/>
      <c r="DD547" s="241"/>
      <c r="DE547" s="241"/>
      <c r="DF547" s="148"/>
      <c r="DG547" s="148"/>
      <c r="DH547" s="148"/>
      <c r="DI547" s="148"/>
      <c r="DJ547" s="148"/>
      <c r="DK547" s="135"/>
      <c r="DT547" s="222"/>
    </row>
    <row r="548" spans="1:124" s="194" customFormat="1" x14ac:dyDescent="0.2">
      <c r="A548" s="177" t="s">
        <v>90</v>
      </c>
      <c r="B548" s="179" t="s">
        <v>93</v>
      </c>
      <c r="C548" s="180">
        <f>SUBTOTAL(103,C549:C556)</f>
        <v>7</v>
      </c>
      <c r="D548" s="181">
        <f>SUBTOTAL(109,D549:D556)</f>
        <v>156835000</v>
      </c>
      <c r="E548" s="182"/>
      <c r="F548" s="182"/>
      <c r="G548" s="182"/>
      <c r="H548" s="180">
        <f>SUBTOTAL(103,H549:H556)</f>
        <v>7</v>
      </c>
      <c r="I548" s="181">
        <f>SUBTOTAL(109,I549:I556)</f>
        <v>817000</v>
      </c>
      <c r="J548" s="181">
        <f>SUBTOTAL(109,J549:J556)</f>
        <v>156018000</v>
      </c>
      <c r="K548" s="181">
        <f t="shared" ref="K548:AE548" si="610">SUBTOTAL(109,K549:K556)</f>
        <v>156835000</v>
      </c>
      <c r="L548" s="181">
        <f t="shared" si="610"/>
        <v>817000</v>
      </c>
      <c r="M548" s="181">
        <f t="shared" si="610"/>
        <v>156018000</v>
      </c>
      <c r="N548" s="181">
        <f t="shared" si="610"/>
        <v>156835000</v>
      </c>
      <c r="O548" s="181">
        <f t="shared" si="610"/>
        <v>0</v>
      </c>
      <c r="P548" s="183">
        <f t="shared" si="610"/>
        <v>0</v>
      </c>
      <c r="Q548" s="182">
        <f t="shared" si="610"/>
        <v>872</v>
      </c>
      <c r="R548" s="185">
        <f t="shared" si="610"/>
        <v>273468</v>
      </c>
      <c r="S548" s="184">
        <f t="shared" si="610"/>
        <v>0</v>
      </c>
      <c r="T548" s="184">
        <f t="shared" si="610"/>
        <v>146003500</v>
      </c>
      <c r="U548" s="184">
        <f t="shared" si="610"/>
        <v>146003500</v>
      </c>
      <c r="V548" s="180">
        <f t="shared" si="610"/>
        <v>2994</v>
      </c>
      <c r="W548" s="185">
        <f t="shared" si="610"/>
        <v>228074</v>
      </c>
      <c r="X548" s="184">
        <f t="shared" si="610"/>
        <v>0</v>
      </c>
      <c r="Y548" s="181">
        <f t="shared" si="610"/>
        <v>-6301044.0599999996</v>
      </c>
      <c r="Z548" s="184">
        <f t="shared" si="610"/>
        <v>-6301044.0599999996</v>
      </c>
      <c r="AA548" s="182">
        <f t="shared" si="610"/>
        <v>4839</v>
      </c>
      <c r="AB548" s="185">
        <f t="shared" si="610"/>
        <v>228245</v>
      </c>
      <c r="AC548" s="184">
        <f t="shared" si="610"/>
        <v>809877</v>
      </c>
      <c r="AD548" s="184">
        <f t="shared" si="610"/>
        <v>-1220722.8400000001</v>
      </c>
      <c r="AE548" s="184">
        <f t="shared" si="610"/>
        <v>-410845.84</v>
      </c>
      <c r="AF548" s="180">
        <f>SUBTOTAL(103,Q549:Q556)</f>
        <v>6</v>
      </c>
      <c r="AG548" s="183">
        <f t="shared" ref="AG548:AR548" si="611">SUBTOTAL(109,AG549:AG556)</f>
        <v>809877</v>
      </c>
      <c r="AH548" s="184">
        <f t="shared" si="611"/>
        <v>138644033.09999999</v>
      </c>
      <c r="AI548" s="184">
        <f t="shared" si="611"/>
        <v>139453910.09999999</v>
      </c>
      <c r="AJ548" s="183">
        <f t="shared" si="611"/>
        <v>809877</v>
      </c>
      <c r="AK548" s="183">
        <f t="shared" si="611"/>
        <v>138481733.09999999</v>
      </c>
      <c r="AL548" s="183">
        <f t="shared" si="611"/>
        <v>139291610.09999999</v>
      </c>
      <c r="AM548" s="182">
        <f t="shared" si="611"/>
        <v>231</v>
      </c>
      <c r="AN548" s="185">
        <f t="shared" si="611"/>
        <v>45586</v>
      </c>
      <c r="AO548" s="186">
        <f t="shared" si="611"/>
        <v>162300</v>
      </c>
      <c r="AP548" s="183">
        <f t="shared" si="611"/>
        <v>319877</v>
      </c>
      <c r="AQ548" s="183">
        <f t="shared" si="611"/>
        <v>61029211.299999997</v>
      </c>
      <c r="AR548" s="183">
        <f t="shared" si="611"/>
        <v>61349088.299999997</v>
      </c>
      <c r="AS548" s="183">
        <f>IF(AI548= 0,0,(AR548*100/AI548))</f>
        <v>43.992375872435289</v>
      </c>
      <c r="AT548" s="183">
        <f>SUBTOTAL(109,AT549:AT556)</f>
        <v>319877</v>
      </c>
      <c r="AU548" s="187">
        <f>SUBTOTAL(109,AU549:AU556)</f>
        <v>60890754.649999991</v>
      </c>
      <c r="AV548" s="183">
        <f>SUBTOTAL(109,AV549:AV556)</f>
        <v>61210631.649999991</v>
      </c>
      <c r="AW548" s="183"/>
      <c r="AX548" s="183">
        <f>IF(AL548= 0,0,(AV548*100/AL548))</f>
        <v>43.944234405830876</v>
      </c>
      <c r="AY548" s="186">
        <f t="shared" ref="AY548:BI548" si="612">SUBTOTAL(109,AY549:AY556)</f>
        <v>138456.65</v>
      </c>
      <c r="AZ548" s="183">
        <f t="shared" si="612"/>
        <v>0</v>
      </c>
      <c r="BA548" s="183">
        <f t="shared" si="612"/>
        <v>1352561.8</v>
      </c>
      <c r="BB548" s="183">
        <f t="shared" si="612"/>
        <v>1352561.8</v>
      </c>
      <c r="BC548" s="183">
        <f t="shared" si="612"/>
        <v>0</v>
      </c>
      <c r="BD548" s="187">
        <f t="shared" si="612"/>
        <v>1352561.8</v>
      </c>
      <c r="BE548" s="183">
        <f t="shared" si="612"/>
        <v>1352561.8</v>
      </c>
      <c r="BF548" s="186">
        <f t="shared" si="612"/>
        <v>0</v>
      </c>
      <c r="BG548" s="183">
        <f t="shared" si="612"/>
        <v>319877</v>
      </c>
      <c r="BH548" s="183">
        <f t="shared" si="612"/>
        <v>62381773.099999994</v>
      </c>
      <c r="BI548" s="183">
        <f t="shared" si="612"/>
        <v>62701650.099999994</v>
      </c>
      <c r="BJ548" s="183">
        <f t="shared" si="605"/>
        <v>44.962274671995729</v>
      </c>
      <c r="BK548" s="188"/>
      <c r="BL548" s="188"/>
      <c r="BM548" s="189"/>
      <c r="BN548" s="189"/>
      <c r="BO548" s="190">
        <f t="shared" ref="BO548:BX548" si="613">SUBTOTAL(109,BO549:BO556)</f>
        <v>490000</v>
      </c>
      <c r="BP548" s="183">
        <f t="shared" si="613"/>
        <v>77614821.799999997</v>
      </c>
      <c r="BQ548" s="183">
        <f t="shared" si="613"/>
        <v>78104821.799999997</v>
      </c>
      <c r="BR548" s="183">
        <f t="shared" si="613"/>
        <v>490000</v>
      </c>
      <c r="BS548" s="183">
        <f t="shared" si="613"/>
        <v>77590978.450000003</v>
      </c>
      <c r="BT548" s="183">
        <f t="shared" si="613"/>
        <v>78080978.450000003</v>
      </c>
      <c r="BU548" s="191">
        <f t="shared" si="613"/>
        <v>23843.350000000006</v>
      </c>
      <c r="BV548" s="183">
        <f t="shared" si="613"/>
        <v>7373564.9000000004</v>
      </c>
      <c r="BW548" s="183">
        <f t="shared" si="613"/>
        <v>0</v>
      </c>
      <c r="BX548" s="183">
        <f t="shared" si="613"/>
        <v>7373564.9000000004</v>
      </c>
      <c r="BY548" s="181"/>
      <c r="BZ548" s="181"/>
      <c r="CA548" s="181"/>
      <c r="CB548" s="181"/>
      <c r="CC548" s="181"/>
      <c r="CD548" s="181"/>
      <c r="CE548" s="181"/>
      <c r="CF548" s="181"/>
      <c r="CG548" s="181"/>
      <c r="CH548" s="181"/>
      <c r="CI548" s="181"/>
      <c r="CJ548" s="181"/>
      <c r="CK548" s="192"/>
      <c r="CL548" s="192"/>
      <c r="CM548" s="193"/>
      <c r="CN548" s="242"/>
      <c r="CO548" s="242"/>
      <c r="CP548" s="243"/>
      <c r="CQ548" s="244"/>
      <c r="CR548" s="193"/>
      <c r="CS548" s="245"/>
      <c r="CT548" s="245"/>
      <c r="CU548" s="245"/>
      <c r="CV548" s="193"/>
      <c r="CW548" s="193"/>
      <c r="CX548" s="193"/>
      <c r="CY548" s="193"/>
      <c r="CZ548" s="193"/>
      <c r="DA548" s="193"/>
      <c r="DB548" s="193"/>
      <c r="DC548" s="246"/>
      <c r="DD548" s="246"/>
      <c r="DE548" s="246"/>
      <c r="DF548" s="193"/>
      <c r="DG548" s="193"/>
      <c r="DH548" s="193"/>
      <c r="DI548" s="193"/>
      <c r="DJ548" s="193"/>
      <c r="DK548" s="135"/>
      <c r="DT548" s="222"/>
    </row>
    <row r="549" spans="1:124" s="176" customFormat="1" ht="42" x14ac:dyDescent="0.2">
      <c r="A549" s="225" t="s">
        <v>197</v>
      </c>
      <c r="B549" s="197" t="s">
        <v>1347</v>
      </c>
      <c r="C549" s="198">
        <v>1</v>
      </c>
      <c r="D549" s="199">
        <v>9000000</v>
      </c>
      <c r="E549" s="198" t="s">
        <v>1141</v>
      </c>
      <c r="F549" s="198" t="s">
        <v>1097</v>
      </c>
      <c r="G549" s="198" t="s">
        <v>151</v>
      </c>
      <c r="H549" s="200">
        <v>1</v>
      </c>
      <c r="I549" s="199">
        <f>+L549</f>
        <v>490000</v>
      </c>
      <c r="J549" s="199">
        <f>+O549+M549+P549</f>
        <v>8510000</v>
      </c>
      <c r="K549" s="199">
        <f>I549+J549</f>
        <v>9000000</v>
      </c>
      <c r="L549" s="199">
        <v>490000</v>
      </c>
      <c r="M549" s="199">
        <f>8500+8501500</f>
        <v>8510000</v>
      </c>
      <c r="N549" s="199">
        <f>L549+M549</f>
        <v>9000000</v>
      </c>
      <c r="O549" s="199"/>
      <c r="P549" s="201">
        <v>0</v>
      </c>
      <c r="Q549" s="202">
        <v>8</v>
      </c>
      <c r="R549" s="203">
        <v>45566</v>
      </c>
      <c r="S549" s="204"/>
      <c r="T549" s="204">
        <v>8501500</v>
      </c>
      <c r="U549" s="204">
        <f>S549+T549</f>
        <v>8501500</v>
      </c>
      <c r="V549" s="205">
        <v>691</v>
      </c>
      <c r="W549" s="200">
        <v>45622</v>
      </c>
      <c r="X549" s="201"/>
      <c r="Y549" s="201">
        <v>-305518.92</v>
      </c>
      <c r="Z549" s="201">
        <f>X549+Y549</f>
        <v>-305518.92</v>
      </c>
      <c r="AA549" s="198">
        <v>746</v>
      </c>
      <c r="AB549" s="206">
        <v>45625</v>
      </c>
      <c r="AC549" s="207">
        <v>490000</v>
      </c>
      <c r="AD549" s="201">
        <f>8500+-50530</f>
        <v>-42030</v>
      </c>
      <c r="AE549" s="204">
        <f>AC549+AD549</f>
        <v>447970</v>
      </c>
      <c r="AF549" s="203">
        <f>+R549</f>
        <v>45566</v>
      </c>
      <c r="AG549" s="201">
        <f>+AJ549</f>
        <v>490000</v>
      </c>
      <c r="AH549" s="204">
        <f>+AK549+AO549</f>
        <v>8153951.0800000001</v>
      </c>
      <c r="AI549" s="204">
        <f>AG549+AH549</f>
        <v>8643951.0800000001</v>
      </c>
      <c r="AJ549" s="201">
        <f t="shared" ref="AJ549:AK555" si="614">+S549+X549+AC549</f>
        <v>490000</v>
      </c>
      <c r="AK549" s="201">
        <f t="shared" si="614"/>
        <v>8153951.0800000001</v>
      </c>
      <c r="AL549" s="201">
        <f>SUM(AJ549:AK549)</f>
        <v>8643951.0800000001</v>
      </c>
      <c r="AM549" s="198"/>
      <c r="AN549" s="203"/>
      <c r="AO549" s="208"/>
      <c r="AP549" s="201">
        <f t="shared" ref="AP549:AP555" si="615">+AT549</f>
        <v>0</v>
      </c>
      <c r="AQ549" s="201">
        <f t="shared" ref="AQ549:AQ555" si="616">+AU549+AY549</f>
        <v>8219838.1299999999</v>
      </c>
      <c r="AR549" s="201">
        <f t="shared" ref="AR549:AR555" si="617">SUM(AP549:AQ549)</f>
        <v>8219838.1299999999</v>
      </c>
      <c r="AS549" s="201">
        <f>IF(AI549= 0,0,(AR549*100/AI549))</f>
        <v>95.093529034641406</v>
      </c>
      <c r="AT549" s="201"/>
      <c r="AU549" s="209">
        <v>8219838.1299999999</v>
      </c>
      <c r="AV549" s="201">
        <f t="shared" ref="AV549" si="618">SUM(AT549:AU549)</f>
        <v>8219838.1299999999</v>
      </c>
      <c r="AW549" s="201">
        <f>+CF549*100/AL549</f>
        <v>10.411905292735646</v>
      </c>
      <c r="AX549" s="201">
        <f>IF(AL549= 0,0,(AV549*100/AL549))</f>
        <v>95.093529034641406</v>
      </c>
      <c r="AY549" s="208"/>
      <c r="AZ549" s="201">
        <f t="shared" ref="AZ549:AZ555" si="619">+BC549</f>
        <v>0</v>
      </c>
      <c r="BA549" s="201">
        <f>+BD549+BF549</f>
        <v>0</v>
      </c>
      <c r="BB549" s="201">
        <f t="shared" ref="BB549:BB555" si="620">SUM(AZ549:BA549)</f>
        <v>0</v>
      </c>
      <c r="BC549" s="201"/>
      <c r="BD549" s="209">
        <v>0</v>
      </c>
      <c r="BE549" s="201">
        <f t="shared" ref="BE549:BE550" si="621">SUM(BC549:BD549)</f>
        <v>0</v>
      </c>
      <c r="BF549" s="208"/>
      <c r="BG549" s="201">
        <f t="shared" ref="BG549:BH555" si="622">+AP549+AZ549</f>
        <v>0</v>
      </c>
      <c r="BH549" s="201">
        <f t="shared" si="622"/>
        <v>8219838.1299999999</v>
      </c>
      <c r="BI549" s="201">
        <f t="shared" ref="BI549:BI550" si="623">SUM(BG549:BH549)</f>
        <v>8219838.1299999999</v>
      </c>
      <c r="BJ549" s="201">
        <f t="shared" si="605"/>
        <v>95.093529034641406</v>
      </c>
      <c r="BK549" s="210">
        <v>54.51</v>
      </c>
      <c r="BL549" s="210">
        <v>80</v>
      </c>
      <c r="BM549" s="211"/>
      <c r="BN549" s="211"/>
      <c r="BO549" s="212">
        <f t="shared" ref="BO549:BO555" si="624">+BR549</f>
        <v>490000</v>
      </c>
      <c r="BP549" s="201">
        <f t="shared" ref="BP549:BP555" si="625">+BS549+BU549</f>
        <v>-65887.049999999814</v>
      </c>
      <c r="BQ549" s="201">
        <f t="shared" ref="BQ549" si="626">SUM(BO549:BP549)</f>
        <v>424112.95000000019</v>
      </c>
      <c r="BR549" s="201">
        <f t="shared" ref="BR549:BS555" si="627">+AJ549-AT549</f>
        <v>490000</v>
      </c>
      <c r="BS549" s="201">
        <f t="shared" si="627"/>
        <v>-65887.049999999814</v>
      </c>
      <c r="BT549" s="201">
        <f t="shared" ref="BT549" si="628">SUM(BR549:BS549)</f>
        <v>424112.95000000019</v>
      </c>
      <c r="BU549" s="213">
        <f>+AO549-AY549</f>
        <v>0</v>
      </c>
      <c r="BV549" s="201">
        <f>305518.92+50530</f>
        <v>356048.92</v>
      </c>
      <c r="BW549" s="201"/>
      <c r="BX549" s="201">
        <f t="shared" ref="BX549" si="629">SUM(BV549:BW549)</f>
        <v>356048.92</v>
      </c>
      <c r="BY549" s="199">
        <v>450000</v>
      </c>
      <c r="BZ549" s="199">
        <v>450000</v>
      </c>
      <c r="CA549" s="199">
        <v>900000</v>
      </c>
      <c r="CB549" s="199">
        <v>900000</v>
      </c>
      <c r="CC549" s="199">
        <v>900000</v>
      </c>
      <c r="CD549" s="199">
        <v>900000</v>
      </c>
      <c r="CE549" s="199">
        <v>900000</v>
      </c>
      <c r="CF549" s="199">
        <v>900000</v>
      </c>
      <c r="CG549" s="199">
        <v>900000</v>
      </c>
      <c r="CH549" s="199">
        <v>900000</v>
      </c>
      <c r="CI549" s="199">
        <v>450000</v>
      </c>
      <c r="CJ549" s="199">
        <v>450000</v>
      </c>
      <c r="CK549" s="214" t="s">
        <v>1348</v>
      </c>
      <c r="CL549" s="214" t="s">
        <v>1349</v>
      </c>
      <c r="CM549" s="211">
        <v>166</v>
      </c>
      <c r="CN549" s="215"/>
      <c r="CO549" s="215">
        <v>2105</v>
      </c>
      <c r="CP549" s="216">
        <v>421</v>
      </c>
      <c r="CQ549" s="217"/>
      <c r="CR549" s="211"/>
      <c r="CS549" s="218"/>
      <c r="CT549" s="218"/>
      <c r="CU549" s="218"/>
      <c r="CV549" s="211"/>
      <c r="CW549" s="211"/>
      <c r="CX549" s="211"/>
      <c r="CY549" s="211"/>
      <c r="CZ549" s="211"/>
      <c r="DA549" s="211"/>
      <c r="DB549" s="211"/>
      <c r="DC549" s="219"/>
      <c r="DD549" s="219"/>
      <c r="DE549" s="219"/>
      <c r="DF549" s="211"/>
      <c r="DG549" s="211"/>
      <c r="DH549" s="211"/>
      <c r="DI549" s="211"/>
      <c r="DJ549" s="211"/>
      <c r="DK549" s="220" t="s">
        <v>53</v>
      </c>
      <c r="DT549" s="222"/>
    </row>
    <row r="550" spans="1:124" s="176" customFormat="1" ht="42" x14ac:dyDescent="0.2">
      <c r="A550" s="195" t="s">
        <v>154</v>
      </c>
      <c r="B550" s="197" t="s">
        <v>1350</v>
      </c>
      <c r="C550" s="198">
        <v>1</v>
      </c>
      <c r="D550" s="199">
        <v>3800000</v>
      </c>
      <c r="E550" s="198" t="s">
        <v>566</v>
      </c>
      <c r="F550" s="198" t="s">
        <v>566</v>
      </c>
      <c r="G550" s="198" t="s">
        <v>151</v>
      </c>
      <c r="H550" s="200">
        <v>1</v>
      </c>
      <c r="I550" s="199">
        <f>+L550</f>
        <v>327000</v>
      </c>
      <c r="J550" s="199">
        <f>+O550+M550+P550</f>
        <v>3473000</v>
      </c>
      <c r="K550" s="199">
        <f>I550+J550</f>
        <v>3800000</v>
      </c>
      <c r="L550" s="199">
        <v>327000</v>
      </c>
      <c r="M550" s="199">
        <f>6000+3467000</f>
        <v>3473000</v>
      </c>
      <c r="N550" s="199">
        <f>L550+M550</f>
        <v>3800000</v>
      </c>
      <c r="O550" s="199"/>
      <c r="P550" s="201">
        <v>0</v>
      </c>
      <c r="Q550" s="202">
        <v>8</v>
      </c>
      <c r="R550" s="203">
        <v>45566</v>
      </c>
      <c r="S550" s="204"/>
      <c r="T550" s="204">
        <v>3467000</v>
      </c>
      <c r="U550" s="204">
        <f>S550+T550</f>
        <v>3467000</v>
      </c>
      <c r="V550" s="205">
        <v>230</v>
      </c>
      <c r="W550" s="200">
        <v>45586</v>
      </c>
      <c r="X550" s="201"/>
      <c r="Y550" s="201">
        <v>-162300</v>
      </c>
      <c r="Z550" s="201">
        <f>X550+Y550</f>
        <v>-162300</v>
      </c>
      <c r="AA550" s="198">
        <v>691</v>
      </c>
      <c r="AB550" s="206">
        <v>45622</v>
      </c>
      <c r="AC550" s="207">
        <v>319877</v>
      </c>
      <c r="AD550" s="201">
        <f>+-479432+5598+-15398</f>
        <v>-489232</v>
      </c>
      <c r="AE550" s="204">
        <f>AC550+AD550</f>
        <v>-169355</v>
      </c>
      <c r="AF550" s="203">
        <f>+R550</f>
        <v>45566</v>
      </c>
      <c r="AG550" s="201">
        <f>+AJ550</f>
        <v>319877</v>
      </c>
      <c r="AH550" s="204">
        <f>+AK550+AO550</f>
        <v>2977768</v>
      </c>
      <c r="AI550" s="204">
        <f>AG550+AH550</f>
        <v>3297645</v>
      </c>
      <c r="AJ550" s="201">
        <f t="shared" si="614"/>
        <v>319877</v>
      </c>
      <c r="AK550" s="201">
        <f t="shared" si="614"/>
        <v>2815468</v>
      </c>
      <c r="AL550" s="201">
        <f>SUM(AJ550:AK550)</f>
        <v>3135345</v>
      </c>
      <c r="AM550" s="198">
        <v>231</v>
      </c>
      <c r="AN550" s="203">
        <v>45586</v>
      </c>
      <c r="AO550" s="208">
        <v>162300</v>
      </c>
      <c r="AP550" s="201">
        <f t="shared" si="615"/>
        <v>319877</v>
      </c>
      <c r="AQ550" s="201">
        <f t="shared" si="616"/>
        <v>2953740.9499999997</v>
      </c>
      <c r="AR550" s="201">
        <f t="shared" si="617"/>
        <v>3273617.9499999997</v>
      </c>
      <c r="AS550" s="201">
        <f>IF(AI550= 0,0,(AR550*100/AI550))</f>
        <v>99.271387611462117</v>
      </c>
      <c r="AT550" s="201">
        <v>319877</v>
      </c>
      <c r="AU550" s="209">
        <f>3135161.3-AT550</f>
        <v>2815284.3</v>
      </c>
      <c r="AV550" s="201">
        <f t="shared" ref="AV550:AV555" si="630">SUM(AT550:AU550)</f>
        <v>3135161.3</v>
      </c>
      <c r="AW550" s="201">
        <f>+CF550*100/AL550</f>
        <v>12.119878354694618</v>
      </c>
      <c r="AX550" s="201">
        <f>IF(AL550= 0,0,(AV550*100/AL550))</f>
        <v>99.99414099564801</v>
      </c>
      <c r="AY550" s="208">
        <v>138456.65</v>
      </c>
      <c r="AZ550" s="201">
        <f t="shared" si="619"/>
        <v>0</v>
      </c>
      <c r="BA550" s="201">
        <f>+BD550+BF550</f>
        <v>0</v>
      </c>
      <c r="BB550" s="201">
        <f t="shared" si="620"/>
        <v>0</v>
      </c>
      <c r="BC550" s="201"/>
      <c r="BD550" s="209">
        <v>0</v>
      </c>
      <c r="BE550" s="201">
        <f t="shared" si="621"/>
        <v>0</v>
      </c>
      <c r="BF550" s="208"/>
      <c r="BG550" s="201">
        <f t="shared" si="622"/>
        <v>319877</v>
      </c>
      <c r="BH550" s="201">
        <f t="shared" si="622"/>
        <v>2953740.9499999997</v>
      </c>
      <c r="BI550" s="201">
        <f t="shared" si="623"/>
        <v>3273617.9499999997</v>
      </c>
      <c r="BJ550" s="201">
        <f t="shared" si="605"/>
        <v>99.271387611462117</v>
      </c>
      <c r="BK550" s="210">
        <v>0</v>
      </c>
      <c r="BL550" s="210">
        <v>90</v>
      </c>
      <c r="BM550" s="211"/>
      <c r="BN550" s="214" t="s">
        <v>152</v>
      </c>
      <c r="BO550" s="212">
        <f t="shared" si="624"/>
        <v>0</v>
      </c>
      <c r="BP550" s="201">
        <f t="shared" si="625"/>
        <v>24027.050000000192</v>
      </c>
      <c r="BQ550" s="201">
        <f t="shared" ref="BQ550:BQ555" si="631">SUM(BO550:BP550)</f>
        <v>24027.050000000192</v>
      </c>
      <c r="BR550" s="201">
        <f t="shared" si="627"/>
        <v>0</v>
      </c>
      <c r="BS550" s="201">
        <f t="shared" si="627"/>
        <v>183.70000000018626</v>
      </c>
      <c r="BT550" s="201">
        <f t="shared" ref="BT550:BT555" si="632">SUM(BR550:BS550)</f>
        <v>183.70000000018626</v>
      </c>
      <c r="BU550" s="213">
        <f>+AO550-AY550</f>
        <v>23843.350000000006</v>
      </c>
      <c r="BV550" s="201">
        <f>479432+15398</f>
        <v>494830</v>
      </c>
      <c r="BW550" s="201"/>
      <c r="BX550" s="201">
        <f t="shared" ref="BX550:BX555" si="633">SUM(BV550:BW550)</f>
        <v>494830</v>
      </c>
      <c r="BY550" s="199">
        <v>380000</v>
      </c>
      <c r="BZ550" s="199">
        <v>380000</v>
      </c>
      <c r="CA550" s="199">
        <v>380000</v>
      </c>
      <c r="CB550" s="199">
        <v>380000</v>
      </c>
      <c r="CC550" s="199">
        <v>380000</v>
      </c>
      <c r="CD550" s="199">
        <v>380000</v>
      </c>
      <c r="CE550" s="199">
        <v>380000</v>
      </c>
      <c r="CF550" s="199">
        <v>380000</v>
      </c>
      <c r="CG550" s="199">
        <v>380000</v>
      </c>
      <c r="CH550" s="199">
        <v>380000</v>
      </c>
      <c r="CI550" s="199">
        <v>0</v>
      </c>
      <c r="CJ550" s="199">
        <v>0</v>
      </c>
      <c r="CK550" s="214" t="s">
        <v>1351</v>
      </c>
      <c r="CL550" s="214" t="s">
        <v>1349</v>
      </c>
      <c r="CM550" s="211">
        <v>166</v>
      </c>
      <c r="CN550" s="215"/>
      <c r="CO550" s="215">
        <v>18000</v>
      </c>
      <c r="CP550" s="216">
        <v>500</v>
      </c>
      <c r="CQ550" s="217"/>
      <c r="CR550" s="211"/>
      <c r="CS550" s="218"/>
      <c r="CT550" s="218"/>
      <c r="CU550" s="218"/>
      <c r="CV550" s="211"/>
      <c r="CW550" s="211"/>
      <c r="CX550" s="211"/>
      <c r="CY550" s="211"/>
      <c r="CZ550" s="211"/>
      <c r="DA550" s="211"/>
      <c r="DB550" s="211"/>
      <c r="DC550" s="219"/>
      <c r="DD550" s="219"/>
      <c r="DE550" s="219"/>
      <c r="DF550" s="211"/>
      <c r="DG550" s="211"/>
      <c r="DH550" s="211"/>
      <c r="DI550" s="211"/>
      <c r="DJ550" s="211"/>
      <c r="DK550" s="220" t="s">
        <v>53</v>
      </c>
      <c r="DT550" s="222"/>
    </row>
    <row r="551" spans="1:124" s="176" customFormat="1" ht="42" x14ac:dyDescent="0.2">
      <c r="A551" s="195" t="s">
        <v>208</v>
      </c>
      <c r="B551" s="197" t="s">
        <v>1352</v>
      </c>
      <c r="C551" s="198">
        <v>1</v>
      </c>
      <c r="D551" s="199">
        <v>10000000</v>
      </c>
      <c r="E551" s="198" t="s">
        <v>256</v>
      </c>
      <c r="F551" s="198" t="s">
        <v>256</v>
      </c>
      <c r="G551" s="198" t="s">
        <v>151</v>
      </c>
      <c r="H551" s="200">
        <v>1</v>
      </c>
      <c r="I551" s="199">
        <f t="shared" ref="I551:I555" si="634">+L551</f>
        <v>0</v>
      </c>
      <c r="J551" s="199">
        <f t="shared" ref="J551:J555" si="635">+O551+M551+P551</f>
        <v>10000000</v>
      </c>
      <c r="K551" s="199">
        <f t="shared" ref="K551:K555" si="636">I551+J551</f>
        <v>10000000</v>
      </c>
      <c r="L551" s="199"/>
      <c r="M551" s="199">
        <v>10000000</v>
      </c>
      <c r="N551" s="199">
        <f t="shared" ref="N551:N555" si="637">L551+M551</f>
        <v>10000000</v>
      </c>
      <c r="O551" s="199"/>
      <c r="P551" s="201">
        <v>0</v>
      </c>
      <c r="Q551" s="202"/>
      <c r="R551" s="203"/>
      <c r="S551" s="204"/>
      <c r="T551" s="204"/>
      <c r="U551" s="204">
        <f t="shared" ref="U551:U555" si="638">S551+T551</f>
        <v>0</v>
      </c>
      <c r="V551" s="205"/>
      <c r="W551" s="200"/>
      <c r="X551" s="201"/>
      <c r="Y551" s="201"/>
      <c r="Z551" s="201">
        <f t="shared" ref="Z551:Z555" si="639">X551+Y551</f>
        <v>0</v>
      </c>
      <c r="AA551" s="198"/>
      <c r="AB551" s="206"/>
      <c r="AC551" s="207"/>
      <c r="AD551" s="201"/>
      <c r="AE551" s="204">
        <f t="shared" ref="AE551:AE555" si="640">AC551+AD551</f>
        <v>0</v>
      </c>
      <c r="AF551" s="203">
        <f t="shared" ref="AF551:AF555" si="641">+R551</f>
        <v>0</v>
      </c>
      <c r="AG551" s="201">
        <f t="shared" ref="AG551:AG555" si="642">+AJ551</f>
        <v>0</v>
      </c>
      <c r="AH551" s="204">
        <f t="shared" ref="AH551:AH555" si="643">+AK551+AO551</f>
        <v>0</v>
      </c>
      <c r="AI551" s="204">
        <f t="shared" ref="AI551:AI555" si="644">AG551+AH551</f>
        <v>0</v>
      </c>
      <c r="AJ551" s="201">
        <f t="shared" si="614"/>
        <v>0</v>
      </c>
      <c r="AK551" s="201">
        <f t="shared" si="614"/>
        <v>0</v>
      </c>
      <c r="AL551" s="201">
        <f t="shared" ref="AL551:AL555" si="645">SUM(AJ551:AK551)</f>
        <v>0</v>
      </c>
      <c r="AM551" s="198"/>
      <c r="AN551" s="203"/>
      <c r="AO551" s="208"/>
      <c r="AP551" s="201">
        <f t="shared" si="615"/>
        <v>0</v>
      </c>
      <c r="AQ551" s="201">
        <f t="shared" si="616"/>
        <v>0</v>
      </c>
      <c r="AR551" s="201">
        <f t="shared" si="617"/>
        <v>0</v>
      </c>
      <c r="AS551" s="201">
        <f t="shared" ref="AS551:AS555" si="646">IF(AI551= 0,0,(AR551*100/AI551))</f>
        <v>0</v>
      </c>
      <c r="AT551" s="201"/>
      <c r="AU551" s="209"/>
      <c r="AV551" s="201">
        <f t="shared" si="630"/>
        <v>0</v>
      </c>
      <c r="AW551" s="201" t="e">
        <f t="shared" ref="AW551:AW555" si="647">+CF551*100/AL551</f>
        <v>#DIV/0!</v>
      </c>
      <c r="AX551" s="201">
        <f t="shared" ref="AX551:AX555" si="648">IF(AL551= 0,0,(AV551*100/AL551))</f>
        <v>0</v>
      </c>
      <c r="AY551" s="208"/>
      <c r="AZ551" s="201">
        <f t="shared" si="619"/>
        <v>0</v>
      </c>
      <c r="BA551" s="201">
        <f>+BD551+BF551</f>
        <v>0</v>
      </c>
      <c r="BB551" s="201">
        <f t="shared" si="620"/>
        <v>0</v>
      </c>
      <c r="BC551" s="201"/>
      <c r="BD551" s="209"/>
      <c r="BE551" s="201"/>
      <c r="BF551" s="208"/>
      <c r="BG551" s="201">
        <f t="shared" si="622"/>
        <v>0</v>
      </c>
      <c r="BH551" s="201">
        <f>+AQ551+BA551</f>
        <v>0</v>
      </c>
      <c r="BI551" s="201">
        <f t="shared" ref="BI551:BI555" si="649">SUM(BG551:BH551)</f>
        <v>0</v>
      </c>
      <c r="BJ551" s="201" t="e">
        <f t="shared" si="605"/>
        <v>#DIV/0!</v>
      </c>
      <c r="BK551" s="210"/>
      <c r="BL551" s="210"/>
      <c r="BM551" s="211" t="s">
        <v>602</v>
      </c>
      <c r="BN551" s="211"/>
      <c r="BO551" s="212">
        <f t="shared" si="624"/>
        <v>0</v>
      </c>
      <c r="BP551" s="201">
        <f t="shared" si="625"/>
        <v>0</v>
      </c>
      <c r="BQ551" s="201">
        <f t="shared" si="631"/>
        <v>0</v>
      </c>
      <c r="BR551" s="201">
        <f t="shared" si="627"/>
        <v>0</v>
      </c>
      <c r="BS551" s="201">
        <f t="shared" si="627"/>
        <v>0</v>
      </c>
      <c r="BT551" s="201">
        <f t="shared" si="632"/>
        <v>0</v>
      </c>
      <c r="BU551" s="213">
        <f t="shared" ref="BU551:BU555" si="650">+AO551-AY551</f>
        <v>0</v>
      </c>
      <c r="BV551" s="201"/>
      <c r="BW551" s="201"/>
      <c r="BX551" s="201">
        <f t="shared" si="633"/>
        <v>0</v>
      </c>
      <c r="BY551" s="199"/>
      <c r="BZ551" s="199"/>
      <c r="CA551" s="199"/>
      <c r="CB551" s="199"/>
      <c r="CC551" s="199"/>
      <c r="CD551" s="199"/>
      <c r="CE551" s="199"/>
      <c r="CF551" s="199"/>
      <c r="CG551" s="199"/>
      <c r="CH551" s="199"/>
      <c r="CI551" s="199"/>
      <c r="CJ551" s="199"/>
      <c r="CK551" s="214"/>
      <c r="CL551" s="214"/>
      <c r="CM551" s="211">
        <v>163</v>
      </c>
      <c r="CN551" s="215"/>
      <c r="CO551" s="215">
        <v>1550</v>
      </c>
      <c r="CP551" s="216">
        <v>150</v>
      </c>
      <c r="CQ551" s="217"/>
      <c r="CR551" s="211"/>
      <c r="CS551" s="218"/>
      <c r="CT551" s="218"/>
      <c r="CU551" s="218"/>
      <c r="CV551" s="211"/>
      <c r="CW551" s="211"/>
      <c r="CX551" s="211"/>
      <c r="CY551" s="211"/>
      <c r="CZ551" s="211"/>
      <c r="DA551" s="211"/>
      <c r="DB551" s="211"/>
      <c r="DC551" s="219"/>
      <c r="DD551" s="219"/>
      <c r="DE551" s="219"/>
      <c r="DF551" s="211"/>
      <c r="DG551" s="211"/>
      <c r="DH551" s="211"/>
      <c r="DI551" s="211"/>
      <c r="DJ551" s="211"/>
      <c r="DK551" s="220" t="s">
        <v>32</v>
      </c>
      <c r="DL551" s="248"/>
      <c r="DT551" s="222"/>
    </row>
    <row r="552" spans="1:124" s="176" customFormat="1" ht="42" x14ac:dyDescent="0.2">
      <c r="A552" s="195" t="s">
        <v>208</v>
      </c>
      <c r="B552" s="197" t="s">
        <v>1353</v>
      </c>
      <c r="C552" s="198">
        <v>1</v>
      </c>
      <c r="D552" s="199">
        <v>15000000</v>
      </c>
      <c r="E552" s="198" t="s">
        <v>255</v>
      </c>
      <c r="F552" s="198" t="s">
        <v>256</v>
      </c>
      <c r="G552" s="198" t="s">
        <v>151</v>
      </c>
      <c r="H552" s="200">
        <v>1</v>
      </c>
      <c r="I552" s="199">
        <f t="shared" si="634"/>
        <v>0</v>
      </c>
      <c r="J552" s="199">
        <f t="shared" si="635"/>
        <v>15000000</v>
      </c>
      <c r="K552" s="199">
        <f t="shared" si="636"/>
        <v>15000000</v>
      </c>
      <c r="L552" s="199"/>
      <c r="M552" s="199">
        <v>15000000</v>
      </c>
      <c r="N552" s="199">
        <f t="shared" si="637"/>
        <v>15000000</v>
      </c>
      <c r="O552" s="199"/>
      <c r="P552" s="201">
        <v>0</v>
      </c>
      <c r="Q552" s="202">
        <v>9</v>
      </c>
      <c r="R552" s="203">
        <v>45566</v>
      </c>
      <c r="S552" s="204"/>
      <c r="T552" s="204">
        <v>15000000</v>
      </c>
      <c r="U552" s="204">
        <f t="shared" si="638"/>
        <v>15000000</v>
      </c>
      <c r="V552" s="205">
        <v>691</v>
      </c>
      <c r="W552" s="200">
        <v>45622</v>
      </c>
      <c r="X552" s="201"/>
      <c r="Y552" s="201">
        <v>-1073658.3999999999</v>
      </c>
      <c r="Z552" s="201">
        <f t="shared" si="639"/>
        <v>-1073658.3999999999</v>
      </c>
      <c r="AA552" s="198">
        <v>1134</v>
      </c>
      <c r="AB552" s="206">
        <v>45666</v>
      </c>
      <c r="AC552" s="207"/>
      <c r="AD552" s="201">
        <v>-81130</v>
      </c>
      <c r="AE552" s="204">
        <f t="shared" si="640"/>
        <v>-81130</v>
      </c>
      <c r="AF552" s="203">
        <f t="shared" si="641"/>
        <v>45566</v>
      </c>
      <c r="AG552" s="201">
        <f t="shared" si="642"/>
        <v>0</v>
      </c>
      <c r="AH552" s="204">
        <f t="shared" si="643"/>
        <v>13845211.6</v>
      </c>
      <c r="AI552" s="204">
        <f t="shared" si="644"/>
        <v>13845211.6</v>
      </c>
      <c r="AJ552" s="201">
        <f t="shared" si="614"/>
        <v>0</v>
      </c>
      <c r="AK552" s="201">
        <f t="shared" si="614"/>
        <v>13845211.6</v>
      </c>
      <c r="AL552" s="201">
        <f t="shared" si="645"/>
        <v>13845211.6</v>
      </c>
      <c r="AM552" s="198"/>
      <c r="AN552" s="203"/>
      <c r="AO552" s="208"/>
      <c r="AP552" s="201">
        <f t="shared" si="615"/>
        <v>0</v>
      </c>
      <c r="AQ552" s="201">
        <f t="shared" si="616"/>
        <v>13670652.439999999</v>
      </c>
      <c r="AR552" s="201">
        <f t="shared" si="617"/>
        <v>13670652.439999999</v>
      </c>
      <c r="AS552" s="201">
        <f t="shared" si="646"/>
        <v>98.739209157337839</v>
      </c>
      <c r="AT552" s="201"/>
      <c r="AU552" s="209">
        <v>13670652.439999999</v>
      </c>
      <c r="AV552" s="201">
        <f t="shared" si="630"/>
        <v>13670652.439999999</v>
      </c>
      <c r="AW552" s="201">
        <f t="shared" si="647"/>
        <v>10.834070603875784</v>
      </c>
      <c r="AX552" s="201">
        <f t="shared" si="648"/>
        <v>98.739209157337839</v>
      </c>
      <c r="AY552" s="208"/>
      <c r="AZ552" s="201">
        <f t="shared" si="619"/>
        <v>0</v>
      </c>
      <c r="BA552" s="201">
        <f t="shared" ref="BA552:BA555" si="651">+BD552+BF552</f>
        <v>145901.79999999999</v>
      </c>
      <c r="BB552" s="201">
        <f t="shared" si="620"/>
        <v>145901.79999999999</v>
      </c>
      <c r="BC552" s="201"/>
      <c r="BD552" s="209">
        <v>145901.79999999999</v>
      </c>
      <c r="BE552" s="201">
        <f t="shared" ref="BE552:BE555" si="652">SUM(BC552:BD552)</f>
        <v>145901.79999999999</v>
      </c>
      <c r="BF552" s="208"/>
      <c r="BG552" s="201">
        <f t="shared" si="622"/>
        <v>0</v>
      </c>
      <c r="BH552" s="201">
        <f t="shared" si="622"/>
        <v>13816554.24</v>
      </c>
      <c r="BI552" s="201">
        <f t="shared" si="649"/>
        <v>13816554.24</v>
      </c>
      <c r="BJ552" s="201">
        <f t="shared" si="605"/>
        <v>99.793016092292874</v>
      </c>
      <c r="BK552" s="210">
        <v>24</v>
      </c>
      <c r="BL552" s="210">
        <v>90</v>
      </c>
      <c r="BM552" s="211"/>
      <c r="BN552" s="211"/>
      <c r="BO552" s="212">
        <f t="shared" si="624"/>
        <v>0</v>
      </c>
      <c r="BP552" s="201">
        <f t="shared" si="625"/>
        <v>174559.16000000015</v>
      </c>
      <c r="BQ552" s="201">
        <f t="shared" si="631"/>
        <v>174559.16000000015</v>
      </c>
      <c r="BR552" s="201">
        <f t="shared" si="627"/>
        <v>0</v>
      </c>
      <c r="BS552" s="201">
        <f t="shared" si="627"/>
        <v>174559.16000000015</v>
      </c>
      <c r="BT552" s="201">
        <f t="shared" si="632"/>
        <v>174559.16000000015</v>
      </c>
      <c r="BU552" s="213">
        <f t="shared" si="650"/>
        <v>0</v>
      </c>
      <c r="BV552" s="201">
        <f>1073658.4+81130</f>
        <v>1154788.3999999999</v>
      </c>
      <c r="BW552" s="201"/>
      <c r="BX552" s="201">
        <f t="shared" si="633"/>
        <v>1154788.3999999999</v>
      </c>
      <c r="BY552" s="199">
        <v>1050000</v>
      </c>
      <c r="BZ552" s="199">
        <v>1050000</v>
      </c>
      <c r="CA552" s="199">
        <v>1500000</v>
      </c>
      <c r="CB552" s="199">
        <v>1500000</v>
      </c>
      <c r="CC552" s="199">
        <v>1800000</v>
      </c>
      <c r="CD552" s="199">
        <v>1800000</v>
      </c>
      <c r="CE552" s="199">
        <v>1800000</v>
      </c>
      <c r="CF552" s="199">
        <v>1500000</v>
      </c>
      <c r="CG552" s="199">
        <v>1050000</v>
      </c>
      <c r="CH552" s="199">
        <v>750000</v>
      </c>
      <c r="CI552" s="199">
        <v>750000</v>
      </c>
      <c r="CJ552" s="199">
        <v>450000</v>
      </c>
      <c r="CK552" s="214" t="s">
        <v>1354</v>
      </c>
      <c r="CL552" s="214" t="s">
        <v>1349</v>
      </c>
      <c r="CM552" s="211">
        <v>166</v>
      </c>
      <c r="CN552" s="215"/>
      <c r="CO552" s="215">
        <v>1600</v>
      </c>
      <c r="CP552" s="216">
        <v>120</v>
      </c>
      <c r="CQ552" s="217"/>
      <c r="CR552" s="211"/>
      <c r="CS552" s="218"/>
      <c r="CT552" s="218"/>
      <c r="CU552" s="218"/>
      <c r="CV552" s="211"/>
      <c r="CW552" s="211"/>
      <c r="CX552" s="211"/>
      <c r="CY552" s="211"/>
      <c r="CZ552" s="211"/>
      <c r="DA552" s="211"/>
      <c r="DB552" s="211"/>
      <c r="DC552" s="219"/>
      <c r="DD552" s="219"/>
      <c r="DE552" s="219"/>
      <c r="DF552" s="211"/>
      <c r="DG552" s="211"/>
      <c r="DH552" s="211"/>
      <c r="DI552" s="211"/>
      <c r="DJ552" s="211"/>
      <c r="DK552" s="220" t="s">
        <v>32</v>
      </c>
      <c r="DL552" s="248"/>
      <c r="DT552" s="222"/>
    </row>
    <row r="553" spans="1:124" s="176" customFormat="1" ht="42" x14ac:dyDescent="0.2">
      <c r="A553" s="195" t="s">
        <v>208</v>
      </c>
      <c r="B553" s="197" t="s">
        <v>1355</v>
      </c>
      <c r="C553" s="198">
        <v>1</v>
      </c>
      <c r="D553" s="199">
        <v>20000000</v>
      </c>
      <c r="E553" s="198" t="s">
        <v>255</v>
      </c>
      <c r="F553" s="198" t="s">
        <v>256</v>
      </c>
      <c r="G553" s="198" t="s">
        <v>151</v>
      </c>
      <c r="H553" s="200">
        <v>1</v>
      </c>
      <c r="I553" s="199">
        <f t="shared" si="634"/>
        <v>0</v>
      </c>
      <c r="J553" s="199">
        <f t="shared" si="635"/>
        <v>20000000</v>
      </c>
      <c r="K553" s="199">
        <f t="shared" si="636"/>
        <v>20000000</v>
      </c>
      <c r="L553" s="199"/>
      <c r="M553" s="199">
        <v>20000000</v>
      </c>
      <c r="N553" s="199">
        <f t="shared" si="637"/>
        <v>20000000</v>
      </c>
      <c r="O553" s="199"/>
      <c r="P553" s="201">
        <v>0</v>
      </c>
      <c r="Q553" s="202">
        <v>9</v>
      </c>
      <c r="R553" s="203">
        <v>45566</v>
      </c>
      <c r="S553" s="204"/>
      <c r="T553" s="204">
        <v>20000000</v>
      </c>
      <c r="U553" s="204">
        <f t="shared" si="638"/>
        <v>20000000</v>
      </c>
      <c r="V553" s="205">
        <v>691</v>
      </c>
      <c r="W553" s="200">
        <v>45622</v>
      </c>
      <c r="X553" s="201"/>
      <c r="Y553" s="201">
        <v>-1291537.9199999999</v>
      </c>
      <c r="Z553" s="201">
        <f t="shared" si="639"/>
        <v>-1291537.9199999999</v>
      </c>
      <c r="AA553" s="198">
        <v>1134</v>
      </c>
      <c r="AB553" s="206">
        <v>45666</v>
      </c>
      <c r="AC553" s="207"/>
      <c r="AD553" s="201">
        <v>-521855.84</v>
      </c>
      <c r="AE553" s="204">
        <f t="shared" si="640"/>
        <v>-521855.84</v>
      </c>
      <c r="AF553" s="203">
        <f t="shared" si="641"/>
        <v>45566</v>
      </c>
      <c r="AG553" s="201">
        <f t="shared" si="642"/>
        <v>0</v>
      </c>
      <c r="AH553" s="204">
        <f t="shared" si="643"/>
        <v>18186606.239999998</v>
      </c>
      <c r="AI553" s="204">
        <f t="shared" si="644"/>
        <v>18186606.239999998</v>
      </c>
      <c r="AJ553" s="201">
        <f t="shared" si="614"/>
        <v>0</v>
      </c>
      <c r="AK553" s="201">
        <f t="shared" si="614"/>
        <v>18186606.239999998</v>
      </c>
      <c r="AL553" s="201">
        <f t="shared" si="645"/>
        <v>18186606.239999998</v>
      </c>
      <c r="AM553" s="198"/>
      <c r="AN553" s="203"/>
      <c r="AO553" s="208"/>
      <c r="AP553" s="201">
        <f t="shared" si="615"/>
        <v>0</v>
      </c>
      <c r="AQ553" s="201">
        <f t="shared" si="616"/>
        <v>15506646.939999999</v>
      </c>
      <c r="AR553" s="201">
        <f t="shared" si="617"/>
        <v>15506646.939999999</v>
      </c>
      <c r="AS553" s="201">
        <f t="shared" si="646"/>
        <v>85.264104447889565</v>
      </c>
      <c r="AT553" s="201"/>
      <c r="AU553" s="209">
        <v>15506646.939999999</v>
      </c>
      <c r="AV553" s="201">
        <f t="shared" si="630"/>
        <v>15506646.939999999</v>
      </c>
      <c r="AW553" s="201">
        <f t="shared" si="647"/>
        <v>10.997103987445215</v>
      </c>
      <c r="AX553" s="201">
        <f t="shared" si="648"/>
        <v>85.264104447889565</v>
      </c>
      <c r="AY553" s="208"/>
      <c r="AZ553" s="201">
        <f t="shared" si="619"/>
        <v>0</v>
      </c>
      <c r="BA553" s="201">
        <f t="shared" si="651"/>
        <v>789860</v>
      </c>
      <c r="BB553" s="201">
        <f t="shared" si="620"/>
        <v>789860</v>
      </c>
      <c r="BC553" s="201"/>
      <c r="BD553" s="209">
        <v>789860</v>
      </c>
      <c r="BE553" s="201">
        <f t="shared" si="652"/>
        <v>789860</v>
      </c>
      <c r="BF553" s="208"/>
      <c r="BG553" s="201">
        <f t="shared" si="622"/>
        <v>0</v>
      </c>
      <c r="BH553" s="201">
        <f t="shared" si="622"/>
        <v>16296506.939999999</v>
      </c>
      <c r="BI553" s="201">
        <f t="shared" si="649"/>
        <v>16296506.939999999</v>
      </c>
      <c r="BJ553" s="201">
        <f t="shared" si="605"/>
        <v>89.607190725651307</v>
      </c>
      <c r="BK553" s="210">
        <v>22</v>
      </c>
      <c r="BL553" s="210">
        <v>70</v>
      </c>
      <c r="BM553" s="211"/>
      <c r="BN553" s="211"/>
      <c r="BO553" s="212">
        <f t="shared" si="624"/>
        <v>0</v>
      </c>
      <c r="BP553" s="201">
        <f t="shared" si="625"/>
        <v>2679959.2999999989</v>
      </c>
      <c r="BQ553" s="201">
        <f t="shared" si="631"/>
        <v>2679959.2999999989</v>
      </c>
      <c r="BR553" s="201">
        <f t="shared" si="627"/>
        <v>0</v>
      </c>
      <c r="BS553" s="201">
        <f t="shared" si="627"/>
        <v>2679959.2999999989</v>
      </c>
      <c r="BT553" s="201">
        <f t="shared" si="632"/>
        <v>2679959.2999999989</v>
      </c>
      <c r="BU553" s="213">
        <f t="shared" si="650"/>
        <v>0</v>
      </c>
      <c r="BV553" s="201">
        <f>1291537.92+521855.84</f>
        <v>1813393.76</v>
      </c>
      <c r="BW553" s="201"/>
      <c r="BX553" s="201">
        <f t="shared" si="633"/>
        <v>1813393.76</v>
      </c>
      <c r="BY553" s="199">
        <v>1000000</v>
      </c>
      <c r="BZ553" s="199">
        <v>1400000</v>
      </c>
      <c r="CA553" s="199">
        <v>2000000</v>
      </c>
      <c r="CB553" s="199">
        <v>2400000</v>
      </c>
      <c r="CC553" s="199">
        <v>2400000</v>
      </c>
      <c r="CD553" s="199">
        <v>2400000</v>
      </c>
      <c r="CE553" s="199">
        <v>2400000</v>
      </c>
      <c r="CF553" s="199">
        <v>2000000</v>
      </c>
      <c r="CG553" s="199">
        <v>1400000</v>
      </c>
      <c r="CH553" s="199">
        <v>1000000</v>
      </c>
      <c r="CI553" s="199">
        <v>1000000</v>
      </c>
      <c r="CJ553" s="199">
        <v>600000</v>
      </c>
      <c r="CK553" s="214" t="s">
        <v>1356</v>
      </c>
      <c r="CL553" s="214" t="s">
        <v>1349</v>
      </c>
      <c r="CM553" s="211">
        <v>166</v>
      </c>
      <c r="CN553" s="215"/>
      <c r="CO553" s="215">
        <v>3600</v>
      </c>
      <c r="CP553" s="216">
        <v>285</v>
      </c>
      <c r="CQ553" s="217"/>
      <c r="CR553" s="211"/>
      <c r="CS553" s="218"/>
      <c r="CT553" s="218"/>
      <c r="CU553" s="218"/>
      <c r="CV553" s="211"/>
      <c r="CW553" s="211"/>
      <c r="CX553" s="211"/>
      <c r="CY553" s="211"/>
      <c r="CZ553" s="211"/>
      <c r="DA553" s="211"/>
      <c r="DB553" s="211"/>
      <c r="DC553" s="219"/>
      <c r="DD553" s="219"/>
      <c r="DE553" s="219"/>
      <c r="DF553" s="211"/>
      <c r="DG553" s="211"/>
      <c r="DH553" s="211"/>
      <c r="DI553" s="211"/>
      <c r="DJ553" s="211"/>
      <c r="DK553" s="220" t="s">
        <v>32</v>
      </c>
      <c r="DL553" s="248"/>
      <c r="DT553" s="222"/>
    </row>
    <row r="554" spans="1:124" s="176" customFormat="1" ht="42" x14ac:dyDescent="0.2">
      <c r="A554" s="195" t="s">
        <v>208</v>
      </c>
      <c r="B554" s="197" t="s">
        <v>1357</v>
      </c>
      <c r="C554" s="198">
        <v>1</v>
      </c>
      <c r="D554" s="199">
        <v>30000000</v>
      </c>
      <c r="E554" s="198" t="s">
        <v>256</v>
      </c>
      <c r="F554" s="198" t="s">
        <v>256</v>
      </c>
      <c r="G554" s="198" t="s">
        <v>151</v>
      </c>
      <c r="H554" s="200">
        <v>1</v>
      </c>
      <c r="I554" s="199">
        <f t="shared" si="634"/>
        <v>0</v>
      </c>
      <c r="J554" s="199">
        <f t="shared" si="635"/>
        <v>30000000</v>
      </c>
      <c r="K554" s="199">
        <f t="shared" si="636"/>
        <v>30000000</v>
      </c>
      <c r="L554" s="199"/>
      <c r="M554" s="199">
        <v>30000000</v>
      </c>
      <c r="N554" s="199">
        <f t="shared" si="637"/>
        <v>30000000</v>
      </c>
      <c r="O554" s="199"/>
      <c r="P554" s="201">
        <v>0</v>
      </c>
      <c r="Q554" s="202">
        <v>9</v>
      </c>
      <c r="R554" s="203">
        <v>45566</v>
      </c>
      <c r="S554" s="204"/>
      <c r="T554" s="204">
        <v>30000000</v>
      </c>
      <c r="U554" s="204">
        <f t="shared" si="638"/>
        <v>30000000</v>
      </c>
      <c r="V554" s="205">
        <v>691</v>
      </c>
      <c r="W554" s="200">
        <v>45622</v>
      </c>
      <c r="X554" s="201"/>
      <c r="Y554" s="201">
        <v>-3468028.82</v>
      </c>
      <c r="Z554" s="201">
        <f t="shared" si="639"/>
        <v>-3468028.82</v>
      </c>
      <c r="AA554" s="198">
        <v>1134</v>
      </c>
      <c r="AB554" s="206">
        <v>45666</v>
      </c>
      <c r="AC554" s="207"/>
      <c r="AD554" s="201">
        <v>-86475</v>
      </c>
      <c r="AE554" s="204">
        <f t="shared" si="640"/>
        <v>-86475</v>
      </c>
      <c r="AF554" s="203">
        <f t="shared" si="641"/>
        <v>45566</v>
      </c>
      <c r="AG554" s="201">
        <f t="shared" si="642"/>
        <v>0</v>
      </c>
      <c r="AH554" s="204">
        <f t="shared" si="643"/>
        <v>26445496.18</v>
      </c>
      <c r="AI554" s="204">
        <f t="shared" si="644"/>
        <v>26445496.18</v>
      </c>
      <c r="AJ554" s="201">
        <f t="shared" si="614"/>
        <v>0</v>
      </c>
      <c r="AK554" s="201">
        <f t="shared" si="614"/>
        <v>26445496.18</v>
      </c>
      <c r="AL554" s="201">
        <f t="shared" si="645"/>
        <v>26445496.18</v>
      </c>
      <c r="AM554" s="198"/>
      <c r="AN554" s="203"/>
      <c r="AO554" s="208"/>
      <c r="AP554" s="201">
        <f t="shared" si="615"/>
        <v>0</v>
      </c>
      <c r="AQ554" s="201">
        <f t="shared" si="616"/>
        <v>19936892.59</v>
      </c>
      <c r="AR554" s="201">
        <f t="shared" si="617"/>
        <v>19936892.59</v>
      </c>
      <c r="AS554" s="201">
        <f t="shared" si="646"/>
        <v>75.388612315308805</v>
      </c>
      <c r="AT554" s="201"/>
      <c r="AU554" s="209">
        <v>19936892.59</v>
      </c>
      <c r="AV554" s="201">
        <f t="shared" ref="AV554" si="653">SUM(AT554:AU554)</f>
        <v>19936892.59</v>
      </c>
      <c r="AW554" s="201">
        <f t="shared" si="647"/>
        <v>11.344086643641111</v>
      </c>
      <c r="AX554" s="201">
        <f t="shared" si="648"/>
        <v>75.388612315308805</v>
      </c>
      <c r="AY554" s="208"/>
      <c r="AZ554" s="201">
        <f t="shared" si="619"/>
        <v>0</v>
      </c>
      <c r="BA554" s="201">
        <f t="shared" si="651"/>
        <v>416800</v>
      </c>
      <c r="BB554" s="201">
        <f t="shared" si="620"/>
        <v>416800</v>
      </c>
      <c r="BC554" s="201"/>
      <c r="BD554" s="209">
        <v>416800</v>
      </c>
      <c r="BE554" s="201">
        <f t="shared" ref="BE554" si="654">SUM(BC554:BD554)</f>
        <v>416800</v>
      </c>
      <c r="BF554" s="208"/>
      <c r="BG554" s="201">
        <f t="shared" si="622"/>
        <v>0</v>
      </c>
      <c r="BH554" s="201">
        <f t="shared" si="622"/>
        <v>20353692.59</v>
      </c>
      <c r="BI554" s="201">
        <f t="shared" ref="BI554" si="655">SUM(BG554:BH554)</f>
        <v>20353692.59</v>
      </c>
      <c r="BJ554" s="201">
        <f t="shared" si="605"/>
        <v>76.964684086332014</v>
      </c>
      <c r="BK554" s="210">
        <v>24</v>
      </c>
      <c r="BL554" s="210">
        <v>60</v>
      </c>
      <c r="BM554" s="211"/>
      <c r="BN554" s="211"/>
      <c r="BO554" s="212">
        <f t="shared" si="624"/>
        <v>0</v>
      </c>
      <c r="BP554" s="201">
        <f t="shared" si="625"/>
        <v>6508603.5899999999</v>
      </c>
      <c r="BQ554" s="201">
        <f t="shared" si="631"/>
        <v>6508603.5899999999</v>
      </c>
      <c r="BR554" s="201">
        <f t="shared" si="627"/>
        <v>0</v>
      </c>
      <c r="BS554" s="201">
        <f t="shared" si="627"/>
        <v>6508603.5899999999</v>
      </c>
      <c r="BT554" s="201">
        <f t="shared" si="632"/>
        <v>6508603.5899999999</v>
      </c>
      <c r="BU554" s="213">
        <f t="shared" si="650"/>
        <v>0</v>
      </c>
      <c r="BV554" s="201">
        <f>3468028.82+86475</f>
        <v>3554503.82</v>
      </c>
      <c r="BW554" s="201"/>
      <c r="BX554" s="201">
        <f t="shared" ref="BX554" si="656">SUM(BV554:BW554)</f>
        <v>3554503.82</v>
      </c>
      <c r="BY554" s="199">
        <v>2100000</v>
      </c>
      <c r="BZ554" s="199">
        <v>2100000</v>
      </c>
      <c r="CA554" s="199">
        <v>3000000</v>
      </c>
      <c r="CB554" s="199">
        <v>3000000</v>
      </c>
      <c r="CC554" s="199">
        <v>3600000</v>
      </c>
      <c r="CD554" s="199">
        <v>3600000</v>
      </c>
      <c r="CE554" s="199">
        <v>3600000</v>
      </c>
      <c r="CF554" s="199">
        <v>3000000</v>
      </c>
      <c r="CG554" s="199">
        <v>2100000</v>
      </c>
      <c r="CH554" s="199">
        <v>1500000</v>
      </c>
      <c r="CI554" s="199">
        <v>1500000</v>
      </c>
      <c r="CJ554" s="199">
        <v>900000</v>
      </c>
      <c r="CK554" s="214" t="s">
        <v>1358</v>
      </c>
      <c r="CL554" s="214" t="s">
        <v>1349</v>
      </c>
      <c r="CM554" s="211">
        <v>166</v>
      </c>
      <c r="CN554" s="215"/>
      <c r="CO554" s="215">
        <v>4710</v>
      </c>
      <c r="CP554" s="216">
        <v>125</v>
      </c>
      <c r="CQ554" s="217"/>
      <c r="CR554" s="211"/>
      <c r="CS554" s="218"/>
      <c r="CT554" s="218"/>
      <c r="CU554" s="218"/>
      <c r="CV554" s="211"/>
      <c r="CW554" s="211"/>
      <c r="CX554" s="211"/>
      <c r="CY554" s="211"/>
      <c r="CZ554" s="211"/>
      <c r="DA554" s="211"/>
      <c r="DB554" s="211"/>
      <c r="DC554" s="219"/>
      <c r="DD554" s="219"/>
      <c r="DE554" s="219"/>
      <c r="DF554" s="211"/>
      <c r="DG554" s="211"/>
      <c r="DH554" s="211"/>
      <c r="DI554" s="211"/>
      <c r="DJ554" s="211"/>
      <c r="DK554" s="220" t="s">
        <v>32</v>
      </c>
      <c r="DL554" s="248"/>
      <c r="DT554" s="222"/>
    </row>
    <row r="555" spans="1:124" s="176" customFormat="1" ht="42" x14ac:dyDescent="0.2">
      <c r="A555" s="195" t="s">
        <v>136</v>
      </c>
      <c r="B555" s="197" t="s">
        <v>1359</v>
      </c>
      <c r="C555" s="198">
        <v>1</v>
      </c>
      <c r="D555" s="199">
        <v>69035000</v>
      </c>
      <c r="E555" s="198" t="s">
        <v>1360</v>
      </c>
      <c r="F555" s="198" t="s">
        <v>143</v>
      </c>
      <c r="G555" s="198" t="s">
        <v>139</v>
      </c>
      <c r="H555" s="200">
        <v>1</v>
      </c>
      <c r="I555" s="199">
        <f t="shared" si="634"/>
        <v>0</v>
      </c>
      <c r="J555" s="199">
        <f t="shared" si="635"/>
        <v>69035000</v>
      </c>
      <c r="K555" s="199">
        <f t="shared" si="636"/>
        <v>69035000</v>
      </c>
      <c r="L555" s="199"/>
      <c r="M555" s="199">
        <v>69035000</v>
      </c>
      <c r="N555" s="199">
        <f t="shared" si="637"/>
        <v>69035000</v>
      </c>
      <c r="O555" s="199"/>
      <c r="P555" s="201">
        <v>0</v>
      </c>
      <c r="Q555" s="202">
        <v>829</v>
      </c>
      <c r="R555" s="203">
        <v>45638</v>
      </c>
      <c r="S555" s="204"/>
      <c r="T555" s="204">
        <v>69035000</v>
      </c>
      <c r="U555" s="204">
        <f t="shared" si="638"/>
        <v>69035000</v>
      </c>
      <c r="V555" s="205"/>
      <c r="W555" s="200"/>
      <c r="X555" s="201"/>
      <c r="Y555" s="201"/>
      <c r="Z555" s="201">
        <f t="shared" si="639"/>
        <v>0</v>
      </c>
      <c r="AA555" s="198"/>
      <c r="AB555" s="206"/>
      <c r="AC555" s="207"/>
      <c r="AD555" s="201"/>
      <c r="AE555" s="204">
        <f t="shared" si="640"/>
        <v>0</v>
      </c>
      <c r="AF555" s="203">
        <f t="shared" si="641"/>
        <v>45638</v>
      </c>
      <c r="AG555" s="201">
        <f t="shared" si="642"/>
        <v>0</v>
      </c>
      <c r="AH555" s="204">
        <f t="shared" si="643"/>
        <v>69035000</v>
      </c>
      <c r="AI555" s="204">
        <f t="shared" si="644"/>
        <v>69035000</v>
      </c>
      <c r="AJ555" s="201">
        <f t="shared" si="614"/>
        <v>0</v>
      </c>
      <c r="AK555" s="201">
        <f t="shared" si="614"/>
        <v>69035000</v>
      </c>
      <c r="AL555" s="201">
        <f t="shared" si="645"/>
        <v>69035000</v>
      </c>
      <c r="AM555" s="198"/>
      <c r="AN555" s="203"/>
      <c r="AO555" s="208"/>
      <c r="AP555" s="201">
        <f t="shared" si="615"/>
        <v>0</v>
      </c>
      <c r="AQ555" s="201">
        <f t="shared" si="616"/>
        <v>741440.25</v>
      </c>
      <c r="AR555" s="201">
        <f t="shared" si="617"/>
        <v>741440.25</v>
      </c>
      <c r="AS555" s="201">
        <f t="shared" si="646"/>
        <v>1.0740063011515897</v>
      </c>
      <c r="AT555" s="201"/>
      <c r="AU555" s="209">
        <v>741440.25</v>
      </c>
      <c r="AV555" s="201">
        <f t="shared" si="630"/>
        <v>741440.25</v>
      </c>
      <c r="AW555" s="201">
        <f t="shared" si="647"/>
        <v>0</v>
      </c>
      <c r="AX555" s="201">
        <f t="shared" si="648"/>
        <v>1.0740063011515897</v>
      </c>
      <c r="AY555" s="208"/>
      <c r="AZ555" s="201">
        <f t="shared" si="619"/>
        <v>0</v>
      </c>
      <c r="BA555" s="201">
        <f t="shared" si="651"/>
        <v>0</v>
      </c>
      <c r="BB555" s="201">
        <f t="shared" si="620"/>
        <v>0</v>
      </c>
      <c r="BC555" s="201"/>
      <c r="BD555" s="209">
        <v>0</v>
      </c>
      <c r="BE555" s="201">
        <f t="shared" si="652"/>
        <v>0</v>
      </c>
      <c r="BF555" s="208"/>
      <c r="BG555" s="201">
        <f t="shared" si="622"/>
        <v>0</v>
      </c>
      <c r="BH555" s="201">
        <f t="shared" si="622"/>
        <v>741440.25</v>
      </c>
      <c r="BI555" s="201">
        <f t="shared" si="649"/>
        <v>741440.25</v>
      </c>
      <c r="BJ555" s="201">
        <f t="shared" si="605"/>
        <v>1.0740063011515897</v>
      </c>
      <c r="BK555" s="210"/>
      <c r="BL555" s="210">
        <v>5</v>
      </c>
      <c r="BM555" s="211" t="s">
        <v>1294</v>
      </c>
      <c r="BN555" s="211"/>
      <c r="BO555" s="212">
        <f t="shared" si="624"/>
        <v>0</v>
      </c>
      <c r="BP555" s="201">
        <f t="shared" si="625"/>
        <v>68293559.75</v>
      </c>
      <c r="BQ555" s="201">
        <f t="shared" si="631"/>
        <v>68293559.75</v>
      </c>
      <c r="BR555" s="201">
        <f t="shared" si="627"/>
        <v>0</v>
      </c>
      <c r="BS555" s="201">
        <f t="shared" si="627"/>
        <v>68293559.75</v>
      </c>
      <c r="BT555" s="201">
        <f t="shared" si="632"/>
        <v>68293559.75</v>
      </c>
      <c r="BU555" s="213">
        <f t="shared" si="650"/>
        <v>0</v>
      </c>
      <c r="BV555" s="201"/>
      <c r="BW555" s="201"/>
      <c r="BX555" s="201">
        <f t="shared" si="633"/>
        <v>0</v>
      </c>
      <c r="BY555" s="199"/>
      <c r="BZ555" s="199"/>
      <c r="CA555" s="199"/>
      <c r="CB555" s="199"/>
      <c r="CC555" s="199"/>
      <c r="CD555" s="199"/>
      <c r="CE555" s="199"/>
      <c r="CF555" s="199"/>
      <c r="CG555" s="199"/>
      <c r="CH555" s="199"/>
      <c r="CI555" s="199"/>
      <c r="CJ555" s="199"/>
      <c r="CK555" s="214" t="s">
        <v>1361</v>
      </c>
      <c r="CL555" s="214" t="s">
        <v>1349</v>
      </c>
      <c r="CM555" s="211">
        <v>166</v>
      </c>
      <c r="CN555" s="215"/>
      <c r="CO555" s="215">
        <v>1200</v>
      </c>
      <c r="CP555" s="216"/>
      <c r="CQ555" s="217"/>
      <c r="CR555" s="211"/>
      <c r="CS555" s="218"/>
      <c r="CT555" s="218"/>
      <c r="CU555" s="218"/>
      <c r="CV555" s="211"/>
      <c r="CW555" s="211"/>
      <c r="CX555" s="211"/>
      <c r="CY555" s="211"/>
      <c r="CZ555" s="211"/>
      <c r="DA555" s="211"/>
      <c r="DB555" s="211"/>
      <c r="DC555" s="219"/>
      <c r="DD555" s="219"/>
      <c r="DE555" s="219"/>
      <c r="DF555" s="211"/>
      <c r="DG555" s="211"/>
      <c r="DH555" s="211"/>
      <c r="DI555" s="211"/>
      <c r="DJ555" s="211"/>
      <c r="DK555" s="220" t="s">
        <v>32</v>
      </c>
      <c r="DL555" s="248"/>
      <c r="DT555" s="222"/>
    </row>
    <row r="556" spans="1:124" s="176" customFormat="1" ht="21.75" thickBot="1" x14ac:dyDescent="0.25">
      <c r="A556" s="335"/>
      <c r="B556" s="336"/>
      <c r="C556" s="337"/>
      <c r="D556" s="338"/>
      <c r="E556" s="337"/>
      <c r="F556" s="337"/>
      <c r="G556" s="337"/>
      <c r="H556" s="339"/>
      <c r="I556" s="338"/>
      <c r="J556" s="338"/>
      <c r="K556" s="338"/>
      <c r="L556" s="338"/>
      <c r="M556" s="338"/>
      <c r="N556" s="338"/>
      <c r="O556" s="338"/>
      <c r="P556" s="340"/>
      <c r="Q556" s="341"/>
      <c r="R556" s="342"/>
      <c r="S556" s="343"/>
      <c r="T556" s="338"/>
      <c r="U556" s="338"/>
      <c r="V556" s="344"/>
      <c r="W556" s="339"/>
      <c r="X556" s="340"/>
      <c r="Y556" s="340"/>
      <c r="Z556" s="340"/>
      <c r="AA556" s="337"/>
      <c r="AB556" s="345"/>
      <c r="AC556" s="340"/>
      <c r="AD556" s="340"/>
      <c r="AE556" s="343"/>
      <c r="AF556" s="342"/>
      <c r="AG556" s="340"/>
      <c r="AH556" s="338"/>
      <c r="AI556" s="338"/>
      <c r="AJ556" s="340"/>
      <c r="AK556" s="340"/>
      <c r="AL556" s="340"/>
      <c r="AM556" s="337"/>
      <c r="AN556" s="342"/>
      <c r="AO556" s="346"/>
      <c r="AP556" s="340"/>
      <c r="AQ556" s="347"/>
      <c r="AR556" s="340"/>
      <c r="AS556" s="340"/>
      <c r="AT556" s="340"/>
      <c r="AU556" s="348" t="s">
        <v>1362</v>
      </c>
      <c r="AV556" s="340"/>
      <c r="AW556" s="340"/>
      <c r="AX556" s="340"/>
      <c r="AY556" s="346"/>
      <c r="AZ556" s="340"/>
      <c r="BA556" s="347"/>
      <c r="BB556" s="340"/>
      <c r="BC556" s="340"/>
      <c r="BD556" s="348"/>
      <c r="BE556" s="340"/>
      <c r="BF556" s="346"/>
      <c r="BG556" s="340"/>
      <c r="BH556" s="347"/>
      <c r="BI556" s="340"/>
      <c r="BJ556" s="340"/>
      <c r="BK556" s="349"/>
      <c r="BL556" s="349"/>
      <c r="BM556" s="350"/>
      <c r="BN556" s="350"/>
      <c r="BO556" s="351"/>
      <c r="BP556" s="352"/>
      <c r="BQ556" s="352"/>
      <c r="BR556" s="352"/>
      <c r="BS556" s="352"/>
      <c r="BT556" s="352"/>
      <c r="BU556" s="353"/>
      <c r="BV556" s="340"/>
      <c r="BW556" s="340"/>
      <c r="BX556" s="340"/>
      <c r="BY556" s="338"/>
      <c r="BZ556" s="338"/>
      <c r="CA556" s="338"/>
      <c r="CB556" s="338"/>
      <c r="CC556" s="338"/>
      <c r="CD556" s="338"/>
      <c r="CE556" s="338"/>
      <c r="CF556" s="338"/>
      <c r="CG556" s="338"/>
      <c r="CH556" s="338"/>
      <c r="CI556" s="338"/>
      <c r="CJ556" s="338"/>
      <c r="CK556" s="214"/>
      <c r="CL556" s="214"/>
      <c r="CM556" s="211"/>
      <c r="CN556" s="354"/>
      <c r="CO556" s="354"/>
      <c r="CP556" s="355"/>
      <c r="CQ556" s="356"/>
      <c r="CR556" s="357"/>
      <c r="CS556" s="358"/>
      <c r="CT556" s="358"/>
      <c r="CU556" s="358"/>
      <c r="CV556" s="357"/>
      <c r="CW556" s="357"/>
      <c r="CX556" s="357"/>
      <c r="CY556" s="357"/>
      <c r="CZ556" s="357"/>
      <c r="DA556" s="357"/>
      <c r="DB556" s="357"/>
      <c r="DC556" s="359"/>
      <c r="DD556" s="359"/>
      <c r="DE556" s="359"/>
      <c r="DF556" s="357"/>
      <c r="DG556" s="357"/>
      <c r="DH556" s="357"/>
      <c r="DI556" s="360"/>
      <c r="DJ556" s="357"/>
      <c r="DK556" s="220"/>
    </row>
    <row r="557" spans="1:124" x14ac:dyDescent="0.35">
      <c r="A557" s="10"/>
      <c r="B557" s="11"/>
      <c r="AH557" s="2"/>
      <c r="AO557" s="371"/>
      <c r="AU557" s="373"/>
      <c r="AY557" s="371"/>
      <c r="BD557" s="373"/>
      <c r="BF557" s="371"/>
      <c r="BJ557" s="364"/>
      <c r="BN557" s="375"/>
    </row>
    <row r="558" spans="1:124" x14ac:dyDescent="0.35">
      <c r="B558" s="377"/>
      <c r="C558" s="378"/>
      <c r="D558" s="379"/>
      <c r="DT558" s="222"/>
    </row>
    <row r="560" spans="1:124" s="385" customFormat="1" x14ac:dyDescent="0.35">
      <c r="A560" s="382"/>
      <c r="B560" s="384"/>
      <c r="D560" s="2"/>
      <c r="E560" s="362"/>
      <c r="F560" s="362"/>
      <c r="G560" s="362"/>
      <c r="H560" s="386"/>
      <c r="I560" s="379"/>
      <c r="J560" s="379"/>
      <c r="K560" s="379"/>
      <c r="L560" s="379"/>
      <c r="M560" s="379"/>
      <c r="N560" s="379"/>
      <c r="O560" s="379"/>
      <c r="P560" s="364"/>
      <c r="Q560" s="365"/>
      <c r="R560" s="366"/>
      <c r="S560" s="367"/>
      <c r="T560" s="2"/>
      <c r="U560" s="2"/>
      <c r="V560" s="368"/>
      <c r="W560" s="369"/>
      <c r="X560" s="364"/>
      <c r="Y560" s="364"/>
      <c r="Z560" s="364"/>
      <c r="AA560" s="362"/>
      <c r="AB560" s="369"/>
      <c r="AC560" s="364"/>
      <c r="AD560" s="364"/>
      <c r="AE560" s="370"/>
      <c r="AF560" s="366"/>
      <c r="AG560" s="364"/>
      <c r="AH560" s="364"/>
      <c r="AI560" s="2"/>
      <c r="AJ560" s="364"/>
      <c r="AK560" s="364"/>
      <c r="AL560" s="364"/>
      <c r="AM560" s="362"/>
      <c r="AN560" s="366"/>
      <c r="AO560" s="364"/>
      <c r="AP560" s="364"/>
      <c r="AQ560" s="372"/>
      <c r="AR560" s="364"/>
      <c r="AS560" s="364"/>
      <c r="AT560" s="364"/>
      <c r="AU560" s="364"/>
      <c r="AV560" s="364"/>
      <c r="AW560" s="364"/>
      <c r="AX560" s="364"/>
      <c r="AY560" s="364"/>
      <c r="AZ560" s="364"/>
      <c r="BA560" s="372"/>
      <c r="BB560" s="364"/>
      <c r="BC560" s="364"/>
      <c r="BD560" s="364"/>
      <c r="BE560" s="364"/>
      <c r="BF560" s="364"/>
      <c r="BG560" s="364"/>
      <c r="BH560" s="372"/>
      <c r="BI560" s="364"/>
      <c r="BJ560" s="380"/>
      <c r="BK560" s="374"/>
      <c r="BL560" s="374"/>
      <c r="BM560" s="387"/>
      <c r="BN560" s="388"/>
      <c r="BO560" s="364"/>
      <c r="BP560" s="364"/>
      <c r="BQ560" s="364"/>
      <c r="BR560" s="364"/>
      <c r="BS560" s="364"/>
      <c r="BT560" s="364"/>
      <c r="BU560" s="364"/>
      <c r="BV560" s="364"/>
      <c r="BW560" s="364"/>
      <c r="BX560" s="364"/>
      <c r="BY560" s="2">
        <f t="shared" ref="BY560:CJ560" si="657">SUBTOTAL(9,BY9:BY557)</f>
        <v>187872744.4544</v>
      </c>
      <c r="BZ560" s="2">
        <f t="shared" si="657"/>
        <v>260650933.4544</v>
      </c>
      <c r="CA560" s="2">
        <f t="shared" si="657"/>
        <v>345479699.72720003</v>
      </c>
      <c r="CB560" s="2">
        <f t="shared" si="657"/>
        <v>207920858.7272</v>
      </c>
      <c r="CC560" s="2">
        <f t="shared" si="657"/>
        <v>201078052.7272</v>
      </c>
      <c r="CD560" s="2">
        <f t="shared" si="657"/>
        <v>215248442.7272</v>
      </c>
      <c r="CE560" s="2">
        <f t="shared" si="657"/>
        <v>228336772.7272</v>
      </c>
      <c r="CF560" s="2">
        <f t="shared" si="657"/>
        <v>185129022.7272</v>
      </c>
      <c r="CG560" s="2">
        <f t="shared" si="657"/>
        <v>162572412.7272</v>
      </c>
      <c r="CH560" s="2">
        <f t="shared" si="657"/>
        <v>143629660</v>
      </c>
      <c r="CI560" s="2">
        <f t="shared" si="657"/>
        <v>120029060</v>
      </c>
      <c r="CJ560" s="2">
        <f t="shared" si="657"/>
        <v>71605050</v>
      </c>
      <c r="CK560" s="3"/>
      <c r="CL560" s="3"/>
      <c r="CM560" s="4"/>
      <c r="CN560" s="5"/>
      <c r="CO560" s="5"/>
      <c r="CP560" s="6"/>
      <c r="CQ560" s="7"/>
      <c r="CR560" s="4"/>
      <c r="CS560" s="8"/>
      <c r="CT560" s="8"/>
      <c r="CU560" s="8"/>
      <c r="CV560" s="4"/>
      <c r="CW560" s="4"/>
      <c r="CX560" s="4"/>
      <c r="CY560" s="4"/>
      <c r="CZ560" s="4"/>
      <c r="DA560" s="4"/>
      <c r="DB560" s="4"/>
      <c r="DC560" s="9"/>
      <c r="DD560" s="9"/>
      <c r="DE560" s="9"/>
      <c r="DF560" s="4"/>
      <c r="DG560" s="4"/>
      <c r="DH560" s="4"/>
      <c r="DI560" s="7"/>
      <c r="DJ560" s="4"/>
      <c r="DK560" s="383"/>
      <c r="DP560" s="389"/>
    </row>
    <row r="561" spans="2:88" x14ac:dyDescent="0.35">
      <c r="C561" s="2"/>
      <c r="AJ561" s="8"/>
    </row>
    <row r="562" spans="2:88" x14ac:dyDescent="0.35">
      <c r="B562" s="390" t="s">
        <v>1363</v>
      </c>
      <c r="BY562" s="2" t="e">
        <f>+BY560*100/$D$560</f>
        <v>#DIV/0!</v>
      </c>
      <c r="BZ562" s="2" t="e">
        <f t="shared" ref="BZ562:CJ562" si="658">+BZ560*100/$D$560</f>
        <v>#DIV/0!</v>
      </c>
      <c r="CA562" s="2" t="e">
        <f t="shared" si="658"/>
        <v>#DIV/0!</v>
      </c>
      <c r="CB562" s="2" t="e">
        <f t="shared" si="658"/>
        <v>#DIV/0!</v>
      </c>
      <c r="CC562" s="2" t="e">
        <f t="shared" si="658"/>
        <v>#DIV/0!</v>
      </c>
      <c r="CD562" s="2" t="e">
        <f t="shared" si="658"/>
        <v>#DIV/0!</v>
      </c>
      <c r="CE562" s="2" t="e">
        <f t="shared" si="658"/>
        <v>#DIV/0!</v>
      </c>
      <c r="CF562" s="2" t="e">
        <f>+$CF$560*100/$D$560</f>
        <v>#DIV/0!</v>
      </c>
      <c r="CG562" s="2" t="e">
        <f t="shared" si="658"/>
        <v>#DIV/0!</v>
      </c>
      <c r="CH562" s="2" t="e">
        <f t="shared" si="658"/>
        <v>#DIV/0!</v>
      </c>
      <c r="CI562" s="2" t="e">
        <f t="shared" si="658"/>
        <v>#DIV/0!</v>
      </c>
      <c r="CJ562" s="2" t="e">
        <f t="shared" si="658"/>
        <v>#DIV/0!</v>
      </c>
    </row>
    <row r="563" spans="2:88" x14ac:dyDescent="0.35">
      <c r="BL563" s="391"/>
      <c r="CF563" s="2">
        <v>10.142180094786731</v>
      </c>
      <c r="CG563" s="2">
        <v>30.900473933649291</v>
      </c>
      <c r="CH563" s="2">
        <v>51.658767772511851</v>
      </c>
      <c r="CI563" s="2">
        <v>70.995260663507111</v>
      </c>
      <c r="CJ563" s="2">
        <v>100</v>
      </c>
    </row>
  </sheetData>
  <autoFilter ref="A8:DR557" xr:uid="{00000000-0009-0000-0000-000011000000}"/>
  <mergeCells count="119">
    <mergeCell ref="BV6:BV7"/>
    <mergeCell ref="BW6:BW7"/>
    <mergeCell ref="BX6:BX7"/>
    <mergeCell ref="DH6:DH7"/>
    <mergeCell ref="BJ6:BJ7"/>
    <mergeCell ref="BO6:BO7"/>
    <mergeCell ref="BP6:BP7"/>
    <mergeCell ref="BQ6:BQ7"/>
    <mergeCell ref="BR6:BR7"/>
    <mergeCell ref="BS6:BS7"/>
    <mergeCell ref="BD6:BD7"/>
    <mergeCell ref="BE6:BE7"/>
    <mergeCell ref="BF6:BF7"/>
    <mergeCell ref="BG6:BG7"/>
    <mergeCell ref="BH6:BH7"/>
    <mergeCell ref="BI6:BI7"/>
    <mergeCell ref="AV6:AV7"/>
    <mergeCell ref="AY6:AY7"/>
    <mergeCell ref="AZ6:AZ7"/>
    <mergeCell ref="BA6:BA7"/>
    <mergeCell ref="BB6:BB7"/>
    <mergeCell ref="BC6:BC7"/>
    <mergeCell ref="AP6:AP7"/>
    <mergeCell ref="AQ6:AQ7"/>
    <mergeCell ref="AR6:AR7"/>
    <mergeCell ref="AS6:AS7"/>
    <mergeCell ref="AT6:AT7"/>
    <mergeCell ref="AU6:AU7"/>
    <mergeCell ref="AJ6:AJ7"/>
    <mergeCell ref="AK6:AK7"/>
    <mergeCell ref="AL6:AL7"/>
    <mergeCell ref="AM6:AM7"/>
    <mergeCell ref="AN6:AN7"/>
    <mergeCell ref="AO6:AO7"/>
    <mergeCell ref="AC6:AC7"/>
    <mergeCell ref="AD6:AD7"/>
    <mergeCell ref="AE6:AE7"/>
    <mergeCell ref="AG6:AG7"/>
    <mergeCell ref="AH6:AH7"/>
    <mergeCell ref="AI6:AI7"/>
    <mergeCell ref="W6:W7"/>
    <mergeCell ref="X6:X7"/>
    <mergeCell ref="Y6:Y7"/>
    <mergeCell ref="Z6:Z7"/>
    <mergeCell ref="AA6:AA7"/>
    <mergeCell ref="AB6:AB7"/>
    <mergeCell ref="Q6:Q7"/>
    <mergeCell ref="R6:R7"/>
    <mergeCell ref="S6:S7"/>
    <mergeCell ref="T6:T7"/>
    <mergeCell ref="U6:U7"/>
    <mergeCell ref="V6:V7"/>
    <mergeCell ref="DE5:DE6"/>
    <mergeCell ref="DF5:DG5"/>
    <mergeCell ref="DH5:DJ5"/>
    <mergeCell ref="E6:E7"/>
    <mergeCell ref="F6:F7"/>
    <mergeCell ref="G6:G7"/>
    <mergeCell ref="H6:H7"/>
    <mergeCell ref="I6:I7"/>
    <mergeCell ref="J6:J7"/>
    <mergeCell ref="K6:K7"/>
    <mergeCell ref="CR5:CR6"/>
    <mergeCell ref="CS5:CS6"/>
    <mergeCell ref="CT5:CT6"/>
    <mergeCell ref="CU5:CU6"/>
    <mergeCell ref="DC5:DC6"/>
    <mergeCell ref="DD5:DD6"/>
    <mergeCell ref="CR4:CU4"/>
    <mergeCell ref="CV4:DJ4"/>
    <mergeCell ref="H5:K5"/>
    <mergeCell ref="L5:N5"/>
    <mergeCell ref="P5:P7"/>
    <mergeCell ref="AF5:AF7"/>
    <mergeCell ref="AG5:AI5"/>
    <mergeCell ref="AJ5:AL5"/>
    <mergeCell ref="AM5:AO5"/>
    <mergeCell ref="AP5:AS5"/>
    <mergeCell ref="CK4:CK7"/>
    <mergeCell ref="CL4:CL7"/>
    <mergeCell ref="CM4:CM7"/>
    <mergeCell ref="CN4:CN7"/>
    <mergeCell ref="CO4:CO7"/>
    <mergeCell ref="CP4:CP7"/>
    <mergeCell ref="BL4:BL7"/>
    <mergeCell ref="BM4:BM7"/>
    <mergeCell ref="BN4:BN7"/>
    <mergeCell ref="BO4:BU4"/>
    <mergeCell ref="BV4:BX5"/>
    <mergeCell ref="BY4:CJ5"/>
    <mergeCell ref="BO5:BQ5"/>
    <mergeCell ref="BR5:BT5"/>
    <mergeCell ref="BT6:BT7"/>
    <mergeCell ref="BU6:BU7"/>
    <mergeCell ref="AA4:AE5"/>
    <mergeCell ref="AF4:AO4"/>
    <mergeCell ref="AP4:AY4"/>
    <mergeCell ref="AZ4:BF4"/>
    <mergeCell ref="BG4:BJ4"/>
    <mergeCell ref="BK4:BK7"/>
    <mergeCell ref="AT5:AX5"/>
    <mergeCell ref="AZ5:BB5"/>
    <mergeCell ref="BC5:BE5"/>
    <mergeCell ref="BG5:BJ5"/>
    <mergeCell ref="C4:C7"/>
    <mergeCell ref="D4:D7"/>
    <mergeCell ref="E4:G5"/>
    <mergeCell ref="H4:P4"/>
    <mergeCell ref="Q4:U5"/>
    <mergeCell ref="V4:Z5"/>
    <mergeCell ref="L6:L7"/>
    <mergeCell ref="M6:M7"/>
    <mergeCell ref="N6:N7"/>
    <mergeCell ref="O6:O7"/>
    <mergeCell ref="A1:BX1"/>
    <mergeCell ref="A2:BX2"/>
    <mergeCell ref="A3:BX3"/>
    <mergeCell ref="A4:A7"/>
    <mergeCell ref="B4:B7"/>
  </mergeCells>
  <conditionalFormatting sqref="BM12:BN29">
    <cfRule type="cellIs" dxfId="78" priority="55" stopIfTrue="1" operator="lessThan">
      <formula>0</formula>
    </cfRule>
  </conditionalFormatting>
  <conditionalFormatting sqref="CK33:DJ65">
    <cfRule type="cellIs" dxfId="77" priority="67" stopIfTrue="1" operator="lessThan">
      <formula>0</formula>
    </cfRule>
  </conditionalFormatting>
  <conditionalFormatting sqref="AP5:AT5 AZ5:BC5 AP6:AV6 AZ6:BE7 AP7:AW7">
    <cfRule type="cellIs" dxfId="74" priority="32" stopIfTrue="1" operator="lessThan">
      <formula>0</formula>
    </cfRule>
  </conditionalFormatting>
  <conditionalFormatting sqref="AP222:AT227 AV222:AW227">
    <cfRule type="cellIs" dxfId="73" priority="28" stopIfTrue="1" operator="lessThan">
      <formula>0</formula>
    </cfRule>
  </conditionalFormatting>
  <conditionalFormatting sqref="AP12:AW29">
    <cfRule type="cellIs" dxfId="72" priority="21" stopIfTrue="1" operator="lessThan">
      <formula>0</formula>
    </cfRule>
  </conditionalFormatting>
  <conditionalFormatting sqref="AP33:AW65">
    <cfRule type="cellIs" dxfId="71" priority="4" stopIfTrue="1" operator="lessThan">
      <formula>0</formula>
    </cfRule>
  </conditionalFormatting>
  <conditionalFormatting sqref="AP68:AW192">
    <cfRule type="cellIs" dxfId="70" priority="12" stopIfTrue="1" operator="lessThan">
      <formula>0</formula>
    </cfRule>
  </conditionalFormatting>
  <conditionalFormatting sqref="AP195:AW196">
    <cfRule type="cellIs" dxfId="69" priority="60" stopIfTrue="1" operator="lessThan">
      <formula>0</formula>
    </cfRule>
  </conditionalFormatting>
  <conditionalFormatting sqref="AP198:AW200">
    <cfRule type="cellIs" dxfId="68" priority="42" stopIfTrue="1" operator="lessThan">
      <formula>0</formula>
    </cfRule>
  </conditionalFormatting>
  <conditionalFormatting sqref="AP202:AW221">
    <cfRule type="cellIs" dxfId="67" priority="19" stopIfTrue="1" operator="lessThan">
      <formula>0</formula>
    </cfRule>
  </conditionalFormatting>
  <conditionalFormatting sqref="AP228:AW515">
    <cfRule type="cellIs" dxfId="66" priority="10" stopIfTrue="1" operator="lessThan">
      <formula>0</formula>
    </cfRule>
  </conditionalFormatting>
  <conditionalFormatting sqref="AP517:AW529">
    <cfRule type="cellIs" dxfId="65" priority="14" stopIfTrue="1" operator="lessThan">
      <formula>0</formula>
    </cfRule>
  </conditionalFormatting>
  <conditionalFormatting sqref="AP533:AW546">
    <cfRule type="cellIs" dxfId="64" priority="8" stopIfTrue="1" operator="lessThan">
      <formula>0</formula>
    </cfRule>
  </conditionalFormatting>
  <conditionalFormatting sqref="AP549:AW556">
    <cfRule type="cellIs" dxfId="63" priority="6" stopIfTrue="1" operator="lessThan">
      <formula>0</formula>
    </cfRule>
  </conditionalFormatting>
  <conditionalFormatting sqref="AT213">
    <cfRule type="cellIs" dxfId="62" priority="73" stopIfTrue="1" operator="lessThan">
      <formula>0</formula>
    </cfRule>
  </conditionalFormatting>
  <conditionalFormatting sqref="AU216:AU227">
    <cfRule type="cellIs" dxfId="61" priority="17" stopIfTrue="1" operator="lessThan">
      <formula>0</formula>
    </cfRule>
  </conditionalFormatting>
  <conditionalFormatting sqref="AZ212:BC213 BE212:BE213 AZ214:BE222">
    <cfRule type="cellIs" dxfId="60" priority="29" stopIfTrue="1" operator="lessThan">
      <formula>0</formula>
    </cfRule>
  </conditionalFormatting>
  <conditionalFormatting sqref="AZ223:BC277 BE223:BE277">
    <cfRule type="cellIs" dxfId="59" priority="22" stopIfTrue="1" operator="lessThan">
      <formula>0</formula>
    </cfRule>
  </conditionalFormatting>
  <conditionalFormatting sqref="AZ12:BE29">
    <cfRule type="cellIs" dxfId="58" priority="13" stopIfTrue="1" operator="lessThan">
      <formula>0</formula>
    </cfRule>
  </conditionalFormatting>
  <conditionalFormatting sqref="AZ33:BE65">
    <cfRule type="cellIs" dxfId="57" priority="3" stopIfTrue="1" operator="lessThan">
      <formula>0</formula>
    </cfRule>
  </conditionalFormatting>
  <conditionalFormatting sqref="AZ68:BE192">
    <cfRule type="cellIs" dxfId="56" priority="11" stopIfTrue="1" operator="lessThan">
      <formula>0</formula>
    </cfRule>
  </conditionalFormatting>
  <conditionalFormatting sqref="AZ195:BE196">
    <cfRule type="cellIs" dxfId="55" priority="61" stopIfTrue="1" operator="lessThan">
      <formula>0</formula>
    </cfRule>
  </conditionalFormatting>
  <conditionalFormatting sqref="AZ198:BE200">
    <cfRule type="cellIs" dxfId="54" priority="72" stopIfTrue="1" operator="lessThan">
      <formula>0</formula>
    </cfRule>
  </conditionalFormatting>
  <conditionalFormatting sqref="AZ202:BE211">
    <cfRule type="cellIs" dxfId="53" priority="20" stopIfTrue="1" operator="lessThan">
      <formula>0</formula>
    </cfRule>
  </conditionalFormatting>
  <conditionalFormatting sqref="AZ278:BE515">
    <cfRule type="cellIs" dxfId="52" priority="9" stopIfTrue="1" operator="lessThan">
      <formula>0</formula>
    </cfRule>
  </conditionalFormatting>
  <conditionalFormatting sqref="AZ517:BE529">
    <cfRule type="cellIs" dxfId="51" priority="15" stopIfTrue="1" operator="lessThan">
      <formula>0</formula>
    </cfRule>
  </conditionalFormatting>
  <conditionalFormatting sqref="AZ533:BE546">
    <cfRule type="cellIs" dxfId="50" priority="7" stopIfTrue="1" operator="lessThan">
      <formula>0</formula>
    </cfRule>
  </conditionalFormatting>
  <conditionalFormatting sqref="AZ549:BE556">
    <cfRule type="cellIs" dxfId="49" priority="5" stopIfTrue="1" operator="lessThan">
      <formula>0</formula>
    </cfRule>
  </conditionalFormatting>
  <conditionalFormatting sqref="BD210:BD213">
    <cfRule type="cellIs" dxfId="48" priority="18" stopIfTrue="1" operator="lessThan">
      <formula>0</formula>
    </cfRule>
  </conditionalFormatting>
  <conditionalFormatting sqref="BD216:BD277">
    <cfRule type="cellIs" dxfId="47" priority="16" stopIfTrue="1" operator="lessThan">
      <formula>0</formula>
    </cfRule>
  </conditionalFormatting>
  <conditionalFormatting sqref="BG5:BJ7">
    <cfRule type="cellIs" dxfId="46" priority="30" stopIfTrue="1" operator="lessThan">
      <formula>0</formula>
    </cfRule>
  </conditionalFormatting>
  <conditionalFormatting sqref="BG12:BJ29">
    <cfRule type="cellIs" dxfId="45" priority="54" stopIfTrue="1" operator="lessThan">
      <formula>0</formula>
    </cfRule>
  </conditionalFormatting>
  <conditionalFormatting sqref="BG33:BJ65">
    <cfRule type="cellIs" dxfId="44" priority="66" stopIfTrue="1" operator="lessThan">
      <formula>0</formula>
    </cfRule>
  </conditionalFormatting>
  <conditionalFormatting sqref="BG68:BJ192">
    <cfRule type="cellIs" dxfId="43" priority="51" stopIfTrue="1" operator="lessThan">
      <formula>0</formula>
    </cfRule>
  </conditionalFormatting>
  <conditionalFormatting sqref="BG195:BJ196">
    <cfRule type="cellIs" dxfId="42" priority="62" stopIfTrue="1" operator="lessThan">
      <formula>0</formula>
    </cfRule>
  </conditionalFormatting>
  <conditionalFormatting sqref="BG198:BJ200">
    <cfRule type="cellIs" dxfId="41" priority="70" stopIfTrue="1" operator="lessThan">
      <formula>0</formula>
    </cfRule>
  </conditionalFormatting>
  <conditionalFormatting sqref="BG517:BJ529">
    <cfRule type="cellIs" dxfId="40" priority="38" stopIfTrue="1" operator="lessThan">
      <formula>0</formula>
    </cfRule>
  </conditionalFormatting>
  <conditionalFormatting sqref="BG533:BJ546">
    <cfRule type="cellIs" dxfId="39" priority="43" stopIfTrue="1" operator="lessThan">
      <formula>0</formula>
    </cfRule>
  </conditionalFormatting>
  <conditionalFormatting sqref="BG549:BJ556">
    <cfRule type="cellIs" dxfId="38" priority="25" stopIfTrue="1" operator="lessThan">
      <formula>0</formula>
    </cfRule>
  </conditionalFormatting>
  <conditionalFormatting sqref="BM4:BN7">
    <cfRule type="cellIs" dxfId="37" priority="31" stopIfTrue="1" operator="lessThan">
      <formula>0</formula>
    </cfRule>
  </conditionalFormatting>
  <conditionalFormatting sqref="BM33:BN65 BM195:BN196 BM198:BN200 BM202:BN515">
    <cfRule type="cellIs" dxfId="36" priority="1" stopIfTrue="1" operator="lessThan">
      <formula>0</formula>
    </cfRule>
  </conditionalFormatting>
  <conditionalFormatting sqref="BM68:BN192 BM549:BN556">
    <cfRule type="cellIs" dxfId="35" priority="2" stopIfTrue="1" operator="lessThan">
      <formula>0</formula>
    </cfRule>
  </conditionalFormatting>
  <conditionalFormatting sqref="BM517:BN529">
    <cfRule type="cellIs" dxfId="34" priority="39" stopIfTrue="1" operator="lessThan">
      <formula>0</formula>
    </cfRule>
  </conditionalFormatting>
  <conditionalFormatting sqref="BM533:BN546">
    <cfRule type="cellIs" dxfId="33" priority="44" stopIfTrue="1" operator="lessThan">
      <formula>0</formula>
    </cfRule>
  </conditionalFormatting>
  <conditionalFormatting sqref="BO5:BR5 BO6:BT7">
    <cfRule type="cellIs" dxfId="32" priority="79" stopIfTrue="1" operator="lessThan">
      <formula>0</formula>
    </cfRule>
  </conditionalFormatting>
  <conditionalFormatting sqref="BO12:BT16">
    <cfRule type="cellIs" dxfId="31" priority="77" stopIfTrue="1" operator="lessThan">
      <formula>0</formula>
    </cfRule>
  </conditionalFormatting>
  <conditionalFormatting sqref="BO16:BT29">
    <cfRule type="cellIs" dxfId="30" priority="59" stopIfTrue="1" operator="lessThan">
      <formula>0</formula>
    </cfRule>
  </conditionalFormatting>
  <conditionalFormatting sqref="BO17:BT29">
    <cfRule type="cellIs" dxfId="29" priority="57" stopIfTrue="1" operator="lessThan">
      <formula>0</formula>
    </cfRule>
  </conditionalFormatting>
  <conditionalFormatting sqref="BO33:BT65">
    <cfRule type="cellIs" dxfId="28" priority="68" stopIfTrue="1" operator="lessThan">
      <formula>0</formula>
    </cfRule>
  </conditionalFormatting>
  <conditionalFormatting sqref="BO68:BT192">
    <cfRule type="cellIs" dxfId="27" priority="52" stopIfTrue="1" operator="lessThan">
      <formula>0</formula>
    </cfRule>
  </conditionalFormatting>
  <conditionalFormatting sqref="BO195:BT196">
    <cfRule type="cellIs" dxfId="26" priority="64" stopIfTrue="1" operator="lessThan">
      <formula>0</formula>
    </cfRule>
  </conditionalFormatting>
  <conditionalFormatting sqref="BO198:BT200">
    <cfRule type="cellIs" dxfId="25" priority="71" stopIfTrue="1" operator="lessThan">
      <formula>0</formula>
    </cfRule>
  </conditionalFormatting>
  <conditionalFormatting sqref="BO205:BT253">
    <cfRule type="cellIs" dxfId="24" priority="49" stopIfTrue="1" operator="lessThan">
      <formula>0</formula>
    </cfRule>
  </conditionalFormatting>
  <conditionalFormatting sqref="BO220:BT222 BO252:BT257 BO202:BT204 BO556:BT556">
    <cfRule type="cellIs" dxfId="23" priority="78" stopIfTrue="1" operator="lessThan">
      <formula>0</formula>
    </cfRule>
  </conditionalFormatting>
  <conditionalFormatting sqref="BO258:BT515 BG202:BJ515">
    <cfRule type="cellIs" dxfId="22" priority="47" stopIfTrue="1" operator="lessThan">
      <formula>0</formula>
    </cfRule>
  </conditionalFormatting>
  <conditionalFormatting sqref="BO517:BT529">
    <cfRule type="cellIs" dxfId="21" priority="40" stopIfTrue="1" operator="lessThan">
      <formula>0</formula>
    </cfRule>
  </conditionalFormatting>
  <conditionalFormatting sqref="BO533:BT546">
    <cfRule type="cellIs" dxfId="20" priority="45" stopIfTrue="1" operator="lessThan">
      <formula>0</formula>
    </cfRule>
  </conditionalFormatting>
  <conditionalFormatting sqref="BO549:BT555">
    <cfRule type="cellIs" dxfId="19" priority="26" stopIfTrue="1" operator="lessThan">
      <formula>0</formula>
    </cfRule>
  </conditionalFormatting>
  <conditionalFormatting sqref="BR4:BU16 BR220:BU222 BR252:BU257">
    <cfRule type="cellIs" dxfId="18" priority="76" operator="lessThan">
      <formula>0</formula>
    </cfRule>
  </conditionalFormatting>
  <conditionalFormatting sqref="BR16:BU29">
    <cfRule type="cellIs" dxfId="17" priority="58" operator="lessThan">
      <formula>0</formula>
    </cfRule>
  </conditionalFormatting>
  <conditionalFormatting sqref="BR17:BU29">
    <cfRule type="cellIs" dxfId="16" priority="56" operator="lessThan">
      <formula>0</formula>
    </cfRule>
  </conditionalFormatting>
  <conditionalFormatting sqref="BR30:BU68">
    <cfRule type="cellIs" dxfId="15" priority="69" operator="lessThan">
      <formula>0</formula>
    </cfRule>
  </conditionalFormatting>
  <conditionalFormatting sqref="BR69:BU192">
    <cfRule type="cellIs" dxfId="14" priority="53" operator="lessThan">
      <formula>0</formula>
    </cfRule>
  </conditionalFormatting>
  <conditionalFormatting sqref="BR195:BU204">
    <cfRule type="cellIs" dxfId="13" priority="65" operator="lessThan">
      <formula>0</formula>
    </cfRule>
  </conditionalFormatting>
  <conditionalFormatting sqref="BR205:BU253">
    <cfRule type="cellIs" dxfId="12" priority="48" operator="lessThan">
      <formula>0</formula>
    </cfRule>
  </conditionalFormatting>
  <conditionalFormatting sqref="BR258:BU529">
    <cfRule type="cellIs" dxfId="11" priority="41" operator="lessThan">
      <formula>0</formula>
    </cfRule>
  </conditionalFormatting>
  <conditionalFormatting sqref="BR530:BU550">
    <cfRule type="cellIs" dxfId="10" priority="46" operator="lessThan">
      <formula>0</formula>
    </cfRule>
  </conditionalFormatting>
  <conditionalFormatting sqref="BR551:BU1048576">
    <cfRule type="cellIs" dxfId="9" priority="27" operator="lessThan">
      <formula>0</formula>
    </cfRule>
  </conditionalFormatting>
  <conditionalFormatting sqref="BV547:BX548">
    <cfRule type="cellIs" dxfId="8" priority="74" operator="lessThan">
      <formula>0</formula>
    </cfRule>
  </conditionalFormatting>
  <conditionalFormatting sqref="CK4:CR4 CK198:DJ200">
    <cfRule type="cellIs" dxfId="7" priority="75" stopIfTrue="1" operator="lessThan">
      <formula>0</formula>
    </cfRule>
  </conditionalFormatting>
  <conditionalFormatting sqref="CK12:DJ29">
    <cfRule type="cellIs" dxfId="6" priority="37" stopIfTrue="1" operator="lessThan">
      <formula>0</formula>
    </cfRule>
  </conditionalFormatting>
  <conditionalFormatting sqref="CK68:DJ192">
    <cfRule type="cellIs" dxfId="5" priority="33" stopIfTrue="1" operator="lessThan">
      <formula>0</formula>
    </cfRule>
  </conditionalFormatting>
  <conditionalFormatting sqref="CK195:DJ196">
    <cfRule type="cellIs" dxfId="4" priority="63" stopIfTrue="1" operator="lessThan">
      <formula>0</formula>
    </cfRule>
  </conditionalFormatting>
  <conditionalFormatting sqref="CK202:DJ515">
    <cfRule type="cellIs" dxfId="3" priority="36" stopIfTrue="1" operator="lessThan">
      <formula>0</formula>
    </cfRule>
  </conditionalFormatting>
  <conditionalFormatting sqref="CK517:DJ529">
    <cfRule type="cellIs" dxfId="2" priority="35" stopIfTrue="1" operator="lessThan">
      <formula>0</formula>
    </cfRule>
  </conditionalFormatting>
  <conditionalFormatting sqref="CK533:DJ546">
    <cfRule type="cellIs" dxfId="1" priority="34" stopIfTrue="1" operator="lessThan">
      <formula>0</formula>
    </cfRule>
  </conditionalFormatting>
  <conditionalFormatting sqref="CK549:DJ556">
    <cfRule type="cellIs" dxfId="0" priority="23" stopIfTrue="1" operator="lessThan">
      <formula>0</formula>
    </cfRule>
  </conditionalFormatting>
  <printOptions horizontalCentered="1"/>
  <pageMargins left="0.51181102362204722" right="0.27559055118110237" top="0.87" bottom="0.19685039370078741" header="0.19685039370078741" footer="0.31496062992125984"/>
  <pageSetup paperSize="9" scale="80"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พรบ</vt:lpstr>
      <vt:lpstr>พรบ!Print_Area</vt:lpstr>
      <vt:lpstr>พรบ!Print_Titles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AUTSANEERAT DOWDAN</dc:creator>
  <cp:lastModifiedBy>AUTSANEERAT DOWDAN</cp:lastModifiedBy>
  <dcterms:created xsi:type="dcterms:W3CDTF">2025-07-18T07:57:41Z</dcterms:created>
  <dcterms:modified xsi:type="dcterms:W3CDTF">2025-07-18T08:02:12Z</dcterms:modified>
</cp:coreProperties>
</file>