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onstantingeorgeglen/Documents/University/UFL/RESEARCH/Projects_Writing/PhDChapters/ch2.senescenceCTC/submission/Nature/supplementaryData/"/>
    </mc:Choice>
  </mc:AlternateContent>
  <xr:revisionPtr revIDLastSave="0" documentId="13_ncr:1_{086966AA-4C04-054C-B977-9FA21729143B}" xr6:coauthVersionLast="47" xr6:coauthVersionMax="47" xr10:uidLastSave="{00000000-0000-0000-0000-000000000000}"/>
  <bookViews>
    <workbookView xWindow="0" yWindow="680" windowWidth="38280" windowHeight="19900" xr2:uid="{8D378391-6132-A245-A1D6-89E36F870A51}"/>
  </bookViews>
  <sheets>
    <sheet name="testudine_female_data" sheetId="15" r:id="rId1"/>
    <sheet name="TraitReferences" sheetId="18" r:id="rId2"/>
    <sheet name="References" sheetId="19" r:id="rId3"/>
    <sheet name="VariableKey" sheetId="5" r:id="rId4"/>
  </sheets>
  <definedNames>
    <definedName name="_xlnm._FilterDatabase" localSheetId="0" hidden="1">testudine_female_data!$B$1:$X$74</definedName>
    <definedName name="_xlnm._FilterDatabase" localSheetId="1" hidden="1">TraitReferences!$A$1:$G$62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5" l="1"/>
  <c r="M39" i="15"/>
  <c r="H72" i="15" l="1"/>
  <c r="H74" i="15"/>
  <c r="H73" i="15"/>
  <c r="M15" i="15"/>
  <c r="H15" i="15"/>
  <c r="L47" i="15"/>
  <c r="M47" i="15"/>
  <c r="L36" i="15"/>
  <c r="H36" i="15"/>
  <c r="M36" i="15"/>
  <c r="H39" i="15"/>
  <c r="L38" i="15"/>
  <c r="H37" i="15"/>
  <c r="J34" i="15"/>
  <c r="H27" i="15"/>
  <c r="H26" i="15"/>
  <c r="H25" i="15"/>
  <c r="M74" i="15" l="1"/>
  <c r="M73" i="15"/>
  <c r="H70" i="15"/>
  <c r="H69" i="15"/>
  <c r="J66" i="15"/>
  <c r="J65" i="15"/>
  <c r="H65" i="15"/>
  <c r="L65" i="15"/>
  <c r="L50" i="15"/>
  <c r="H45" i="15"/>
  <c r="L44" i="15"/>
  <c r="H44" i="15"/>
  <c r="J41" i="15"/>
  <c r="M41" i="15"/>
  <c r="H40" i="15"/>
  <c r="M67" i="15"/>
  <c r="M62" i="15"/>
  <c r="M57" i="15"/>
  <c r="M46" i="15"/>
  <c r="M37" i="15"/>
  <c r="M19" i="15"/>
  <c r="M18" i="15"/>
  <c r="H35" i="15"/>
  <c r="H34" i="15"/>
  <c r="H33" i="15"/>
  <c r="H28" i="15"/>
  <c r="M25" i="15"/>
  <c r="J27" i="15"/>
  <c r="J26" i="15"/>
  <c r="J25" i="15"/>
  <c r="H24" i="15"/>
  <c r="M24" i="15"/>
  <c r="H22" i="15"/>
  <c r="L16" i="15"/>
  <c r="H7" i="15"/>
  <c r="L7" i="15"/>
  <c r="M60" i="15"/>
  <c r="L52" i="15"/>
  <c r="M51" i="15"/>
  <c r="M26" i="15"/>
  <c r="M27" i="15"/>
  <c r="L72" i="15" l="1"/>
  <c r="K72" i="15"/>
  <c r="L71" i="15"/>
  <c r="H71" i="15"/>
  <c r="L70" i="15"/>
  <c r="K70" i="15"/>
  <c r="L69" i="15"/>
  <c r="K69" i="15"/>
  <c r="J69" i="15"/>
  <c r="L68" i="15"/>
  <c r="K68" i="15"/>
  <c r="L66" i="15"/>
  <c r="K66" i="15"/>
  <c r="K65" i="15"/>
  <c r="L63" i="15"/>
  <c r="K63" i="15"/>
  <c r="L61" i="15"/>
  <c r="K61" i="15"/>
  <c r="L60" i="15"/>
  <c r="J60" i="15"/>
  <c r="H60" i="15"/>
  <c r="L59" i="15"/>
  <c r="H59" i="15"/>
  <c r="L58" i="15"/>
  <c r="L56" i="15"/>
  <c r="K56" i="15"/>
  <c r="J56" i="15"/>
  <c r="L55" i="15"/>
  <c r="K55" i="15"/>
  <c r="L54" i="15"/>
  <c r="K54" i="15"/>
  <c r="L53" i="15"/>
  <c r="K53" i="15"/>
  <c r="H52" i="15"/>
  <c r="K50" i="15"/>
  <c r="J50" i="15"/>
  <c r="H50" i="15"/>
  <c r="L49" i="15"/>
  <c r="K49" i="15"/>
  <c r="J49" i="15"/>
  <c r="L48" i="15"/>
  <c r="K48" i="15"/>
  <c r="K47" i="15"/>
  <c r="J47" i="15"/>
  <c r="H47" i="15"/>
  <c r="L45" i="15"/>
  <c r="K45" i="15"/>
  <c r="J45" i="15"/>
  <c r="K44" i="15"/>
  <c r="L43" i="15"/>
  <c r="H43" i="15"/>
  <c r="L42" i="15"/>
  <c r="K42" i="15"/>
  <c r="J42" i="15"/>
  <c r="H42" i="15"/>
  <c r="L40" i="15"/>
  <c r="K40" i="15"/>
  <c r="J40" i="15"/>
  <c r="L39" i="15"/>
  <c r="K39" i="15"/>
  <c r="K36" i="15"/>
  <c r="J36" i="15"/>
  <c r="L35" i="15"/>
  <c r="K35" i="15"/>
  <c r="J35" i="15"/>
  <c r="L34" i="15"/>
  <c r="K34" i="15"/>
  <c r="L33" i="15"/>
  <c r="K33" i="15"/>
  <c r="J33" i="15"/>
  <c r="L32" i="15"/>
  <c r="K32" i="15"/>
  <c r="L31" i="15"/>
  <c r="K31" i="15"/>
  <c r="H31" i="15"/>
  <c r="L30" i="15"/>
  <c r="J30" i="15"/>
  <c r="L29" i="15"/>
  <c r="K29" i="15"/>
  <c r="H29" i="15"/>
  <c r="L28" i="15"/>
  <c r="K28" i="15"/>
  <c r="J28" i="15"/>
  <c r="L23" i="15"/>
  <c r="K23" i="15"/>
  <c r="J23" i="15"/>
  <c r="L22" i="15"/>
  <c r="K22" i="15"/>
  <c r="J22" i="15"/>
  <c r="L21" i="15"/>
  <c r="J21" i="15"/>
  <c r="L20" i="15"/>
  <c r="K20" i="15"/>
  <c r="H20" i="15"/>
  <c r="L17" i="15"/>
  <c r="I17" i="15" s="1"/>
  <c r="K17" i="15"/>
  <c r="M16" i="15"/>
  <c r="K16" i="15"/>
  <c r="J16" i="15"/>
  <c r="L14" i="15"/>
  <c r="K14" i="15"/>
  <c r="L13" i="15"/>
  <c r="L12" i="15"/>
  <c r="H12" i="15"/>
  <c r="L11" i="15"/>
  <c r="H11" i="15"/>
  <c r="I10" i="15"/>
  <c r="L9" i="15"/>
  <c r="J9" i="15"/>
  <c r="I9" i="15"/>
  <c r="W8" i="15"/>
  <c r="V8" i="15"/>
  <c r="L8" i="15"/>
  <c r="J8" i="15"/>
  <c r="L6" i="15"/>
  <c r="K6" i="15"/>
  <c r="J6" i="15"/>
  <c r="H6" i="15"/>
  <c r="L5" i="15"/>
  <c r="J5" i="15"/>
  <c r="L4" i="15"/>
  <c r="K4" i="15"/>
  <c r="H4" i="15"/>
  <c r="L3" i="15"/>
  <c r="K3" i="15"/>
  <c r="J3" i="15"/>
  <c r="L2" i="15"/>
  <c r="J2" i="15"/>
  <c r="I54" i="15" l="1"/>
  <c r="I36" i="15"/>
  <c r="I30" i="15"/>
  <c r="I14" i="15"/>
  <c r="I34" i="15"/>
  <c r="I63" i="15"/>
  <c r="I5" i="15"/>
  <c r="I42" i="15"/>
  <c r="I47" i="15"/>
  <c r="I55" i="15"/>
  <c r="I44" i="15"/>
  <c r="I7" i="15"/>
  <c r="I52" i="15"/>
  <c r="I61" i="15"/>
  <c r="I28" i="15"/>
  <c r="I6" i="15"/>
  <c r="I35" i="15"/>
  <c r="I40" i="15"/>
  <c r="I11" i="15"/>
  <c r="I60" i="15"/>
  <c r="I4" i="15"/>
  <c r="I39" i="15"/>
  <c r="I71" i="15"/>
  <c r="I3" i="15"/>
  <c r="I16" i="15"/>
  <c r="I58" i="15"/>
  <c r="I49" i="15"/>
  <c r="I12" i="15"/>
  <c r="I66" i="15"/>
  <c r="I13" i="15"/>
  <c r="I43" i="15"/>
  <c r="I20" i="15"/>
  <c r="I23" i="15"/>
  <c r="I32" i="15"/>
  <c r="I59" i="15"/>
  <c r="I65" i="15"/>
  <c r="I68" i="15"/>
  <c r="I69" i="15"/>
  <c r="I72" i="15"/>
  <c r="I31" i="15"/>
  <c r="I56" i="15"/>
  <c r="I22" i="15"/>
  <c r="I53" i="15"/>
  <c r="I70" i="15"/>
  <c r="I50" i="15"/>
  <c r="I8" i="15"/>
  <c r="I21" i="15"/>
  <c r="I48" i="15"/>
  <c r="I29" i="15"/>
  <c r="I33" i="15"/>
  <c r="I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Glen</author>
    <author>Constantin George Glen</author>
  </authors>
  <commentList>
    <comment ref="H1" authorId="0" shapeId="0" xr:uid="{EE4534FD-F42D-084B-8CAE-0E8040AA01D6}">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O1" authorId="0" shapeId="0" xr:uid="{24304DD4-BC71-D248-B5F1-1CE58D4CABBC}">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P1" authorId="0" shapeId="0" xr:uid="{42DE3239-26C0-8947-9278-F7604DBD55BA}">
      <text>
        <r>
          <rPr>
            <b/>
            <sz val="10"/>
            <color rgb="FF000000"/>
            <rFont val="Tahoma"/>
            <family val="2"/>
          </rPr>
          <t>George Glen:</t>
        </r>
        <r>
          <rPr>
            <sz val="10"/>
            <color rgb="FF000000"/>
            <rFont val="Tahoma"/>
            <family val="2"/>
          </rPr>
          <t xml:space="preserve">
</t>
        </r>
        <r>
          <rPr>
            <sz val="10"/>
            <color rgb="FF000000"/>
            <rFont val="Tahoma"/>
            <family val="2"/>
          </rPr>
          <t xml:space="preserve">
</t>
        </r>
        <r>
          <rPr>
            <sz val="10"/>
            <color rgb="FF000000"/>
            <rFont val="Tahoma"/>
            <family val="2"/>
          </rPr>
          <t xml:space="preserve">Reinke et al 2022: 
</t>
        </r>
        <r>
          <rPr>
            <sz val="10"/>
            <color rgb="FF000000"/>
            <rFont val="Tahoma"/>
            <family val="2"/>
          </rPr>
          <t xml:space="preserve">- computed as sum(Ages+0.05)*Mortality at age after first reproducing
</t>
        </r>
        <r>
          <rPr>
            <sz val="10"/>
            <color rgb="FF000000"/>
            <rFont val="Tahoma"/>
            <family val="2"/>
          </rPr>
          <t xml:space="preserve">
</t>
        </r>
        <r>
          <rPr>
            <sz val="10"/>
            <color rgb="FF000000"/>
            <rFont val="Tahoma"/>
            <family val="2"/>
          </rPr>
          <t xml:space="preserve">da Silva 2022: 
</t>
        </r>
        <r>
          <rPr>
            <sz val="10"/>
            <color rgb="FF000000"/>
            <rFont val="Tahoma"/>
            <family val="2"/>
          </rPr>
          <t xml:space="preserve">- computed as integral from </t>
        </r>
        <r>
          <rPr>
            <sz val="10"/>
            <color rgb="FF000000"/>
            <rFont val="Calibri"/>
            <family val="2"/>
          </rPr>
          <t xml:space="preserve">age at first reproducion to infinity of S(x) dx/ (S(a))
</t>
        </r>
        <r>
          <rPr>
            <sz val="10"/>
            <color rgb="FF000000"/>
            <rFont val="Calibri"/>
            <family val="2"/>
          </rPr>
          <t xml:space="preserve">
</t>
        </r>
      </text>
    </comment>
    <comment ref="H14" authorId="1" shapeId="0" xr:uid="{EFC6C083-B00F-0C4A-92BA-391AFD79787C}">
      <text>
        <r>
          <rPr>
            <b/>
            <sz val="10"/>
            <color rgb="FF000000"/>
            <rFont val="Tahoma"/>
            <family val="2"/>
          </rPr>
          <t>Constantin George Glen:</t>
        </r>
        <r>
          <rPr>
            <sz val="10"/>
            <color rgb="FF000000"/>
            <rFont val="Tahoma"/>
            <family val="2"/>
          </rPr>
          <t xml:space="preserve">
</t>
        </r>
        <r>
          <rPr>
            <sz val="10"/>
            <color rgb="FF000000"/>
            <rFont val="Tahoma"/>
            <family val="2"/>
          </rPr>
          <t>Average for North America (see pp126 in Ernest and Lovich 2009).</t>
        </r>
      </text>
    </comment>
    <comment ref="H15" authorId="1" shapeId="0" xr:uid="{4C50E1F2-DD9F-994F-ADC6-D3371C609515}">
      <text>
        <r>
          <rPr>
            <b/>
            <sz val="10"/>
            <color rgb="FF000000"/>
            <rFont val="Tahoma"/>
            <family val="2"/>
          </rPr>
          <t>Constantin George Glen:</t>
        </r>
        <r>
          <rPr>
            <sz val="10"/>
            <color rgb="FF000000"/>
            <rFont val="Tahoma"/>
            <family val="2"/>
          </rPr>
          <t xml:space="preserve">
</t>
        </r>
        <r>
          <rPr>
            <sz val="10"/>
            <color rgb="FF000000"/>
            <rFont val="Tahoma"/>
            <family val="2"/>
          </rPr>
          <t xml:space="preserve">based on the fact that clutch size increases with latitude (Ernest and Lovich 2009 pp 126). Estimate based on turtles in Florida. </t>
        </r>
      </text>
    </comment>
    <comment ref="M16" authorId="1" shapeId="0" xr:uid="{71FD8007-7857-034F-ACD5-EFBC74F7667A}">
      <text>
        <r>
          <rPr>
            <b/>
            <sz val="10"/>
            <color rgb="FF000000"/>
            <rFont val="Tahoma"/>
            <family val="2"/>
          </rPr>
          <t>Constantin George Glen:</t>
        </r>
        <r>
          <rPr>
            <sz val="10"/>
            <color rgb="FF000000"/>
            <rFont val="Tahoma"/>
            <family val="2"/>
          </rPr>
          <t xml:space="preserve">
</t>
        </r>
        <r>
          <rPr>
            <sz val="10"/>
            <color rgb="FF000000"/>
            <rFont val="Calibri"/>
            <family val="2"/>
          </rPr>
          <t xml:space="preserve">Was NA; source: Allen 2017, https://doi.org/10.1111/ele.12728
</t>
        </r>
      </text>
    </comment>
    <comment ref="M26" authorId="1" shapeId="0" xr:uid="{4BF2BCE0-DEAF-C948-8D25-35CECEA1C53E}">
      <text>
        <r>
          <rPr>
            <b/>
            <sz val="10"/>
            <color rgb="FF000000"/>
            <rFont val="Tahoma"/>
            <family val="2"/>
          </rPr>
          <t>Constantin George Glen:</t>
        </r>
        <r>
          <rPr>
            <sz val="10"/>
            <color rgb="FF000000"/>
            <rFont val="Tahoma"/>
            <family val="2"/>
          </rPr>
          <t xml:space="preserve">
</t>
        </r>
        <r>
          <rPr>
            <sz val="10"/>
            <color rgb="FF000000"/>
            <rFont val="Tahoma"/>
            <family val="2"/>
          </rPr>
          <t>data in Reinke et al 2022 and cannot be found in Allen et al 2017 so assumed that these values represent mass for females at these sites in france</t>
        </r>
      </text>
    </comment>
    <comment ref="M27" authorId="1" shapeId="0" xr:uid="{11F225FA-EEFD-D64C-AA56-72C262801534}">
      <text>
        <r>
          <rPr>
            <b/>
            <sz val="10"/>
            <color rgb="FF000000"/>
            <rFont val="Tahoma"/>
            <family val="2"/>
          </rPr>
          <t>Constantin George Glen:</t>
        </r>
        <r>
          <rPr>
            <sz val="10"/>
            <color rgb="FF000000"/>
            <rFont val="Tahoma"/>
            <family val="2"/>
          </rPr>
          <t xml:space="preserve">
</t>
        </r>
        <r>
          <rPr>
            <sz val="10"/>
            <color rgb="FF000000"/>
            <rFont val="Calibri"/>
            <family val="2"/>
          </rPr>
          <t xml:space="preserve">data in Reinke et al 2022 and cannot be found in Allen et al 2017 so assumed that these values represent mass for females at these sites in france
</t>
        </r>
      </text>
    </comment>
    <comment ref="F36" authorId="1" shapeId="0" xr:uid="{A51C6E33-E5B9-F444-B5A6-7FE62CF3AC58}">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M36" authorId="1" shapeId="0" xr:uid="{8CFF434B-75AA-2948-967E-B37C10CD25A9}">
      <text>
        <r>
          <rPr>
            <b/>
            <sz val="10"/>
            <color rgb="FF000000"/>
            <rFont val="Tahoma"/>
            <family val="2"/>
          </rPr>
          <t>Constantin George Glen:</t>
        </r>
        <r>
          <rPr>
            <sz val="10"/>
            <color rgb="FF000000"/>
            <rFont val="Tahoma"/>
            <family val="2"/>
          </rPr>
          <t xml:space="preserve">
</t>
        </r>
        <r>
          <rPr>
            <sz val="10"/>
            <color rgb="FF000000"/>
            <rFont val="Tahoma"/>
            <family val="2"/>
          </rPr>
          <t>da Silva reported mass of 0.577508242. Changes to 1135 based on Jones 1996.</t>
        </r>
      </text>
    </comment>
    <comment ref="F37" authorId="1" shapeId="0" xr:uid="{E864337F-1D08-3344-9F5B-08A1A979D4CC}">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M37" authorId="1" shapeId="0" xr:uid="{6799A99E-380B-664B-BE69-5608DB222907}">
      <text>
        <r>
          <rPr>
            <b/>
            <sz val="10"/>
            <color rgb="FF000000"/>
            <rFont val="Tahoma"/>
            <family val="2"/>
          </rPr>
          <t>Constantin George Glen:</t>
        </r>
        <r>
          <rPr>
            <sz val="10"/>
            <color rgb="FF000000"/>
            <rFont val="Tahoma"/>
            <family val="2"/>
          </rPr>
          <t xml:space="preserve">
</t>
        </r>
        <r>
          <rPr>
            <sz val="10"/>
            <color rgb="FF000000"/>
            <rFont val="Tahoma"/>
            <family val="2"/>
          </rPr>
          <t xml:space="preserve">Selman et al 2012, </t>
        </r>
        <r>
          <rPr>
            <i/>
            <sz val="10"/>
            <color rgb="FF000000"/>
            <rFont val="Calibri"/>
            <family val="2"/>
          </rPr>
          <t>Spatial, Seasonal, and Sexual Variation in the Diet of Graptemys flavimaculata,</t>
        </r>
        <r>
          <rPr>
            <sz val="10"/>
            <color rgb="FF000000"/>
            <rFont val="Calibri"/>
            <family val="2"/>
          </rPr>
          <t xml:space="preserve">
</t>
        </r>
        <r>
          <rPr>
            <i/>
            <sz val="10"/>
            <color rgb="FF000000"/>
            <rFont val="Calibri"/>
            <family val="2"/>
          </rPr>
          <t>a Threatened Turtle of the Pascagoula River System, Mississippi, USA</t>
        </r>
        <r>
          <rPr>
            <sz val="10"/>
            <color rgb="FF000000"/>
            <rFont val="Calibri"/>
            <family val="2"/>
          </rPr>
          <t xml:space="preserve">
</t>
        </r>
      </text>
    </comment>
    <comment ref="M39" authorId="1" shapeId="0" xr:uid="{D1410B2F-BDF6-7946-9167-9C4E2F424367}">
      <text>
        <r>
          <rPr>
            <b/>
            <sz val="10"/>
            <color rgb="FF000000"/>
            <rFont val="Tahoma"/>
            <family val="2"/>
          </rPr>
          <t>Constantin George Glen:</t>
        </r>
        <r>
          <rPr>
            <sz val="10"/>
            <color rgb="FF000000"/>
            <rFont val="Tahoma"/>
            <family val="2"/>
          </rPr>
          <t xml:space="preserve">
</t>
        </r>
        <r>
          <rPr>
            <sz val="10"/>
            <color rgb="FF000000"/>
            <rFont val="Tahoma"/>
            <family val="2"/>
          </rPr>
          <t xml:space="preserve">changed from value from da Silva 2022 0.731899988
</t>
        </r>
        <r>
          <rPr>
            <sz val="10"/>
            <color rgb="FF000000"/>
            <rFont val="Tahoma"/>
            <family val="2"/>
          </rPr>
          <t xml:space="preserve">half the recorded body mass of reported female turtles see
</t>
        </r>
        <r>
          <rPr>
            <sz val="10"/>
            <color rgb="FF000000"/>
            <rFont val="Tahoma"/>
            <family val="2"/>
          </rPr>
          <t xml:space="preserve">
</t>
        </r>
        <r>
          <rPr>
            <sz val="10"/>
            <color rgb="FF000000"/>
            <rFont val="Calibri"/>
            <family val="2"/>
          </rPr>
          <t>Vogt, R.C., 2024. Graptemys pseudogeographica (Gray 1831), False Map Turtle. </t>
        </r>
        <r>
          <rPr>
            <i/>
            <sz val="10"/>
            <color rgb="FF000000"/>
            <rFont val="Calibri"/>
            <family val="2"/>
          </rPr>
          <t>The Conservation Biology of Freshwater Turtles (IUCN/SSC Tortoise and Freshwater Turtle Specialist Group Action Plan Rating)</t>
        </r>
        <r>
          <rPr>
            <sz val="10"/>
            <color rgb="FF000000"/>
            <rFont val="Calibri"/>
            <family val="2"/>
          </rPr>
          <t>.</t>
        </r>
      </text>
    </comment>
    <comment ref="F43" authorId="1" shapeId="0" xr:uid="{67BC3ABD-1415-184C-AFAA-AC2C67B0F83C}">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M47" authorId="1" shapeId="0" xr:uid="{05D37138-22D2-0042-AB2B-EA4EAABBD8E1}">
      <text>
        <r>
          <rPr>
            <b/>
            <sz val="10"/>
            <color rgb="FF000000"/>
            <rFont val="Tahoma"/>
            <family val="2"/>
          </rPr>
          <t xml:space="preserve">Constantin George Glen:
</t>
        </r>
        <r>
          <rPr>
            <sz val="10"/>
            <color rgb="FF000000"/>
            <rFont val="Tahoma"/>
            <family val="2"/>
          </rPr>
          <t xml:space="preserve">NA in da Silva et al 2022
</t>
        </r>
        <r>
          <rPr>
            <sz val="10"/>
            <color rgb="FF000000"/>
            <rFont val="Tahoma"/>
            <family val="2"/>
          </rPr>
          <t xml:space="preserve">
</t>
        </r>
        <r>
          <rPr>
            <sz val="10"/>
            <color rgb="FF000000"/>
            <rFont val="Calibri"/>
            <family val="2"/>
          </rPr>
          <t>source: Vogt and Guzman 1988</t>
        </r>
      </text>
    </comment>
    <comment ref="M52" authorId="1" shapeId="0" xr:uid="{888C976F-7A82-9747-A8F9-89C6DC9549D6}">
      <text>
        <r>
          <rPr>
            <b/>
            <sz val="10"/>
            <color rgb="FF000000"/>
            <rFont val="Tahoma"/>
            <family val="2"/>
          </rPr>
          <t>Constantin George Glen:</t>
        </r>
        <r>
          <rPr>
            <sz val="10"/>
            <color rgb="FF000000"/>
            <rFont val="Tahoma"/>
            <family val="2"/>
          </rPr>
          <t xml:space="preserve">
</t>
        </r>
        <r>
          <rPr>
            <sz val="10"/>
            <color rgb="FF000000"/>
            <rFont val="Calibri"/>
            <family val="2"/>
          </rPr>
          <t xml:space="preserve">
</t>
        </r>
        <r>
          <rPr>
            <sz val="10"/>
            <color rgb="FF000000"/>
            <rFont val="Calibri"/>
            <family val="2"/>
          </rPr>
          <t xml:space="preserve">Measured value in da Silva = 1.370471429 
</t>
        </r>
        <r>
          <rPr>
            <sz val="10"/>
            <color rgb="FF000000"/>
            <rFont val="Calibri"/>
            <family val="2"/>
          </rPr>
          <t xml:space="preserve">
</t>
        </r>
        <r>
          <rPr>
            <sz val="10"/>
            <color rgb="FF000000"/>
            <rFont val="Calibri"/>
            <family val="2"/>
          </rPr>
          <t xml:space="preserve">Wild value of 2.3275 value in Espinoza, 2002. Body Size, Temperature, and the Evolution of Herbivory in Reptiles. PhD Thesis
</t>
        </r>
      </text>
    </comment>
    <comment ref="M53" authorId="1" shapeId="0" xr:uid="{AA479BCC-4D6B-E74D-B56A-B6285CE3B43A}">
      <text>
        <r>
          <rPr>
            <b/>
            <sz val="10"/>
            <color rgb="FF000000"/>
            <rFont val="Calibri"/>
            <family val="34"/>
          </rPr>
          <t>Constantin George Glen:</t>
        </r>
        <r>
          <rPr>
            <sz val="10"/>
            <color rgb="FF000000"/>
            <rFont val="Calibri"/>
            <family val="34"/>
          </rPr>
          <t xml:space="preserve">
</t>
        </r>
        <r>
          <rPr>
            <sz val="10"/>
            <color rgb="FF000000"/>
            <rFont val="Calibri"/>
            <family val="34"/>
          </rPr>
          <t xml:space="preserve">
</t>
        </r>
        <r>
          <rPr>
            <sz val="10"/>
            <color rgb="FF000000"/>
            <rFont val="Calibri"/>
            <family val="34"/>
          </rPr>
          <t xml:space="preserve">Measured value in da Silva = 0.776668013 
</t>
        </r>
        <r>
          <rPr>
            <sz val="10"/>
            <color rgb="FF000000"/>
            <rFont val="Calibri"/>
            <family val="34"/>
          </rPr>
          <t xml:space="preserve">
</t>
        </r>
        <r>
          <rPr>
            <sz val="10"/>
            <color rgb="FF000000"/>
            <rFont val="Calibri"/>
            <family val="34"/>
          </rPr>
          <t xml:space="preserve">
</t>
        </r>
        <r>
          <rPr>
            <sz val="10"/>
            <color rgb="FF000000"/>
            <rFont val="Calibri"/>
            <family val="34"/>
          </rPr>
          <t xml:space="preserve">Wild value of 2.273 value in Espinoza, 2002. Body Size, Temperature, and the Evolution of Herbivory in Reptiles. PhD Thesis
</t>
        </r>
      </text>
    </comment>
    <comment ref="M60" authorId="1" shapeId="0" xr:uid="{B8A303A3-0BC6-634E-B7C7-20413FE3AA80}">
      <text>
        <r>
          <rPr>
            <b/>
            <sz val="10"/>
            <color rgb="FF000000"/>
            <rFont val="Tahoma"/>
            <family val="2"/>
          </rPr>
          <t>Constantin George Glen:</t>
        </r>
        <r>
          <rPr>
            <sz val="10"/>
            <color rgb="FF000000"/>
            <rFont val="Tahoma"/>
            <family val="2"/>
          </rPr>
          <t xml:space="preserve">
</t>
        </r>
        <r>
          <rPr>
            <sz val="10"/>
            <color rgb="FF000000"/>
            <rFont val="Tahoma"/>
            <family val="2"/>
          </rPr>
          <t xml:space="preserve">was </t>
        </r>
        <r>
          <rPr>
            <sz val="10"/>
            <color rgb="FF000000"/>
            <rFont val="Calibri"/>
            <family val="2"/>
          </rPr>
          <t>0.197230769</t>
        </r>
        <r>
          <rPr>
            <sz val="10"/>
            <color rgb="FF000000"/>
            <rFont val="Tahoma"/>
            <family val="2"/>
          </rPr>
          <t xml:space="preserve"> in da Silva et al 2022 to </t>
        </r>
        <r>
          <rPr>
            <b/>
            <sz val="10"/>
            <color rgb="FF000000"/>
            <rFont val="Calibri"/>
            <family val="2"/>
          </rPr>
          <t>622</t>
        </r>
        <r>
          <rPr>
            <sz val="10"/>
            <color rgb="FF000000"/>
            <rFont val="Calibri"/>
            <family val="2"/>
          </rPr>
          <t>g</t>
        </r>
        <r>
          <rPr>
            <sz val="10"/>
            <color rgb="FF000000"/>
            <rFont val="Tahoma"/>
            <family val="2"/>
          </rPr>
          <t xml:space="preserve"> from Nasirudin et al 2021, </t>
        </r>
        <r>
          <rPr>
            <b/>
            <i/>
            <sz val="10"/>
            <color rgb="FF000000"/>
            <rFont val="Calibri"/>
            <family val="2"/>
          </rPr>
          <t>In-Situ</t>
        </r>
        <r>
          <rPr>
            <b/>
            <sz val="10"/>
            <color rgb="FF000000"/>
            <rFont val="Calibri"/>
            <family val="2"/>
          </rPr>
          <t xml:space="preserve"> Conservation of </t>
        </r>
        <r>
          <rPr>
            <b/>
            <i/>
            <sz val="10"/>
            <color rgb="FF000000"/>
            <rFont val="Calibri"/>
            <family val="2"/>
          </rPr>
          <t>Siebenrockiella crassicollis</t>
        </r>
        <r>
          <rPr>
            <sz val="10"/>
            <color rgb="FF000000"/>
            <rFont val="Calibri"/>
            <family val="2"/>
          </rPr>
          <t xml:space="preserve">
</t>
        </r>
        <r>
          <rPr>
            <b/>
            <sz val="10"/>
            <color rgb="FF000000"/>
            <rFont val="Calibri"/>
            <family val="2"/>
          </rPr>
          <t>to develop the Psycomotors and Environmental</t>
        </r>
        <r>
          <rPr>
            <sz val="10"/>
            <color rgb="FF000000"/>
            <rFont val="Calibri"/>
            <family val="2"/>
          </rPr>
          <t xml:space="preserve">
</t>
        </r>
        <r>
          <rPr>
            <b/>
            <sz val="10"/>
            <color rgb="FF000000"/>
            <rFont val="Calibri"/>
            <family val="2"/>
          </rPr>
          <t>Awareness of Students</t>
        </r>
        <r>
          <rPr>
            <sz val="10"/>
            <color rgb="FF000000"/>
            <rFont val="Tahoma"/>
            <family val="2"/>
          </rPr>
          <t xml:space="preserve">. 
</t>
        </r>
        <r>
          <rPr>
            <sz val="10"/>
            <color rgb="FF000000"/>
            <rFont val="Tahoma"/>
            <family val="2"/>
          </rPr>
          <t xml:space="preserve">
</t>
        </r>
        <r>
          <rPr>
            <sz val="10"/>
            <color rgb="FF000000"/>
            <rFont val="Tahoma"/>
            <family val="2"/>
          </rPr>
          <t>These turtles on average weight 0.5kg</t>
        </r>
      </text>
    </comment>
    <comment ref="F71" authorId="1" shapeId="0" xr:uid="{5D245A67-DD28-0E47-908F-D06838DB537B}">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H72" authorId="1" shapeId="0" xr:uid="{98A208E6-3F79-E449-A4B4-B5AD49CD5D05}">
      <text>
        <r>
          <rPr>
            <b/>
            <sz val="10"/>
            <color rgb="FF000000"/>
            <rFont val="Tahoma"/>
            <family val="2"/>
          </rPr>
          <t>Constantin George Glen:</t>
        </r>
        <r>
          <rPr>
            <sz val="10"/>
            <color rgb="FF000000"/>
            <rFont val="Tahoma"/>
            <family val="2"/>
          </rPr>
          <t xml:space="preserve">
</t>
        </r>
        <r>
          <rPr>
            <sz val="10"/>
            <color rgb="FF000000"/>
            <rFont val="Tahoma"/>
            <family val="2"/>
          </rPr>
          <t xml:space="preserve">mean clutch size in the US is 10.5 eggs and mean clutch frequency is 2.5
</t>
        </r>
        <r>
          <rPr>
            <sz val="10"/>
            <color rgb="FF000000"/>
            <rFont val="Tahoma"/>
            <family val="2"/>
          </rPr>
          <t xml:space="preserve">
</t>
        </r>
        <r>
          <rPr>
            <sz val="10"/>
            <color rgb="FF000000"/>
            <rFont val="Tahoma"/>
            <family val="2"/>
          </rPr>
          <t>Ernest and Lovich 2009 pp 460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C1" authorId="0" shapeId="0" xr:uid="{71E7DB8D-2138-BE42-A426-2E06EC7579A7}">
      <text>
        <r>
          <rPr>
            <b/>
            <sz val="10"/>
            <color rgb="FF000000"/>
            <rFont val="Tahoma"/>
            <family val="2"/>
          </rPr>
          <t>Constantin George Glen:</t>
        </r>
        <r>
          <rPr>
            <sz val="10"/>
            <color rgb="FF000000"/>
            <rFont val="Tahoma"/>
            <family val="2"/>
          </rPr>
          <t xml:space="preserve">
</t>
        </r>
        <r>
          <rPr>
            <sz val="10"/>
            <color rgb="FF000000"/>
            <rFont val="Tahoma"/>
            <family val="2"/>
          </rPr>
          <t xml:space="preserve">If blank the body mass was taken from the Reinke et al 2022 (wild) or da Silva et al 2022 (captive)
</t>
        </r>
        <r>
          <rPr>
            <sz val="10"/>
            <color rgb="FF000000"/>
            <rFont val="Tahoma"/>
            <family val="2"/>
          </rPr>
          <t xml:space="preserve">
</t>
        </r>
        <r>
          <rPr>
            <sz val="10"/>
            <color rgb="FF000000"/>
            <rFont val="Calibri"/>
            <family val="2"/>
          </rPr>
          <t>da Silva, R., Conde, D.A., Baudisch, A. and Colchero, F., 2022. Slow and negligible senescence among testudines challenges evolutionary theories of senescence.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pp.1466-1470.</t>
        </r>
        <r>
          <rPr>
            <sz val="10"/>
            <color rgb="FF000000"/>
            <rFont val="Tahoma"/>
            <family val="2"/>
          </rPr>
          <t xml:space="preserve">
</t>
        </r>
        <r>
          <rPr>
            <sz val="10"/>
            <color rgb="FF000000"/>
            <rFont val="Tahoma"/>
            <family val="2"/>
          </rPr>
          <t xml:space="preserve">
</t>
        </r>
        <r>
          <rPr>
            <sz val="10"/>
            <color rgb="FF000000"/>
            <rFont val="Calibri"/>
            <family val="2"/>
          </rPr>
          <t>Reinke, B.A., Cayuela, H., Janzen, F.J., Lemaître, J.F., Gaillard, J.M., Lawing, A.M., Iverson, J.B., Christiansen, D.G., Martínez-Solano, I., Sánchez-Montes, G. and Gutiérrez-Rodríguez, J., 2022. Diverse aging rates in ectothermic tetrapods provide insights for the evolution of aging and longevity.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pp.1459-1466.</t>
        </r>
      </text>
    </comment>
  </commentList>
</comments>
</file>

<file path=xl/sharedStrings.xml><?xml version="1.0" encoding="utf-8"?>
<sst xmlns="http://schemas.openxmlformats.org/spreadsheetml/2006/main" count="1069" uniqueCount="293">
  <si>
    <t>species</t>
  </si>
  <si>
    <t>class</t>
  </si>
  <si>
    <t>maxLong</t>
  </si>
  <si>
    <t>habitat</t>
  </si>
  <si>
    <t>hibernation</t>
  </si>
  <si>
    <t>afr</t>
  </si>
  <si>
    <t>Mean.EX.Female</t>
  </si>
  <si>
    <t>SD.EX.Female</t>
  </si>
  <si>
    <t>Lower.EX.Female</t>
  </si>
  <si>
    <t>Upper.EX.Female</t>
  </si>
  <si>
    <t>Mean.AR.Female</t>
  </si>
  <si>
    <t>SD.AR.Female</t>
  </si>
  <si>
    <t>Lower.AR.Female</t>
  </si>
  <si>
    <t>Upper.AR.Female</t>
  </si>
  <si>
    <t>Aquatic</t>
  </si>
  <si>
    <t>Terrestrial</t>
  </si>
  <si>
    <t>AreprFemales</t>
  </si>
  <si>
    <t>https://reptilesmagazine.com/the-vietnamese-black-breasted-leaf-turtle/</t>
  </si>
  <si>
    <t>clutchMass</t>
  </si>
  <si>
    <t>Species</t>
  </si>
  <si>
    <t>Annual reproductive output</t>
  </si>
  <si>
    <t>Egg mass</t>
  </si>
  <si>
    <t>Hatchling mass</t>
  </si>
  <si>
    <t>TRAFFIC. "Inspection Manual for use in Commercial Reptile Breeding Facilities in Southeast Asia." (2013).</t>
  </si>
  <si>
    <t>eggMass</t>
  </si>
  <si>
    <t>hatchlingMass</t>
  </si>
  <si>
    <t>hatchlingLength</t>
  </si>
  <si>
    <t>femaleMass</t>
  </si>
  <si>
    <t>Icsort</t>
  </si>
  <si>
    <t>Hatchling length</t>
  </si>
  <si>
    <t>Augustine and Haislip, 2019. Husbandry and reproduction of the Indochinese box turtle Cuora galbinifrons, Bourret's box turtle Cuora bourreti and Southern Vietnam box turtle Cuora picturata in North America. International Zoo Yearbook 53.1: 238-249.</t>
  </si>
  <si>
    <t>https://www.tortoisetrust.org/articles/kandb.htm</t>
  </si>
  <si>
    <t>Legler and Vogt, 2013. The tuertles of Mexico, land and freshwater forms. University of Claifornia press. California.</t>
  </si>
  <si>
    <t>Source</t>
  </si>
  <si>
    <t>mortality.est.method</t>
  </si>
  <si>
    <t>CMR-BaSTA</t>
  </si>
  <si>
    <t>CMR-BaSTA.DC</t>
  </si>
  <si>
    <t>CMR-BaSTA.census</t>
  </si>
  <si>
    <t>Mauremys_reevesii</t>
  </si>
  <si>
    <t>Cuora_galbinifrons</t>
  </si>
  <si>
    <t>Cuora_trifasciata</t>
  </si>
  <si>
    <t>Cuora_amboinensis</t>
  </si>
  <si>
    <t>Heosemys_grandis</t>
  </si>
  <si>
    <t>Geoclemys_hamiltonii</t>
  </si>
  <si>
    <t>Batagur_borneoensis</t>
  </si>
  <si>
    <t>Siebenrockiella_crassicollis</t>
  </si>
  <si>
    <t>Geoemyda_spengleri</t>
  </si>
  <si>
    <t>Indotestudo_forstenii</t>
  </si>
  <si>
    <t>Indotestudo_elongata</t>
  </si>
  <si>
    <t>Malacochersus_tornieri</t>
  </si>
  <si>
    <t>Testudo_marginata</t>
  </si>
  <si>
    <t>Testudo_kleinmanni</t>
  </si>
  <si>
    <t>Testudo_graeca</t>
  </si>
  <si>
    <t>Testudo_horsfieldii</t>
  </si>
  <si>
    <t>Kinixys_homeana</t>
  </si>
  <si>
    <t>Kinixys_belliana</t>
  </si>
  <si>
    <t>Geochelone_elegans</t>
  </si>
  <si>
    <t>Chelonoidis_niger</t>
  </si>
  <si>
    <t>Chelonoidis_chilensis</t>
  </si>
  <si>
    <t>Stigmochelys_pardalis</t>
  </si>
  <si>
    <t>Chersina_angulata</t>
  </si>
  <si>
    <t>Pyxis_arachnoides</t>
  </si>
  <si>
    <t>Pyxis_planicauda</t>
  </si>
  <si>
    <t>Aldabrachelys_gigantea</t>
  </si>
  <si>
    <t>Gopherus_polyphemus</t>
  </si>
  <si>
    <t>Gopherus_berlandieri</t>
  </si>
  <si>
    <t>Gopherus_agassizii</t>
  </si>
  <si>
    <t>Glyptemys_insculpta</t>
  </si>
  <si>
    <t>Glyptemys_muhlenbergii</t>
  </si>
  <si>
    <t>Clemmys_guttata</t>
  </si>
  <si>
    <t>Trachemys_callirostris</t>
  </si>
  <si>
    <t>Graptemys_pseudogeographica</t>
  </si>
  <si>
    <t>Macrochelys_temminckii</t>
  </si>
  <si>
    <t>Sternotherus_odoratus</t>
  </si>
  <si>
    <t>Kinosternon_leucostomum</t>
  </si>
  <si>
    <t>Apalone_spinifera</t>
  </si>
  <si>
    <t>Apalone_ferox</t>
  </si>
  <si>
    <t>Pelodiscus_sinensis</t>
  </si>
  <si>
    <t>Pelomedusa_subrufa</t>
  </si>
  <si>
    <t>Pelusios_castaneus</t>
  </si>
  <si>
    <t>Podocnemis_unifilis</t>
  </si>
  <si>
    <t>Chelodina_mccordi</t>
  </si>
  <si>
    <t>Chelodina_longicollis</t>
  </si>
  <si>
    <t>Chelus_fimbriatus</t>
  </si>
  <si>
    <t>Platemys_platycephala</t>
  </si>
  <si>
    <t>Emydoidea_blandingii</t>
  </si>
  <si>
    <t>Chelonia_mydas</t>
  </si>
  <si>
    <t>Emys_orbicularis</t>
  </si>
  <si>
    <t>Emys_orbicularis1</t>
  </si>
  <si>
    <t>Emys_orbicularis2</t>
  </si>
  <si>
    <t>Graptemys_flavimaculata1</t>
  </si>
  <si>
    <t>Chrysemys_picta1</t>
  </si>
  <si>
    <t>Chrysemys_picta2</t>
  </si>
  <si>
    <t>Chelydra_serpentina1</t>
  </si>
  <si>
    <t>Graptemys_geographica</t>
  </si>
  <si>
    <t>Hydromedusa_maximiliani</t>
  </si>
  <si>
    <t>Kinosternon_flavescens</t>
  </si>
  <si>
    <t>Mauremys_rivulata</t>
  </si>
  <si>
    <t>Pseudemys_texana</t>
  </si>
  <si>
    <t>Terrapene_ornata</t>
  </si>
  <si>
    <t>Testudo_hermanni1</t>
  </si>
  <si>
    <t>Trachemys_scripta1</t>
  </si>
  <si>
    <t>Trachemys_scripta2</t>
  </si>
  <si>
    <t xml:space="preserve">Reinke et al. 2022 </t>
  </si>
  <si>
    <t>This study</t>
  </si>
  <si>
    <t>https://animaldiversity.org/accounts/Graptemys_flavimaculata/</t>
  </si>
  <si>
    <t>https://en.wikipedia.org/wiki/Balkan_terrapin</t>
  </si>
  <si>
    <t xml:space="preserve">species name separated by an underscore for that dataset. Naming conventions follow that of the tree source. Multiple populations of the same species are denoted with a number after the name. </t>
  </si>
  <si>
    <t>Trachemys_scripta</t>
  </si>
  <si>
    <t>Graptemys_flavimaculata</t>
  </si>
  <si>
    <t>Chrysemys_picta</t>
  </si>
  <si>
    <t>Chelydra_serpentina</t>
  </si>
  <si>
    <t>Testudo_hermanni</t>
  </si>
  <si>
    <t>Chelonia_mydas1</t>
  </si>
  <si>
    <t>Chelonia_mydas2</t>
  </si>
  <si>
    <t>Sternotherus_odoratus1</t>
  </si>
  <si>
    <t>https://life4mauremys.agr.hr/en/91/First+hatchlings+at+the+Zagreb+Zoo</t>
  </si>
  <si>
    <t>location</t>
  </si>
  <si>
    <t>Variable</t>
  </si>
  <si>
    <t>Traits were estimated at the population level, "pop", or group level (for CTC green turtles)</t>
  </si>
  <si>
    <t>Body mass in kilograms</t>
  </si>
  <si>
    <t>Egg mass in kilograms</t>
  </si>
  <si>
    <t>Hatchling length in cm</t>
  </si>
  <si>
    <t>Hatchling mass in kilograms</t>
  </si>
  <si>
    <t>The age at first reproduction for that species</t>
  </si>
  <si>
    <t>Annual fecundity is the average number of offspring produced by an individual of that species per year</t>
  </si>
  <si>
    <t>status</t>
  </si>
  <si>
    <t>wild</t>
  </si>
  <si>
    <t>captive</t>
  </si>
  <si>
    <t>da Silva et al. 2022</t>
  </si>
  <si>
    <t>type</t>
  </si>
  <si>
    <t>other_testudine</t>
  </si>
  <si>
    <t>sea_turtle</t>
  </si>
  <si>
    <t>ZIMS</t>
  </si>
  <si>
    <t>CTC - OTN</t>
  </si>
  <si>
    <t>USA - Texas</t>
  </si>
  <si>
    <t>USA - Wisconsin</t>
  </si>
  <si>
    <t>USA - Michigan</t>
  </si>
  <si>
    <t>France</t>
  </si>
  <si>
    <t>USA - Mississippi</t>
  </si>
  <si>
    <t>USA - Indiana</t>
  </si>
  <si>
    <t>Brazil</t>
  </si>
  <si>
    <t>USA - Nebraska</t>
  </si>
  <si>
    <t>Serbia</t>
  </si>
  <si>
    <t>Greece</t>
  </si>
  <si>
    <t>USA</t>
  </si>
  <si>
    <t>CTC - MSN</t>
  </si>
  <si>
    <t>hatchlingMassKG</t>
  </si>
  <si>
    <t>clutchMassKG</t>
  </si>
  <si>
    <t>eggMassKG</t>
  </si>
  <si>
    <t>femaleMassKG</t>
  </si>
  <si>
    <t>AnnualRepOut</t>
  </si>
  <si>
    <t>Mean life expectancy in years</t>
  </si>
  <si>
    <t>Standard deviation in life expectancy in years</t>
  </si>
  <si>
    <t>Upper 95% CI for life expectancy in years</t>
  </si>
  <si>
    <t>Lower 95% CI for life expectancy in years</t>
  </si>
  <si>
    <t>The method mortality rate was estimates</t>
  </si>
  <si>
    <t>Mean aging rate</t>
  </si>
  <si>
    <t>Standard deviation in aging rate</t>
  </si>
  <si>
    <t>Lower 95% CI for aging rate</t>
  </si>
  <si>
    <t>Upper 95% CI for aging rate</t>
  </si>
  <si>
    <t>Mass of egg produced in kg per reproductive season</t>
  </si>
  <si>
    <t>If an turtle hibrinates</t>
  </si>
  <si>
    <t>Maximum years lived</t>
  </si>
  <si>
    <t xml:space="preserve">type of habitat a species can be found in </t>
  </si>
  <si>
    <t>Source for life history data</t>
  </si>
  <si>
    <t>Allen et al 2017</t>
  </si>
  <si>
    <t>Myhrvold et al 2015</t>
  </si>
  <si>
    <t>Espinoza 2002</t>
  </si>
  <si>
    <t>Werner and Griebeler 2010</t>
  </si>
  <si>
    <t>References</t>
  </si>
  <si>
    <t>Myhrvold, N.P., Baldridge, E., Chan, B., Sivam, D., Freeman, D.L. and Ernest, S.M., 2015. An amniote life‐history database to perform comparative analyses with birds, mammals, and reptiles: Ecological Archives E096‐269. Ecology, 96(11), pp.3109-3109.</t>
  </si>
  <si>
    <t>Allen, W.L., Street, S.E. and Capellini, I., 2017. Fast life history traits promote invasion success in amphibians and reptiles. Ecology letters, 20(2), pp.222-230.</t>
  </si>
  <si>
    <t>Augustine and Haislip 2019</t>
  </si>
  <si>
    <t>Conde et al 2019</t>
  </si>
  <si>
    <t>Conde, D.A., Staerk, J., Colchero, F., da Silva, R., Schöley, J., Baden, H.M., Jouvet, L., Fa, J.E., Syed, H., Jongejans, E. and Meiri, S., 2019. Data gaps and opportunities for comparative and conservation biology. Proceedings of the National Academy of Sciences, 116(19), pp.9658-9664.</t>
  </si>
  <si>
    <t>Famelli, S., Adriano, L.R., Pinheiro, S.C., Souza, F.L. and Bertoluci, J., 2014. Reproductive biology of the freshwater turtle Hydromedusa maximiliani (Chelidae) from southeastern Brazil. Chelonian Conservation and Biology, 13(1), pp.81-88.</t>
  </si>
  <si>
    <t>IUCN</t>
  </si>
  <si>
    <t>IUCN; TRAFFIC 2013</t>
  </si>
  <si>
    <t>TRAFFIC 2013</t>
  </si>
  <si>
    <t>Legler and Vogt 2013</t>
  </si>
  <si>
    <t>Famelli et al 2014</t>
  </si>
  <si>
    <t>Mahoney et al 2015</t>
  </si>
  <si>
    <t>Mahoney, P.J., Beard, K.H., Durso, A.M., Tallian, A.G., Long, A.L., Kindermann, R.J., Nolan, N.E., Kinka, D. and Mohn, H.E., 2015. Introduction effort, climate matching and species traits as predictors of global establishment success in non‐native reptiles. Diversity and Distributions, 21(1), pp.64-74.</t>
  </si>
  <si>
    <t>Myhrvold et al 2015; Rachmansah 2015</t>
  </si>
  <si>
    <t>Rachmansah, A., 2015. Life history traits, latitude, and sustainable harvesting in freshwater turtles. State University of New York College of Environmental Science and Forestry.</t>
  </si>
  <si>
    <t>Rachmansah 2015</t>
  </si>
  <si>
    <t>Jorgewich-Cohen, G., Henrique, R.S., Dias, P.H. and Sánchez-Villagra, M.R., 2022. The evolution of reproductive strategies in turtles. PeerJ, 10, p.e13014.</t>
  </si>
  <si>
    <t>Jorgewich-Cohen et al 2020</t>
  </si>
  <si>
    <t>Rachmansah et al 2020</t>
  </si>
  <si>
    <t>Rachmansah, A., Norris, D. and Gibbs, J.P., 2020. Population dynamics and biological feasibility of sustainable harvesting as a conservation strategy for tropical and temperate freshwater turtles. PloS one, 15(2), p.e0229689.</t>
  </si>
  <si>
    <t>Ye et al 2019</t>
  </si>
  <si>
    <t>Ye, Y.Z., Ma, L., Sun, B.J., Li, T., Wang, Y., Shine, R. and Du, W.G., 2019. The embryos of turtles can influence their own sexual destinies. Current Biology, 29(16), pp.2597-2603.</t>
  </si>
  <si>
    <t>Goode and Ewert 2006</t>
  </si>
  <si>
    <t>Goode, J.M. and Ewert, M.A., 2006. Reproductive trends in captive Heosemys grandis (Geoemydidae). Chelonian Conservation and Biology, 5(1), pp.165-169.</t>
  </si>
  <si>
    <t>weblink1</t>
  </si>
  <si>
    <t>weblink2</t>
  </si>
  <si>
    <t>Swingland and Klemens 1989</t>
  </si>
  <si>
    <t>Swingland, I.R. and Klemens, M.W. eds., 1989. The conservation biology of tortoises (Vol. 5). Iucn.</t>
  </si>
  <si>
    <t>Turtles of the World</t>
  </si>
  <si>
    <t>Conde et al 2019; Turtles of the World</t>
  </si>
  <si>
    <t>Geoclemys hamiltonii: Turtles of the World (https://turtles.linnaeus.naturalis.nl/linnaeus_ng/app/views/species/taxon.php?id=8033)</t>
  </si>
  <si>
    <t>Cuora amboinensis: IUCN (https://www.iucnredlist.org/species/5958/3078812)</t>
  </si>
  <si>
    <t>Cuora galbinifrons: IUCN (https://www.iucnredlist.org/species/97357437/123816666#habitat-ecology)</t>
  </si>
  <si>
    <t>Cuora trifasciata: IUCN (https://www.iucnredlist.org/species/123768950/123769768)</t>
  </si>
  <si>
    <t>Malacochersus tornieri: IUCN (https://www.iucnredlist.org/species/12696/508210#habitat-ecology)</t>
  </si>
  <si>
    <t>Trachemys scripta: IUCN (https://www.iucnredlist.org/species/22028/97429935#habitat-ecology)</t>
  </si>
  <si>
    <t>Apalone ferox: Turtles of the World (https://turtles.linnaeus.naturalis.nl/linnaeus_ng/app/views/species/taxon.php?id=7998)</t>
  </si>
  <si>
    <t>Chelodina longicollis: Turtles of the World (https://turtles.linnaeus.naturalis.nl/linnaeus_ng/app/views/species/taxon.php?id=7925)</t>
  </si>
  <si>
    <t>Chelydra serpentina: Turtles of the World (https://turtles.linnaeus.naturalis.nl/linnaeus_ng/app/views/species/taxon.php?id=7968)</t>
  </si>
  <si>
    <t>Chersina angulata: Turtles of the World (https://turtles.linnaeus.naturalis.nl/linnaeus_ng/app/views/species/taxon.php?id=8140)</t>
  </si>
  <si>
    <t>Chrysemys picta: Turtles of the World (https://turtles.linnaeus.naturalis.nl/linnaeus_ng/app/views/species/taxon.php?id=8102)</t>
  </si>
  <si>
    <t>Clemmys guttata: Turtles of the World (https://turtles.linnaeus.naturalis.nl/linnaeus_ng/app/views/species/taxon.php?id=8092)</t>
  </si>
  <si>
    <t>Emydoidea_blandingii: Turtles of the World (https://turtles.linnaeus.naturalis.nl/linnaeus_ng/app/views/species/taxon.php?id=8097)</t>
  </si>
  <si>
    <t>Emys_orbicularis: Turtles of the World (https://turtles.linnaeus.naturalis.nl/linnaeus_ng/app/views/species/taxon.php?id=8096)</t>
  </si>
  <si>
    <t>Geochelone elegans: Turtles of the World (https://turtles.linnaeus.naturalis.nl/linnaeus_ng/app/views/species/taxon.php?id=8153)</t>
  </si>
  <si>
    <t>Glyptemys insculpta: Turtles of the World (https://turtles.linnaeus.naturalis.nl/linnaeus_ng/app/views/species/taxon.php?id=8094)</t>
  </si>
  <si>
    <t>Glyptemys muhlenbergii: Turtles of the World (https://turtles.linnaeus.naturalis.nl/linnaeus_ng/app/views/species/taxon.php?id=8093)</t>
  </si>
  <si>
    <t>Gopherus agassizii: Turtles of the World (https://turtles.linnaeus.naturalis.nl/linnaeus_ng/app/views/species/taxon.php?id=8185)</t>
  </si>
  <si>
    <t>Gopherus berlandieri: Turtles of the World (https://turtles.linnaeus.naturalis.nl/linnaeus_ng/app/views/species/taxon.php?id=8186)</t>
  </si>
  <si>
    <t>Gopherus polyphemus: Turtles of the World (https://turtles.linnaeus.naturalis.nl/linnaeus_ng/app/views/species/taxon.php?id=8184)</t>
  </si>
  <si>
    <t>Graptemys pseudogeographica: Turtles of the World (https://turtles.linnaeus.naturalis.nl/linnaeus_ng/app/views/species/taxon.php?id=8125)</t>
  </si>
  <si>
    <t>Graptemys_geographica: Turtles of the World (https://turtles.linnaeus.naturalis.nl/linnaeus_ng/app/views/species/taxon.php?id=8119)</t>
  </si>
  <si>
    <t>Indotestudo elongata: Turtles of the World (https://turtles.linnaeus.naturalis.nl/linnaeus_ng/app/views/species/taxon.php?id=8151)</t>
  </si>
  <si>
    <t>Kinixys homeana: Turtles of the World (https://turtles.linnaeus.naturalis.nl/linnaeus_ng/app/views/species/taxon.php?id=8136)</t>
  </si>
  <si>
    <t>Kinosternon leucostomum: Turtles of the World (https://turtles.linnaeus.naturalis.nl/linnaeus_ng/app/views/species/taxon.php?id=8016)</t>
  </si>
  <si>
    <t>Kinosternon_flavescens: Turtles of the World (https://turtles.linnaeus.naturalis.nl/linnaeus_ng/app/views/species/taxon.php?id=8025)</t>
  </si>
  <si>
    <t>Macrochelys temminckii: Turtles of the World (https://turtles.linnaeus.naturalis.nl/linnaeus_ng/app/views/species/taxon.php?id=7971)</t>
  </si>
  <si>
    <t>Pelodiscus sinensis: Turtles of the World (https://turtles.linnaeus.naturalis.nl/linnaeus_ng/app/views/species/taxon.php?id=7983)</t>
  </si>
  <si>
    <t>Pelomedusa subrufa: Turtles of the World (https://turtles.linnaeus.naturalis.nl/linnaeus_ng/app/views/species/taxon.php?id=7900)</t>
  </si>
  <si>
    <t>Pelusios castaneus: Turtles of the World (https://turtles.linnaeus.naturalis.nl/linnaeus_ng/app/views/species/taxon.php?id=7905)</t>
  </si>
  <si>
    <t>Platemys platycephala: Turtles of the World (https://turtles.linnaeus.naturalis.nl/linnaeus_ng/app/views/species/taxon.php?id=7962)</t>
  </si>
  <si>
    <t>Podocnemis unifilis: Turtles of the World (https://turtles.linnaeus.naturalis.nl/linnaeus_ng/app/views/species/taxon.php?id=7921)</t>
  </si>
  <si>
    <t>Sternotherus odoratus: Turtles of the World (https://turtles.linnaeus.naturalis.nl/linnaeus_ng/app/views/species/nsr_taxon.php?id=8008)</t>
  </si>
  <si>
    <t>Testudo graeca: Turtles of the World (https://turtles.linnaeus.naturalis.nl/linnaeus_ng/app/views/species/taxon.php?id=8177)</t>
  </si>
  <si>
    <t>Testudo hermanni: Turtles of the World (https://turtles.linnaeus.naturalis.nl/linnaeus_ng/app/views/species/taxon.php?id=8178)</t>
  </si>
  <si>
    <t>Testudo horsfieldii: Turtles of the World (https://turtles.linnaeus.naturalis.nl/linnaeus_ng/app/views/species/taxon.php?id=8179)</t>
  </si>
  <si>
    <t>Testudo kleinmanni: Turtles of the World (https://turtles.linnaeus.naturalis.nl/linnaeus_ng/app/views/species/taxon.php?id=8180)</t>
  </si>
  <si>
    <t>Testudo marginata: Turtles of the World (https://turtles.linnaeus.naturalis.nl/linnaeus_ng/app/views/species/taxon.php?id=8181)</t>
  </si>
  <si>
    <t>Espinoza, R.E., 2002. Body size, temperature, and the evolution of herbivory in reptiles. University of Nevada, Reno.</t>
  </si>
  <si>
    <t>Guisheng and Dayou 2002</t>
  </si>
  <si>
    <t>Guisheng, L. and Dayou, T., 2002. Study on the breeding ecology of Cuora trifasciata. Ecologic Science, 21(2), pp.112-114.</t>
  </si>
  <si>
    <t>weblink3</t>
  </si>
  <si>
    <t>weblink4</t>
  </si>
  <si>
    <t>Novelli, I.A. and de Sousa, B.M., 2008. Hydromedusa maximiliani (Brazilian snake-necked turtle). Hatchling size and body mass. Herpetological Review, 39(3), pp.344-345.</t>
  </si>
  <si>
    <t>Novelli and de Sousa 2008</t>
  </si>
  <si>
    <t>Blackwell 1968</t>
  </si>
  <si>
    <t>Blackwell, K., 1968. Some observations on the hatching and growth of the African tortoise Kinixys homeana. British Journal of Herpetology, 4, pp.40-41.</t>
  </si>
  <si>
    <t>Galgon 1991</t>
  </si>
  <si>
    <t>Galgon, F., 2002. Captive bred hybrids between Chinemys reevesii (Gray, 1831) and Cuora amboinensis kamaroma Rummler &amp; Fritz, 1991. Herpetozoa, 15(3/4), pp.137-148.</t>
  </si>
  <si>
    <t>weblink5</t>
  </si>
  <si>
    <t>weblink6</t>
  </si>
  <si>
    <t>Siebenrockiella crassicollis: Turtles of the World (https://turtles.linnaeus.naturalis.nl/linnaeus_ng/app/views/species/taxon.php?id=8050)</t>
  </si>
  <si>
    <t>Body mass</t>
  </si>
  <si>
    <t>Congdon, J.D., Breitenbach, G.L., van Loben Sels, R.C. and Tinkle, D.W., 1987. Reproduction and nesting ecology of snapping turtles (Chelydra serpentina) in southeastern Michigan. Herpetologica, pp.39-54.</t>
  </si>
  <si>
    <t>Congdon et al 1987</t>
  </si>
  <si>
    <t>Iverson, J.B., Balgooyen, C.P., Byrd, K.K. and Lyddan, K.K., 1993. Latitudinal variation in egg and clutch size in turtles. Canadian Journal of Zoology, 71(12), pp.2448-2461.</t>
  </si>
  <si>
    <t>Iverson et al 1993</t>
  </si>
  <si>
    <t>da Silva et al 2022</t>
  </si>
  <si>
    <t>da Silva, R., Conde, D.A., Baudisch, A. and Colchero, F., 2022. Slow and negligible senescence among testudines challenges evolutionary theories of senescence. Science, 376(6600), pp.1466-1470.</t>
  </si>
  <si>
    <t>Reinke et al 2022</t>
  </si>
  <si>
    <t>Reinke, B.A., Cayuela, H., Janzen, F.J., Lemaître, J.F., Gaillard, J.M., Lawing, A.M., Iverson, J.B., Christiansen, D.G., Martínez-Solano, I., Sánchez-Montes, G. and Gutiérrez-Rodríguez, J., 2022. Diverse aging rates in ectothermic tetrapods provide insights for the evolution of aging and longevity. Science, 376(6600), pp.1459-1466.</t>
  </si>
  <si>
    <t>Kayat and Saragih 2021</t>
  </si>
  <si>
    <t>Kayat and Saragih, G.S., 2021, December. Reproductive biology of the Rote Snake-necked Turtle Chelodina mccordi (Rhodin, 1994) in Oelsonbai Captivity, Kupang. In IOP Conference Series: Earth and Environmental Science (Vol. 948, No. 1, p. 012021). IOP Publishing.</t>
  </si>
  <si>
    <t>da Silva et al 2022; Myhrvold et al 2015</t>
  </si>
  <si>
    <t>spID</t>
  </si>
  <si>
    <t>Zuffi, M.A.L., Odetti, F. and Meozzi, P., 1999. Body size and clutch size in the European pond turtle (Emys orbicularis) from central Italy. Journal of Zoology, 247(2), pp.139-143.</t>
  </si>
  <si>
    <t>Zuffi et al 1999</t>
  </si>
  <si>
    <t>Zuffi, M.A.L., Celani, A., Foschi, E. and Tripepi, S., 2007. Reproductive strategies and body shape in the European pond turtle (Emys orbicularis) from contrasting habitats in Italy. Journal of Zoology, 271(2), pp.218-224.</t>
  </si>
  <si>
    <t>Zuffi et al 2007</t>
  </si>
  <si>
    <t>Zuffi et al 1999; Zuffi et al 2007</t>
  </si>
  <si>
    <t>Ayaz, D., Çiçek, K., Bayrakci, Y. and Tok, C.V., 2017. Reproductive ecology of the European pond turtle, Emys orbicularis (Linnaeus, 1758), from Mediterranean Turkey. Acta Zool Bulg, 10(Suppl), pp.23-29.</t>
  </si>
  <si>
    <t>Ayaz et al 2017</t>
  </si>
  <si>
    <t>Novotný, M., Danko, S. and Havaš, P., 2004. Activity cycle and reproductive characteristics of the European pond turtle (Emys orbicularis) in the Tajba National Nature Reserve, Slovakia. Biologia, 59(14), pp.113-121.</t>
  </si>
  <si>
    <t>Novotný et al 2004</t>
  </si>
  <si>
    <t>Zuffi et al 2006</t>
  </si>
  <si>
    <t>Zuffi et al 1999; Ayaz et al 2017, Novotný et al 2004, Zuffi et al 2006</t>
  </si>
  <si>
    <t>Hailey, A.D.R.I.A.N. and Coulson, I.M., 1996. Nesting behaviour and clutch and egg size of the hingeback tortoise Kinixys spekii. BULLETIN-BRITISH HERPETOLOGICAL SOCIETY, pp.11-18.</t>
  </si>
  <si>
    <t>Hailey and Coulson 1996</t>
  </si>
  <si>
    <t>Allen et al 2017 (also see Hailey and Coulson 1996)</t>
  </si>
  <si>
    <t>University of the West Indies. (2024). Podocnemis unifilis - Yellow-headed Sideneck Turtle. Retrieved from https://sta.uwi.edu/fst/lifesciences/sites/default/files/lifesciences/documents/ogatt/Podocnemis_unifilis%20-%20Yellow-headed%20Sideneck%20Turtle.pdf</t>
  </si>
  <si>
    <t>University of the West Indies (2024)</t>
  </si>
  <si>
    <t>Myhrvold et al 2015 (also see University of the West Indies (2024))</t>
  </si>
  <si>
    <t>da Silva et al 2022; Allen et al 2017</t>
  </si>
  <si>
    <t>Lindeman, P.V., 2013. The map turtle and sawback atlas: ecology, evolution, distribution, and conservation (Vol. 12). University of Oklahoma Press.</t>
  </si>
  <si>
    <t>Lindeman 2013</t>
  </si>
  <si>
    <t>Ernst, C.H. and Lovich, J.E., 2009. Turtles of the united states and Canada. JHU Press.</t>
  </si>
  <si>
    <t>Ernest and Lovich 2009</t>
  </si>
  <si>
    <t>Jones, R.L., 1996. Home range and seasonal movements of the turtle Graptemys flavimaculata. Journal of Herpetology, pp.376-385.</t>
  </si>
  <si>
    <t>Jones 1996</t>
  </si>
  <si>
    <t>Vogt, R.C. and Guzman, S.G., 1988. Food partitioning in a neotropical freshwater turtle community. Copeia, pp.37-47.</t>
  </si>
  <si>
    <t>Vogt and Guzman 1988</t>
  </si>
  <si>
    <t>CTC -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</si>
</sst>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i/>
      <sz val="10"/>
      <color rgb="FF000000"/>
      <name val="Calibri"/>
      <family val="2"/>
    </font>
    <font>
      <sz val="12"/>
      <color rgb="FF000000"/>
      <name val="Calibri"/>
      <family val="2"/>
      <scheme val="minor"/>
    </font>
    <font>
      <sz val="12"/>
      <color theme="1"/>
      <name val="Calibri"/>
      <family val="2"/>
    </font>
    <font>
      <sz val="12"/>
      <color rgb="FF000000"/>
      <name val="Calibri"/>
      <family val="2"/>
    </font>
    <font>
      <sz val="10"/>
      <color rgb="FF000000"/>
      <name val="Calibri"/>
      <family val="2"/>
    </font>
    <font>
      <b/>
      <sz val="10"/>
      <color rgb="FF000000"/>
      <name val="Calibri"/>
      <family val="2"/>
    </font>
    <font>
      <b/>
      <i/>
      <sz val="10"/>
      <color rgb="FF000000"/>
      <name val="Calibri"/>
      <family val="2"/>
    </font>
    <font>
      <sz val="8"/>
      <name val="Calibri"/>
      <family val="2"/>
      <scheme val="minor"/>
    </font>
    <font>
      <b/>
      <sz val="10"/>
      <color rgb="FF000000"/>
      <name val="Calibri"/>
      <family val="34"/>
    </font>
    <font>
      <sz val="10"/>
      <color rgb="FF000000"/>
      <name val="Calibri"/>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0" fillId="0" borderId="0" xfId="0" applyAlignment="1">
      <alignment vertical="center"/>
    </xf>
    <xf numFmtId="0" fontId="0" fillId="0" borderId="0" xfId="0" applyAlignment="1">
      <alignment vertical="center" wrapText="1"/>
    </xf>
    <xf numFmtId="2" fontId="0" fillId="0" borderId="0" xfId="0" applyNumberFormat="1"/>
    <xf numFmtId="0" fontId="21" fillId="0" borderId="0" xfId="0" applyFont="1"/>
    <xf numFmtId="0" fontId="0" fillId="0" borderId="0" xfId="0" applyAlignment="1">
      <alignment wrapText="1"/>
    </xf>
    <xf numFmtId="165" fontId="0" fillId="0" borderId="0" xfId="0" applyNumberFormat="1"/>
    <xf numFmtId="165" fontId="23" fillId="0" borderId="0" xfId="0" applyNumberFormat="1" applyFont="1"/>
    <xf numFmtId="0" fontId="22" fillId="0" borderId="0" xfId="0" applyFont="1"/>
    <xf numFmtId="0" fontId="23" fillId="0" borderId="0" xfId="0" applyFont="1"/>
    <xf numFmtId="2" fontId="23" fillId="0" borderId="0" xfId="0" applyNumberFormat="1" applyFont="1"/>
    <xf numFmtId="0" fontId="0" fillId="0" borderId="0" xfId="0" applyAlignment="1">
      <alignment horizontal="right"/>
    </xf>
    <xf numFmtId="165" fontId="22" fillId="0" borderId="0" xfId="0" applyNumberFormat="1" applyFont="1"/>
    <xf numFmtId="0" fontId="16" fillId="0" borderId="0" xfId="0" applyFont="1" applyAlignment="1">
      <alignment vertical="center"/>
    </xf>
    <xf numFmtId="0" fontId="16" fillId="0" borderId="0" xfId="0" applyFont="1"/>
    <xf numFmtId="0" fontId="21" fillId="0" borderId="0" xfId="0" applyFont="1" applyAlignment="1">
      <alignment vertical="center"/>
    </xf>
    <xf numFmtId="0" fontId="16" fillId="0" borderId="0" xfId="0" applyFont="1" applyAlignment="1">
      <alignment horizontal="center" vertical="center"/>
    </xf>
    <xf numFmtId="164" fontId="0" fillId="0" borderId="0" xfId="0" applyNumberFormat="1"/>
    <xf numFmtId="164" fontId="23"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BC4F-65F8-0C4D-999B-D2121CCA520E}">
  <dimension ref="A1:X76"/>
  <sheetViews>
    <sheetView tabSelected="1" zoomScaleNormal="172" workbookViewId="0">
      <pane xSplit="3" ySplit="1" topLeftCell="D2" activePane="bottomRight" state="frozenSplit"/>
      <selection pane="topRight" activeCell="I1" sqref="I1"/>
      <selection pane="bottomLeft" activeCell="A36" sqref="A36"/>
      <selection pane="bottomRight" activeCell="I15" sqref="I15"/>
    </sheetView>
  </sheetViews>
  <sheetFormatPr baseColWidth="10" defaultRowHeight="16" x14ac:dyDescent="0.2"/>
  <cols>
    <col min="1" max="1" width="4.6640625" bestFit="1" customWidth="1"/>
    <col min="2" max="2" width="27.5" bestFit="1" customWidth="1"/>
    <col min="3" max="3" width="8.6640625" bestFit="1" customWidth="1"/>
    <col min="4" max="4" width="15.33203125" bestFit="1" customWidth="1"/>
    <col min="5" max="5" width="14.1640625" bestFit="1" customWidth="1"/>
    <col min="6" max="6" width="11" bestFit="1" customWidth="1"/>
    <col min="7" max="7" width="9.6640625" bestFit="1" customWidth="1"/>
    <col min="8" max="8" width="15.5" bestFit="1" customWidth="1"/>
    <col min="9" max="9" width="15.1640625" bestFit="1" customWidth="1"/>
    <col min="10" max="10" width="17.83203125" bestFit="1" customWidth="1"/>
    <col min="11" max="11" width="16.6640625" bestFit="1" customWidth="1"/>
    <col min="12" max="12" width="13.33203125" bestFit="1" customWidth="1"/>
    <col min="13" max="13" width="16.1640625" bestFit="1" customWidth="1"/>
    <col min="14" max="14" width="6" bestFit="1" customWidth="1"/>
    <col min="15" max="15" width="21.1640625" bestFit="1" customWidth="1"/>
    <col min="16" max="16" width="17.5" bestFit="1" customWidth="1"/>
    <col min="17" max="17" width="15" bestFit="1" customWidth="1"/>
    <col min="18" max="20" width="17.83203125" bestFit="1" customWidth="1"/>
    <col min="21" max="21" width="15.33203125" bestFit="1" customWidth="1"/>
    <col min="22" max="23" width="18.1640625" bestFit="1" customWidth="1"/>
    <col min="24" max="24" width="16.83203125" bestFit="1" customWidth="1"/>
  </cols>
  <sheetData>
    <row r="1" spans="1:24" x14ac:dyDescent="0.2">
      <c r="A1" t="s">
        <v>265</v>
      </c>
      <c r="B1" t="s">
        <v>0</v>
      </c>
      <c r="C1" t="s">
        <v>126</v>
      </c>
      <c r="D1" t="s">
        <v>117</v>
      </c>
      <c r="E1" t="s">
        <v>130</v>
      </c>
      <c r="F1" t="s">
        <v>2</v>
      </c>
      <c r="G1" t="s">
        <v>3</v>
      </c>
      <c r="H1" t="s">
        <v>151</v>
      </c>
      <c r="I1" t="s">
        <v>148</v>
      </c>
      <c r="J1" t="s">
        <v>147</v>
      </c>
      <c r="K1" t="s">
        <v>26</v>
      </c>
      <c r="L1" t="s">
        <v>149</v>
      </c>
      <c r="M1" t="s">
        <v>150</v>
      </c>
      <c r="N1" t="s">
        <v>5</v>
      </c>
      <c r="O1" t="s">
        <v>34</v>
      </c>
      <c r="P1" t="s">
        <v>6</v>
      </c>
      <c r="Q1" t="s">
        <v>7</v>
      </c>
      <c r="R1" t="s">
        <v>8</v>
      </c>
      <c r="S1" t="s">
        <v>9</v>
      </c>
      <c r="T1" t="s">
        <v>10</v>
      </c>
      <c r="U1" t="s">
        <v>11</v>
      </c>
      <c r="V1" t="s">
        <v>12</v>
      </c>
      <c r="W1" t="s">
        <v>13</v>
      </c>
      <c r="X1" t="s">
        <v>33</v>
      </c>
    </row>
    <row r="2" spans="1:24" x14ac:dyDescent="0.2">
      <c r="A2">
        <v>1</v>
      </c>
      <c r="B2" t="s">
        <v>63</v>
      </c>
      <c r="C2" t="s">
        <v>128</v>
      </c>
      <c r="D2" t="s">
        <v>133</v>
      </c>
      <c r="E2" t="s">
        <v>131</v>
      </c>
      <c r="F2">
        <v>152</v>
      </c>
      <c r="G2" t="s">
        <v>15</v>
      </c>
      <c r="H2" s="7">
        <v>27</v>
      </c>
      <c r="I2" s="7">
        <f t="shared" ref="I2:I14" si="0">H2*L2</f>
        <v>2.1816</v>
      </c>
      <c r="J2" s="7">
        <f>45*0.001</f>
        <v>4.4999999999999998E-2</v>
      </c>
      <c r="K2" s="7"/>
      <c r="L2" s="7">
        <f>80.8*0.001</f>
        <v>8.0799999999999997E-2</v>
      </c>
      <c r="M2" s="7">
        <v>101.62503049999999</v>
      </c>
      <c r="N2" s="4">
        <v>25</v>
      </c>
      <c r="O2" t="s">
        <v>37</v>
      </c>
      <c r="P2">
        <v>47.745771509999997</v>
      </c>
      <c r="Q2">
        <v>6.7445737020000003</v>
      </c>
      <c r="R2">
        <v>37.992947919999999</v>
      </c>
      <c r="S2">
        <v>64.256017259999993</v>
      </c>
      <c r="T2">
        <v>3.1689499999999998E-4</v>
      </c>
      <c r="U2">
        <v>3.461305E-3</v>
      </c>
      <c r="V2">
        <v>-4.2706990000000002E-3</v>
      </c>
      <c r="W2">
        <v>9.3282680000000007E-3</v>
      </c>
      <c r="X2" t="s">
        <v>129</v>
      </c>
    </row>
    <row r="3" spans="1:24" x14ac:dyDescent="0.2">
      <c r="A3">
        <v>2</v>
      </c>
      <c r="B3" t="s">
        <v>76</v>
      </c>
      <c r="C3" t="s">
        <v>128</v>
      </c>
      <c r="D3" t="s">
        <v>133</v>
      </c>
      <c r="E3" t="s">
        <v>131</v>
      </c>
      <c r="F3">
        <v>26.2</v>
      </c>
      <c r="G3" t="s">
        <v>14</v>
      </c>
      <c r="H3" s="7">
        <f>22.5*4</f>
        <v>90</v>
      </c>
      <c r="I3" s="7">
        <f t="shared" si="0"/>
        <v>1.1736</v>
      </c>
      <c r="J3" s="7">
        <f>9.7*0.001</f>
        <v>9.7000000000000003E-3</v>
      </c>
      <c r="K3" s="7">
        <f>((36.2+44.3)/2)*0.1</f>
        <v>4.0250000000000004</v>
      </c>
      <c r="L3" s="7">
        <f>13.04*0.001</f>
        <v>1.304E-2</v>
      </c>
      <c r="M3" s="7">
        <v>6.65</v>
      </c>
      <c r="N3" s="4">
        <v>9</v>
      </c>
      <c r="O3" t="s">
        <v>37</v>
      </c>
      <c r="P3">
        <v>9.866557555</v>
      </c>
      <c r="Q3">
        <v>1.3369513399999999</v>
      </c>
      <c r="R3">
        <v>7.4100456469999996</v>
      </c>
      <c r="S3">
        <v>12.66630118</v>
      </c>
      <c r="T3">
        <v>5.7991212E-2</v>
      </c>
      <c r="U3">
        <v>5.1592391000000001E-2</v>
      </c>
      <c r="V3">
        <v>-4.624151E-3</v>
      </c>
      <c r="W3">
        <v>0.18586507699999999</v>
      </c>
      <c r="X3" t="s">
        <v>129</v>
      </c>
    </row>
    <row r="4" spans="1:24" x14ac:dyDescent="0.2">
      <c r="A4">
        <v>3</v>
      </c>
      <c r="B4" t="s">
        <v>75</v>
      </c>
      <c r="C4" t="s">
        <v>128</v>
      </c>
      <c r="D4" t="s">
        <v>133</v>
      </c>
      <c r="E4" t="s">
        <v>131</v>
      </c>
      <c r="F4">
        <v>25.2</v>
      </c>
      <c r="G4" t="s">
        <v>14</v>
      </c>
      <c r="H4" s="7">
        <f>18*1.5</f>
        <v>27</v>
      </c>
      <c r="I4" s="7">
        <f t="shared" si="0"/>
        <v>0.25555499999999998</v>
      </c>
      <c r="J4" s="7"/>
      <c r="K4" s="7">
        <f>43.8*0.1</f>
        <v>4.38</v>
      </c>
      <c r="L4" s="7">
        <f>9.465*0.001</f>
        <v>9.4649999999999995E-3</v>
      </c>
      <c r="M4" s="7">
        <v>2.6755217390000001</v>
      </c>
      <c r="N4" s="4">
        <v>9</v>
      </c>
      <c r="O4" t="s">
        <v>37</v>
      </c>
      <c r="P4">
        <v>8.5976257280000006</v>
      </c>
      <c r="Q4">
        <v>1.151088831</v>
      </c>
      <c r="R4">
        <v>6.5617497470000004</v>
      </c>
      <c r="S4">
        <v>11.07902842</v>
      </c>
      <c r="T4">
        <v>4.0683944E-2</v>
      </c>
      <c r="U4">
        <v>3.3434380999999999E-2</v>
      </c>
      <c r="V4">
        <v>-4.2523170000000002E-3</v>
      </c>
      <c r="W4">
        <v>0.120176554</v>
      </c>
      <c r="X4" t="s">
        <v>129</v>
      </c>
    </row>
    <row r="5" spans="1:24" x14ac:dyDescent="0.2">
      <c r="A5">
        <v>4</v>
      </c>
      <c r="B5" t="s">
        <v>44</v>
      </c>
      <c r="C5" t="s">
        <v>128</v>
      </c>
      <c r="D5" t="s">
        <v>133</v>
      </c>
      <c r="E5" t="s">
        <v>131</v>
      </c>
      <c r="F5">
        <v>50</v>
      </c>
      <c r="G5" t="s">
        <v>14</v>
      </c>
      <c r="H5" s="7">
        <v>24</v>
      </c>
      <c r="I5" s="7">
        <f t="shared" si="0"/>
        <v>1.6896</v>
      </c>
      <c r="J5" s="7">
        <f>35.2*0.001</f>
        <v>3.5200000000000002E-2</v>
      </c>
      <c r="K5" s="7"/>
      <c r="L5" s="7">
        <f>70.4*0.001</f>
        <v>7.0400000000000004E-2</v>
      </c>
      <c r="M5" s="7">
        <v>9.5052013800000008</v>
      </c>
      <c r="N5" s="4">
        <v>7</v>
      </c>
      <c r="O5" t="s">
        <v>37</v>
      </c>
      <c r="X5" t="s">
        <v>129</v>
      </c>
    </row>
    <row r="6" spans="1:24" x14ac:dyDescent="0.2">
      <c r="A6">
        <v>5</v>
      </c>
      <c r="B6" t="s">
        <v>82</v>
      </c>
      <c r="C6" t="s">
        <v>128</v>
      </c>
      <c r="D6" t="s">
        <v>133</v>
      </c>
      <c r="E6" t="s">
        <v>131</v>
      </c>
      <c r="F6">
        <v>37</v>
      </c>
      <c r="G6" t="s">
        <v>14</v>
      </c>
      <c r="H6" s="7">
        <f>13.9*1.5</f>
        <v>20.85</v>
      </c>
      <c r="I6" s="7">
        <f t="shared" si="0"/>
        <v>0.15387300000000001</v>
      </c>
      <c r="J6" s="7">
        <f>3.7*0.01</f>
        <v>3.7000000000000005E-2</v>
      </c>
      <c r="K6" s="7">
        <f>((25+30)/2)*0.1</f>
        <v>2.75</v>
      </c>
      <c r="L6" s="7">
        <f>7.38*0.001</f>
        <v>7.3800000000000003E-3</v>
      </c>
      <c r="M6" s="7">
        <v>0.69212312899999995</v>
      </c>
      <c r="N6" s="4">
        <v>10</v>
      </c>
      <c r="O6" t="s">
        <v>37</v>
      </c>
      <c r="P6">
        <v>21.07124147</v>
      </c>
      <c r="Q6">
        <v>2.6912268469999998</v>
      </c>
      <c r="R6">
        <v>16.89328944</v>
      </c>
      <c r="S6">
        <v>27.327295960000001</v>
      </c>
      <c r="T6">
        <v>8.1182000000000008E-3</v>
      </c>
      <c r="U6">
        <v>1.1812736000000001E-2</v>
      </c>
      <c r="V6">
        <v>-5.7850200000000001E-3</v>
      </c>
      <c r="W6">
        <v>3.8819200999999998E-2</v>
      </c>
      <c r="X6" t="s">
        <v>129</v>
      </c>
    </row>
    <row r="7" spans="1:24" x14ac:dyDescent="0.2">
      <c r="A7">
        <v>6</v>
      </c>
      <c r="B7" t="s">
        <v>81</v>
      </c>
      <c r="C7" t="s">
        <v>128</v>
      </c>
      <c r="D7" t="s">
        <v>133</v>
      </c>
      <c r="E7" t="s">
        <v>131</v>
      </c>
      <c r="F7">
        <v>35</v>
      </c>
      <c r="G7" t="s">
        <v>14</v>
      </c>
      <c r="H7" s="7">
        <f>12.3*2</f>
        <v>24.6</v>
      </c>
      <c r="I7" s="7">
        <f t="shared" si="0"/>
        <v>0.15990000000000001</v>
      </c>
      <c r="J7" s="7"/>
      <c r="K7" s="7"/>
      <c r="L7" s="7">
        <f>6.5*0.001</f>
        <v>6.5000000000000006E-3</v>
      </c>
      <c r="M7" s="7">
        <v>0.84684062699999996</v>
      </c>
      <c r="N7" s="4">
        <v>7</v>
      </c>
      <c r="O7" t="s">
        <v>37</v>
      </c>
      <c r="P7">
        <v>14.19721019</v>
      </c>
      <c r="Q7">
        <v>2.5879863360000002</v>
      </c>
      <c r="R7">
        <v>10.46182554</v>
      </c>
      <c r="S7">
        <v>19.674915129999999</v>
      </c>
      <c r="T7">
        <v>6.6380349999999996E-3</v>
      </c>
      <c r="U7">
        <v>3.4459814999999998E-2</v>
      </c>
      <c r="V7">
        <v>-2.262315E-3</v>
      </c>
      <c r="W7">
        <v>9.1463183000000003E-2</v>
      </c>
      <c r="X7" t="s">
        <v>129</v>
      </c>
    </row>
    <row r="8" spans="1:24" x14ac:dyDescent="0.2">
      <c r="A8">
        <v>7</v>
      </c>
      <c r="B8" t="s">
        <v>86</v>
      </c>
      <c r="C8" t="s">
        <v>128</v>
      </c>
      <c r="D8" t="s">
        <v>292</v>
      </c>
      <c r="E8" t="s">
        <v>132</v>
      </c>
      <c r="F8">
        <v>45</v>
      </c>
      <c r="G8" t="s">
        <v>14</v>
      </c>
      <c r="H8" s="7">
        <v>383.50850000000003</v>
      </c>
      <c r="I8" s="7">
        <f t="shared" si="0"/>
        <v>17.98654865</v>
      </c>
      <c r="J8" s="7">
        <f>24*0.001</f>
        <v>2.4E-2</v>
      </c>
      <c r="K8" s="7"/>
      <c r="L8" s="7">
        <f>46.9*0.001</f>
        <v>4.6899999999999997E-2</v>
      </c>
      <c r="M8" s="7">
        <v>154.5102</v>
      </c>
      <c r="N8" s="4">
        <v>12.01</v>
      </c>
      <c r="O8" t="s">
        <v>36</v>
      </c>
      <c r="P8">
        <v>16.642924699999998</v>
      </c>
      <c r="Q8">
        <v>0.77217449999999999</v>
      </c>
      <c r="R8">
        <v>15.1687221</v>
      </c>
      <c r="S8">
        <v>18.2030095</v>
      </c>
      <c r="T8">
        <v>8.4498809999999994E-2</v>
      </c>
      <c r="U8">
        <v>1.006815E-2</v>
      </c>
      <c r="V8">
        <f>T8-1.96*U8</f>
        <v>6.476523599999999E-2</v>
      </c>
      <c r="W8">
        <f>T8+1.96*U8</f>
        <v>0.104232384</v>
      </c>
      <c r="X8" t="s">
        <v>104</v>
      </c>
    </row>
    <row r="9" spans="1:24" x14ac:dyDescent="0.2">
      <c r="A9">
        <v>7</v>
      </c>
      <c r="B9" t="s">
        <v>113</v>
      </c>
      <c r="C9" t="s">
        <v>128</v>
      </c>
      <c r="D9" t="s">
        <v>134</v>
      </c>
      <c r="E9" t="s">
        <v>132</v>
      </c>
      <c r="F9">
        <v>32</v>
      </c>
      <c r="G9" t="s">
        <v>14</v>
      </c>
      <c r="H9" s="7">
        <v>195.84209999999999</v>
      </c>
      <c r="I9" s="7">
        <f t="shared" si="0"/>
        <v>9.1849944899999993</v>
      </c>
      <c r="J9" s="7">
        <f>24*0.001</f>
        <v>2.4E-2</v>
      </c>
      <c r="K9" s="7"/>
      <c r="L9" s="7">
        <f>46.9*0.001</f>
        <v>4.6899999999999997E-2</v>
      </c>
      <c r="M9" s="7">
        <v>163.55549999999999</v>
      </c>
      <c r="N9" s="4">
        <v>12.4</v>
      </c>
      <c r="O9" t="s">
        <v>36</v>
      </c>
      <c r="P9">
        <v>10.202719699999999</v>
      </c>
      <c r="Q9">
        <v>1.0216968099999999</v>
      </c>
      <c r="R9">
        <v>8.2680802</v>
      </c>
      <c r="S9">
        <v>12.2762341</v>
      </c>
      <c r="T9">
        <v>9.2513880000000007E-2</v>
      </c>
      <c r="U9">
        <v>2.36723E-2</v>
      </c>
      <c r="V9">
        <v>4.6117020000000002E-2</v>
      </c>
      <c r="W9">
        <v>0.1389107</v>
      </c>
      <c r="X9" t="s">
        <v>104</v>
      </c>
    </row>
    <row r="10" spans="1:24" x14ac:dyDescent="0.2">
      <c r="A10">
        <v>7</v>
      </c>
      <c r="B10" t="s">
        <v>114</v>
      </c>
      <c r="C10" t="s">
        <v>128</v>
      </c>
      <c r="D10" t="s">
        <v>146</v>
      </c>
      <c r="E10" t="s">
        <v>132</v>
      </c>
      <c r="F10">
        <v>45</v>
      </c>
      <c r="G10" t="s">
        <v>14</v>
      </c>
      <c r="H10" s="7">
        <v>392.62790000000001</v>
      </c>
      <c r="I10" s="7">
        <f>H10*L10</f>
        <v>18.41424851</v>
      </c>
      <c r="J10" s="7">
        <v>2.4E-2</v>
      </c>
      <c r="K10" s="7"/>
      <c r="L10" s="7">
        <v>4.6899999999999997E-2</v>
      </c>
      <c r="M10" s="7">
        <v>154.13679999999999</v>
      </c>
      <c r="N10" s="4">
        <v>11.89</v>
      </c>
      <c r="O10" t="s">
        <v>36</v>
      </c>
      <c r="P10">
        <v>19.599272800000001</v>
      </c>
      <c r="Q10">
        <v>0.88884768999999997</v>
      </c>
      <c r="R10">
        <v>17.836106099999999</v>
      </c>
      <c r="S10">
        <v>21.334934000000001</v>
      </c>
      <c r="T10">
        <v>0.10298222999999999</v>
      </c>
      <c r="U10">
        <v>1.202115E-2</v>
      </c>
      <c r="V10">
        <v>7.9421210000000006E-2</v>
      </c>
      <c r="W10">
        <v>0.1265433</v>
      </c>
      <c r="X10" t="s">
        <v>104</v>
      </c>
    </row>
    <row r="11" spans="1:24" x14ac:dyDescent="0.2">
      <c r="A11">
        <v>8</v>
      </c>
      <c r="B11" t="s">
        <v>58</v>
      </c>
      <c r="C11" t="s">
        <v>128</v>
      </c>
      <c r="D11" t="s">
        <v>133</v>
      </c>
      <c r="E11" t="s">
        <v>131</v>
      </c>
      <c r="F11">
        <v>20</v>
      </c>
      <c r="G11" t="s">
        <v>15</v>
      </c>
      <c r="H11" s="7">
        <f>3*2</f>
        <v>6</v>
      </c>
      <c r="I11" s="7">
        <f t="shared" si="0"/>
        <v>0.20579999999999998</v>
      </c>
      <c r="J11" s="7"/>
      <c r="K11" s="7"/>
      <c r="L11" s="7">
        <f>34.3*0.001</f>
        <v>3.4299999999999997E-2</v>
      </c>
      <c r="M11" s="7">
        <v>1.2847500000000001</v>
      </c>
      <c r="N11" s="4">
        <v>12</v>
      </c>
      <c r="O11" t="s">
        <v>37</v>
      </c>
      <c r="P11">
        <v>15.33354551</v>
      </c>
      <c r="Q11">
        <v>2.7747788280000001</v>
      </c>
      <c r="R11">
        <v>11.48453043</v>
      </c>
      <c r="S11">
        <v>21.963991910000001</v>
      </c>
      <c r="T11">
        <v>6.602279E-3</v>
      </c>
      <c r="U11">
        <v>1.7838942E-2</v>
      </c>
      <c r="V11">
        <v>-1.4244155999999999E-2</v>
      </c>
      <c r="W11">
        <v>5.5127423000000002E-2</v>
      </c>
      <c r="X11" t="s">
        <v>129</v>
      </c>
    </row>
    <row r="12" spans="1:24" x14ac:dyDescent="0.2">
      <c r="A12">
        <v>9</v>
      </c>
      <c r="B12" t="s">
        <v>57</v>
      </c>
      <c r="C12" t="s">
        <v>128</v>
      </c>
      <c r="D12" t="s">
        <v>133</v>
      </c>
      <c r="E12" t="s">
        <v>131</v>
      </c>
      <c r="F12">
        <v>177</v>
      </c>
      <c r="G12" t="s">
        <v>15</v>
      </c>
      <c r="H12" s="7">
        <f>10*3.333382148</f>
        <v>33.333821479999997</v>
      </c>
      <c r="I12" s="7">
        <f t="shared" si="0"/>
        <v>3.9917251222300001</v>
      </c>
      <c r="J12" s="7"/>
      <c r="K12" s="7"/>
      <c r="L12" s="7">
        <f>119.75*0.001</f>
        <v>0.11975000000000001</v>
      </c>
      <c r="M12" s="7">
        <v>114.0487933</v>
      </c>
      <c r="N12" s="4">
        <v>20</v>
      </c>
      <c r="O12" t="s">
        <v>37</v>
      </c>
      <c r="X12" t="s">
        <v>129</v>
      </c>
    </row>
    <row r="13" spans="1:24" x14ac:dyDescent="0.2">
      <c r="A13">
        <v>10</v>
      </c>
      <c r="B13" t="s">
        <v>83</v>
      </c>
      <c r="C13" t="s">
        <v>128</v>
      </c>
      <c r="D13" t="s">
        <v>133</v>
      </c>
      <c r="E13" t="s">
        <v>131</v>
      </c>
      <c r="F13">
        <v>35.799999999999997</v>
      </c>
      <c r="G13" t="s">
        <v>14</v>
      </c>
      <c r="H13" s="7">
        <v>12</v>
      </c>
      <c r="I13" s="7">
        <f t="shared" si="0"/>
        <v>0.34573199999999998</v>
      </c>
      <c r="J13" s="7"/>
      <c r="K13" s="7"/>
      <c r="L13" s="7">
        <f>28.811*0.001</f>
        <v>2.8811E-2</v>
      </c>
      <c r="M13" s="7">
        <v>5.5341749460000003</v>
      </c>
      <c r="N13" s="4">
        <v>5</v>
      </c>
      <c r="O13" t="s">
        <v>37</v>
      </c>
      <c r="P13">
        <v>15.98806933</v>
      </c>
      <c r="Q13">
        <v>1.4335841229999999</v>
      </c>
      <c r="R13">
        <v>13.32962208</v>
      </c>
      <c r="S13">
        <v>19.015534760000001</v>
      </c>
      <c r="T13">
        <v>7.3939569999999996E-3</v>
      </c>
      <c r="U13">
        <v>1.1450856000000001E-2</v>
      </c>
      <c r="V13">
        <v>-8.3423579999999994E-3</v>
      </c>
      <c r="W13">
        <v>3.6158703E-2</v>
      </c>
      <c r="X13" t="s">
        <v>129</v>
      </c>
    </row>
    <row r="14" spans="1:24" x14ac:dyDescent="0.2">
      <c r="A14">
        <v>11</v>
      </c>
      <c r="B14" t="s">
        <v>111</v>
      </c>
      <c r="C14" t="s">
        <v>128</v>
      </c>
      <c r="D14" t="s">
        <v>133</v>
      </c>
      <c r="E14" t="s">
        <v>131</v>
      </c>
      <c r="F14">
        <v>47</v>
      </c>
      <c r="G14" t="s">
        <v>14</v>
      </c>
      <c r="H14" s="12">
        <v>35.200000000000003</v>
      </c>
      <c r="I14" s="7">
        <f t="shared" si="0"/>
        <v>0.42856000000000011</v>
      </c>
      <c r="J14" s="7"/>
      <c r="K14" s="7">
        <f>((24+31)/2)*0.1</f>
        <v>2.75</v>
      </c>
      <c r="L14" s="7">
        <f>12.175*0.001</f>
        <v>1.2175000000000002E-2</v>
      </c>
      <c r="M14" s="7">
        <v>11.471500000000001</v>
      </c>
      <c r="N14" s="4">
        <v>11</v>
      </c>
      <c r="O14" t="s">
        <v>37</v>
      </c>
      <c r="P14">
        <v>11.94667544</v>
      </c>
      <c r="Q14">
        <v>1.241180092</v>
      </c>
      <c r="R14">
        <v>9.7923337359999998</v>
      </c>
      <c r="S14">
        <v>14.65554468</v>
      </c>
      <c r="T14">
        <v>8.9034260000000007E-3</v>
      </c>
      <c r="U14">
        <v>1.6320823000000002E-2</v>
      </c>
      <c r="V14">
        <v>-1.1843677E-2</v>
      </c>
      <c r="W14">
        <v>5.2753873E-2</v>
      </c>
      <c r="X14" t="s">
        <v>129</v>
      </c>
    </row>
    <row r="15" spans="1:24" x14ac:dyDescent="0.2">
      <c r="A15">
        <v>11</v>
      </c>
      <c r="B15" s="10" t="s">
        <v>93</v>
      </c>
      <c r="C15" s="10" t="s">
        <v>127</v>
      </c>
      <c r="D15" s="10" t="s">
        <v>135</v>
      </c>
      <c r="E15" s="9" t="s">
        <v>131</v>
      </c>
      <c r="F15" s="10">
        <v>47</v>
      </c>
      <c r="G15" s="10" t="s">
        <v>14</v>
      </c>
      <c r="H15">
        <f>((33+26)/2)</f>
        <v>29.5</v>
      </c>
      <c r="I15" s="8">
        <v>0.32400000000000001</v>
      </c>
      <c r="J15" s="8"/>
      <c r="K15" s="8">
        <v>2.75</v>
      </c>
      <c r="L15" s="8">
        <v>1.2175E-2</v>
      </c>
      <c r="M15" s="8">
        <f>3875*0.001</f>
        <v>3.875</v>
      </c>
      <c r="N15" s="11">
        <v>12.2</v>
      </c>
      <c r="O15" s="10" t="s">
        <v>35</v>
      </c>
      <c r="P15" s="10">
        <v>21.5427514</v>
      </c>
      <c r="Q15" s="5"/>
      <c r="R15" s="5"/>
      <c r="S15" s="5"/>
      <c r="T15">
        <v>7.0440699999999999E-4</v>
      </c>
      <c r="U15" s="5"/>
      <c r="V15" s="5"/>
      <c r="W15" s="5"/>
      <c r="X15" s="5" t="s">
        <v>103</v>
      </c>
    </row>
    <row r="16" spans="1:24" x14ac:dyDescent="0.2">
      <c r="A16">
        <v>12</v>
      </c>
      <c r="B16" t="s">
        <v>60</v>
      </c>
      <c r="C16" t="s">
        <v>128</v>
      </c>
      <c r="D16" t="s">
        <v>133</v>
      </c>
      <c r="E16" t="s">
        <v>131</v>
      </c>
      <c r="F16">
        <v>32</v>
      </c>
      <c r="G16" t="s">
        <v>15</v>
      </c>
      <c r="H16" s="7">
        <v>3.0838383839999999</v>
      </c>
      <c r="I16" s="7">
        <f>H16*L16</f>
        <v>8.5576515155999996E-2</v>
      </c>
      <c r="J16" s="7">
        <f>13.75*0.001</f>
        <v>1.375E-2</v>
      </c>
      <c r="K16" s="7">
        <f>((30+39)/2)*0.1</f>
        <v>3.45</v>
      </c>
      <c r="L16" s="7">
        <f>27.75*0.001</f>
        <v>2.775E-2</v>
      </c>
      <c r="M16" s="7">
        <f>715*0.001</f>
        <v>0.71499999999999997</v>
      </c>
      <c r="N16" s="4">
        <v>10</v>
      </c>
      <c r="O16" t="s">
        <v>37</v>
      </c>
      <c r="P16">
        <v>3.332190314</v>
      </c>
      <c r="Q16">
        <v>0.63579150100000004</v>
      </c>
      <c r="R16">
        <v>2.2156509529999999</v>
      </c>
      <c r="S16">
        <v>4.7133197659999997</v>
      </c>
      <c r="T16">
        <v>-1.4052801E-2</v>
      </c>
      <c r="U16">
        <v>4.143355E-2</v>
      </c>
      <c r="V16">
        <v>-0.12389151700000001</v>
      </c>
      <c r="W16">
        <v>4.5454977000000001E-2</v>
      </c>
      <c r="X16" t="s">
        <v>129</v>
      </c>
    </row>
    <row r="17" spans="1:24" x14ac:dyDescent="0.2">
      <c r="A17">
        <v>13</v>
      </c>
      <c r="B17" t="s">
        <v>110</v>
      </c>
      <c r="C17" t="s">
        <v>128</v>
      </c>
      <c r="D17" t="s">
        <v>133</v>
      </c>
      <c r="E17" t="s">
        <v>131</v>
      </c>
      <c r="F17">
        <v>61</v>
      </c>
      <c r="G17" t="s">
        <v>14</v>
      </c>
      <c r="H17" s="9">
        <v>12</v>
      </c>
      <c r="I17" s="7">
        <f>H17*L17</f>
        <v>6.3539999999999999E-2</v>
      </c>
      <c r="J17" s="7"/>
      <c r="K17" s="7">
        <f>((24+30)/2)*0.1</f>
        <v>2.7</v>
      </c>
      <c r="L17" s="7">
        <f>5.295*0.001</f>
        <v>5.2950000000000002E-3</v>
      </c>
      <c r="M17" s="7">
        <v>0.48414083099999999</v>
      </c>
      <c r="N17" s="4">
        <v>6</v>
      </c>
      <c r="O17" t="s">
        <v>37</v>
      </c>
      <c r="P17">
        <v>11.122526710000001</v>
      </c>
      <c r="Q17">
        <v>0.56062112399999997</v>
      </c>
      <c r="R17">
        <v>10.06003417</v>
      </c>
      <c r="S17">
        <v>12.236503770000001</v>
      </c>
      <c r="T17">
        <v>0.101735179</v>
      </c>
      <c r="U17">
        <v>3.4496236E-2</v>
      </c>
      <c r="V17">
        <v>3.7697672000000002E-2</v>
      </c>
      <c r="W17">
        <v>0.17374189700000001</v>
      </c>
      <c r="X17" t="s">
        <v>129</v>
      </c>
    </row>
    <row r="18" spans="1:24" x14ac:dyDescent="0.2">
      <c r="A18">
        <v>13</v>
      </c>
      <c r="B18" s="10" t="s">
        <v>91</v>
      </c>
      <c r="C18" s="10" t="s">
        <v>127</v>
      </c>
      <c r="D18" s="10" t="s">
        <v>136</v>
      </c>
      <c r="E18" s="9" t="s">
        <v>131</v>
      </c>
      <c r="F18" s="10">
        <v>61</v>
      </c>
      <c r="G18" s="10" t="s">
        <v>14</v>
      </c>
      <c r="H18" s="9">
        <v>12</v>
      </c>
      <c r="I18" s="8">
        <v>6.4000000000000001E-2</v>
      </c>
      <c r="J18" s="8"/>
      <c r="K18" s="8">
        <v>2.7</v>
      </c>
      <c r="L18" s="8">
        <v>5.2950000000000002E-3</v>
      </c>
      <c r="M18" s="8">
        <f>378*(0.001)</f>
        <v>0.378</v>
      </c>
      <c r="N18" s="11">
        <v>6</v>
      </c>
      <c r="O18" s="10" t="s">
        <v>35</v>
      </c>
      <c r="P18" s="10">
        <v>31.942227110000001</v>
      </c>
      <c r="Q18" s="5"/>
      <c r="R18" s="5"/>
      <c r="S18" s="5"/>
      <c r="T18">
        <v>3.6369290999999998E-2</v>
      </c>
      <c r="U18" s="5"/>
      <c r="V18" s="5"/>
      <c r="W18" s="5"/>
      <c r="X18" s="5" t="s">
        <v>103</v>
      </c>
    </row>
    <row r="19" spans="1:24" x14ac:dyDescent="0.2">
      <c r="A19">
        <v>13</v>
      </c>
      <c r="B19" s="10" t="s">
        <v>92</v>
      </c>
      <c r="C19" s="10" t="s">
        <v>127</v>
      </c>
      <c r="D19" s="10" t="s">
        <v>137</v>
      </c>
      <c r="E19" s="9" t="s">
        <v>131</v>
      </c>
      <c r="F19" s="10">
        <v>61</v>
      </c>
      <c r="G19" s="10" t="s">
        <v>14</v>
      </c>
      <c r="H19" s="9">
        <v>12</v>
      </c>
      <c r="I19" s="8">
        <v>6.4000000000000001E-2</v>
      </c>
      <c r="J19" s="8"/>
      <c r="K19" s="8">
        <v>2.7</v>
      </c>
      <c r="L19" s="8">
        <v>5.2950000000000002E-3</v>
      </c>
      <c r="M19" s="8">
        <f>378*(0.001)</f>
        <v>0.378</v>
      </c>
      <c r="N19" s="11">
        <v>5</v>
      </c>
      <c r="O19" s="10" t="s">
        <v>35</v>
      </c>
      <c r="P19" s="10">
        <v>6.606940163</v>
      </c>
      <c r="Q19" s="5"/>
      <c r="R19" s="5"/>
      <c r="S19" s="5"/>
      <c r="T19">
        <v>1.3579212E-2</v>
      </c>
      <c r="U19" s="5"/>
      <c r="V19" s="5"/>
      <c r="W19" s="5"/>
      <c r="X19" s="5" t="s">
        <v>103</v>
      </c>
    </row>
    <row r="20" spans="1:24" x14ac:dyDescent="0.2">
      <c r="A20">
        <v>14</v>
      </c>
      <c r="B20" t="s">
        <v>69</v>
      </c>
      <c r="C20" t="s">
        <v>128</v>
      </c>
      <c r="D20" t="s">
        <v>133</v>
      </c>
      <c r="E20" t="s">
        <v>131</v>
      </c>
      <c r="F20">
        <v>30</v>
      </c>
      <c r="G20" t="s">
        <v>14</v>
      </c>
      <c r="H20" s="7">
        <f>4.29*1.2</f>
        <v>5.1479999999999997</v>
      </c>
      <c r="I20" s="7">
        <f>H20*L20</f>
        <v>3.3976799999999995E-2</v>
      </c>
      <c r="J20" s="7"/>
      <c r="K20" s="7">
        <f>((28+31.2)/2)*0.1</f>
        <v>2.9600000000000004</v>
      </c>
      <c r="L20" s="7">
        <f>6.6*0.001</f>
        <v>6.6E-3</v>
      </c>
      <c r="M20" s="7">
        <v>0.168977928</v>
      </c>
      <c r="N20" s="4">
        <v>8</v>
      </c>
      <c r="O20" t="s">
        <v>37</v>
      </c>
      <c r="P20">
        <v>16.191798309999999</v>
      </c>
      <c r="Q20">
        <v>1.153393109</v>
      </c>
      <c r="R20">
        <v>14.1712159</v>
      </c>
      <c r="S20">
        <v>18.695421360000001</v>
      </c>
      <c r="T20">
        <v>4.0099506E-2</v>
      </c>
      <c r="U20">
        <v>2.1405594999999999E-2</v>
      </c>
      <c r="V20">
        <v>5.9405600000000001E-3</v>
      </c>
      <c r="W20">
        <v>8.6710834000000001E-2</v>
      </c>
      <c r="X20" t="s">
        <v>129</v>
      </c>
    </row>
    <row r="21" spans="1:24" x14ac:dyDescent="0.2">
      <c r="A21">
        <v>15</v>
      </c>
      <c r="B21" t="s">
        <v>41</v>
      </c>
      <c r="C21" t="s">
        <v>128</v>
      </c>
      <c r="D21" t="s">
        <v>133</v>
      </c>
      <c r="E21" t="s">
        <v>131</v>
      </c>
      <c r="F21">
        <v>38.200000000000003</v>
      </c>
      <c r="G21" t="s">
        <v>14</v>
      </c>
      <c r="H21" s="7">
        <v>1</v>
      </c>
      <c r="I21" s="7">
        <f>H21*L21</f>
        <v>1.95E-2</v>
      </c>
      <c r="J21" s="7">
        <f>69*0.001</f>
        <v>6.9000000000000006E-2</v>
      </c>
      <c r="K21" s="7"/>
      <c r="L21" s="7">
        <f>19.5*0.001</f>
        <v>1.95E-2</v>
      </c>
      <c r="M21" s="7">
        <v>0.87219999999999998</v>
      </c>
      <c r="N21" s="4">
        <v>4</v>
      </c>
      <c r="O21" t="s">
        <v>37</v>
      </c>
      <c r="P21">
        <v>12.37932078</v>
      </c>
      <c r="Q21">
        <v>0.76086926899999996</v>
      </c>
      <c r="R21">
        <v>10.92185538</v>
      </c>
      <c r="S21">
        <v>13.913411549999999</v>
      </c>
      <c r="T21">
        <v>1.7793297E-2</v>
      </c>
      <c r="U21">
        <v>1.2289803E-2</v>
      </c>
      <c r="V21">
        <v>-3.6133200000000002E-4</v>
      </c>
      <c r="W21">
        <v>4.6577314000000002E-2</v>
      </c>
      <c r="X21" t="s">
        <v>129</v>
      </c>
    </row>
    <row r="22" spans="1:24" x14ac:dyDescent="0.2">
      <c r="A22">
        <v>16</v>
      </c>
      <c r="B22" t="s">
        <v>39</v>
      </c>
      <c r="C22" t="s">
        <v>128</v>
      </c>
      <c r="D22" t="s">
        <v>133</v>
      </c>
      <c r="E22" t="s">
        <v>131</v>
      </c>
      <c r="F22">
        <v>30</v>
      </c>
      <c r="G22" t="s">
        <v>15</v>
      </c>
      <c r="H22" s="7">
        <f>2</f>
        <v>2</v>
      </c>
      <c r="I22" s="7">
        <f>H22*L22</f>
        <v>0.06</v>
      </c>
      <c r="J22" s="7">
        <f>( (15+24)/2 ) *0.001</f>
        <v>1.95E-2</v>
      </c>
      <c r="K22" s="7">
        <f>((45+50)/2)*0.1</f>
        <v>4.75</v>
      </c>
      <c r="L22" s="7">
        <f>((25+35)/2)*0.001</f>
        <v>0.03</v>
      </c>
      <c r="M22" s="7">
        <v>0.71500909099999999</v>
      </c>
      <c r="N22" s="4">
        <v>5</v>
      </c>
      <c r="O22" t="s">
        <v>37</v>
      </c>
      <c r="P22">
        <v>16.291821370000001</v>
      </c>
      <c r="Q22">
        <v>2.5707561490000002</v>
      </c>
      <c r="R22">
        <v>11.94996989</v>
      </c>
      <c r="S22">
        <v>21.958753640000001</v>
      </c>
      <c r="T22">
        <v>-3.2538700000000001E-4</v>
      </c>
      <c r="U22">
        <v>1.0939255E-2</v>
      </c>
      <c r="V22">
        <v>-1.8143250999999999E-2</v>
      </c>
      <c r="W22">
        <v>2.7329780000000001E-2</v>
      </c>
      <c r="X22" t="s">
        <v>129</v>
      </c>
    </row>
    <row r="23" spans="1:24" x14ac:dyDescent="0.2">
      <c r="A23">
        <v>17</v>
      </c>
      <c r="B23" t="s">
        <v>40</v>
      </c>
      <c r="C23" t="s">
        <v>128</v>
      </c>
      <c r="D23" t="s">
        <v>133</v>
      </c>
      <c r="E23" t="s">
        <v>131</v>
      </c>
      <c r="F23">
        <v>31.8</v>
      </c>
      <c r="G23" t="s">
        <v>14</v>
      </c>
      <c r="H23" s="7">
        <v>4</v>
      </c>
      <c r="I23" s="7">
        <f>H23*L23</f>
        <v>9.5560000000000006E-2</v>
      </c>
      <c r="J23" s="7">
        <f>15*0.001</f>
        <v>1.4999999999999999E-2</v>
      </c>
      <c r="K23" s="7">
        <f>40*0.1</f>
        <v>4</v>
      </c>
      <c r="L23" s="7">
        <f>23.89*0.001</f>
        <v>2.3890000000000002E-2</v>
      </c>
      <c r="M23" s="7">
        <v>1.5256805099999999</v>
      </c>
      <c r="N23" s="4">
        <v>8</v>
      </c>
      <c r="O23" t="s">
        <v>37</v>
      </c>
      <c r="X23" t="s">
        <v>129</v>
      </c>
    </row>
    <row r="24" spans="1:24" x14ac:dyDescent="0.2">
      <c r="A24">
        <v>18</v>
      </c>
      <c r="B24" s="10" t="s">
        <v>85</v>
      </c>
      <c r="C24" s="10" t="s">
        <v>127</v>
      </c>
      <c r="D24" s="10" t="s">
        <v>145</v>
      </c>
      <c r="E24" s="9" t="s">
        <v>131</v>
      </c>
      <c r="F24" s="10">
        <v>77</v>
      </c>
      <c r="G24" s="10" t="s">
        <v>14</v>
      </c>
      <c r="H24" s="9">
        <f>9.6*1.5</f>
        <v>14.399999999999999</v>
      </c>
      <c r="I24" s="8">
        <v>0.17599999999999999</v>
      </c>
      <c r="J24" s="8">
        <v>6.1000000000000004E-3</v>
      </c>
      <c r="K24" s="8">
        <v>3.39</v>
      </c>
      <c r="L24" s="8">
        <v>1.2200000000000001E-2</v>
      </c>
      <c r="M24" s="8">
        <f>1162*0.001</f>
        <v>1.1619999999999999</v>
      </c>
      <c r="N24" s="11">
        <v>14</v>
      </c>
      <c r="O24" s="10" t="s">
        <v>35</v>
      </c>
      <c r="P24" s="10">
        <v>19.394699710000001</v>
      </c>
      <c r="Q24" s="5"/>
      <c r="R24" s="5"/>
      <c r="S24" s="5"/>
      <c r="T24">
        <v>1.5766504000000001E-2</v>
      </c>
      <c r="U24" s="5"/>
      <c r="V24" s="5"/>
      <c r="W24" s="5"/>
      <c r="X24" s="5" t="s">
        <v>103</v>
      </c>
    </row>
    <row r="25" spans="1:24" x14ac:dyDescent="0.2">
      <c r="A25">
        <v>19</v>
      </c>
      <c r="B25" s="10" t="s">
        <v>87</v>
      </c>
      <c r="C25" s="10" t="s">
        <v>127</v>
      </c>
      <c r="D25" s="10" t="s">
        <v>144</v>
      </c>
      <c r="E25" s="9" t="s">
        <v>131</v>
      </c>
      <c r="F25" s="10">
        <v>120</v>
      </c>
      <c r="G25" s="10" t="s">
        <v>14</v>
      </c>
      <c r="H25" s="8">
        <f>AVERAGE(7,5,5.8,12)*1.5</f>
        <v>11.175000000000001</v>
      </c>
      <c r="I25" s="8">
        <v>0.151</v>
      </c>
      <c r="J25" s="8">
        <f>3.6*0.001</f>
        <v>3.6000000000000003E-3</v>
      </c>
      <c r="K25" s="8">
        <v>2.06</v>
      </c>
      <c r="L25" s="8">
        <v>8.0999999999999996E-3</v>
      </c>
      <c r="M25" s="13">
        <f>AVERAGE(407.81,483.4)*0.001</f>
        <v>0.44560500000000003</v>
      </c>
      <c r="N25" s="9">
        <v>10</v>
      </c>
      <c r="O25" s="10" t="s">
        <v>35</v>
      </c>
      <c r="P25" s="10">
        <v>14.24115027</v>
      </c>
      <c r="Q25" s="5"/>
      <c r="R25" s="5"/>
      <c r="S25" s="5"/>
      <c r="T25">
        <v>3.3307675000000002E-2</v>
      </c>
      <c r="U25" s="5"/>
      <c r="V25" s="5"/>
      <c r="W25" s="5"/>
      <c r="X25" s="5" t="s">
        <v>103</v>
      </c>
    </row>
    <row r="26" spans="1:24" x14ac:dyDescent="0.2">
      <c r="A26">
        <v>19</v>
      </c>
      <c r="B26" s="10" t="s">
        <v>88</v>
      </c>
      <c r="C26" s="10" t="s">
        <v>127</v>
      </c>
      <c r="D26" s="10" t="s">
        <v>138</v>
      </c>
      <c r="E26" s="9" t="s">
        <v>131</v>
      </c>
      <c r="F26" s="10">
        <v>120</v>
      </c>
      <c r="G26" s="10" t="s">
        <v>14</v>
      </c>
      <c r="H26" s="8">
        <f>AVERAGE(7,5,5.8,12)*1.5</f>
        <v>11.175000000000001</v>
      </c>
      <c r="I26" s="8">
        <v>0.151</v>
      </c>
      <c r="J26" s="8">
        <f t="shared" ref="J26:J27" si="1">3.6*0.001</f>
        <v>3.6000000000000003E-3</v>
      </c>
      <c r="K26" s="8">
        <v>2.06</v>
      </c>
      <c r="L26" s="8">
        <v>8.0999999999999996E-3</v>
      </c>
      <c r="M26" s="9">
        <f>350*0.001</f>
        <v>0.35000000000000003</v>
      </c>
      <c r="N26" s="9">
        <v>10.5</v>
      </c>
      <c r="O26" s="10" t="s">
        <v>35</v>
      </c>
      <c r="P26" s="10">
        <v>9.4199324989999997</v>
      </c>
      <c r="Q26" s="5"/>
      <c r="R26" s="5"/>
      <c r="S26" s="5"/>
      <c r="T26">
        <v>1.8589939999999999E-2</v>
      </c>
      <c r="U26" s="5"/>
      <c r="V26" s="5"/>
      <c r="W26" s="5"/>
      <c r="X26" s="5" t="s">
        <v>103</v>
      </c>
    </row>
    <row r="27" spans="1:24" x14ac:dyDescent="0.2">
      <c r="A27">
        <v>19</v>
      </c>
      <c r="B27" s="10" t="s">
        <v>89</v>
      </c>
      <c r="C27" s="10" t="s">
        <v>127</v>
      </c>
      <c r="D27" s="10" t="s">
        <v>138</v>
      </c>
      <c r="E27" s="9" t="s">
        <v>131</v>
      </c>
      <c r="F27" s="10">
        <v>120</v>
      </c>
      <c r="G27" s="10" t="s">
        <v>14</v>
      </c>
      <c r="H27" s="8">
        <f>AVERAGE(7,5,5.8,12)*1.5</f>
        <v>11.175000000000001</v>
      </c>
      <c r="I27" s="8">
        <v>0.151</v>
      </c>
      <c r="J27" s="8">
        <f t="shared" si="1"/>
        <v>3.6000000000000003E-3</v>
      </c>
      <c r="K27" s="8">
        <v>2.06</v>
      </c>
      <c r="L27" s="8">
        <v>8.0999999999999996E-3</v>
      </c>
      <c r="M27" s="9">
        <f>590.6*0.001</f>
        <v>0.59060000000000001</v>
      </c>
      <c r="N27" s="9">
        <v>6</v>
      </c>
      <c r="O27" s="10" t="s">
        <v>35</v>
      </c>
      <c r="P27" s="10">
        <v>34.848454029999999</v>
      </c>
      <c r="Q27" s="5"/>
      <c r="R27" s="5"/>
      <c r="S27" s="5"/>
      <c r="T27">
        <v>-1.2318419999999999E-3</v>
      </c>
      <c r="U27" s="5"/>
      <c r="V27" s="5"/>
      <c r="W27" s="5"/>
      <c r="X27" s="5" t="s">
        <v>103</v>
      </c>
    </row>
    <row r="28" spans="1:24" x14ac:dyDescent="0.2">
      <c r="A28">
        <v>20</v>
      </c>
      <c r="B28" t="s">
        <v>56</v>
      </c>
      <c r="C28" t="s">
        <v>128</v>
      </c>
      <c r="D28" t="s">
        <v>133</v>
      </c>
      <c r="E28" t="s">
        <v>131</v>
      </c>
      <c r="F28">
        <v>24.3</v>
      </c>
      <c r="G28" t="s">
        <v>15</v>
      </c>
      <c r="H28" s="7">
        <f>5.290357143*2.209685368</f>
        <v>11.690024770381383</v>
      </c>
      <c r="I28" s="7">
        <f t="shared" ref="I28:I36" si="2">H28*L28</f>
        <v>0.32732069357067872</v>
      </c>
      <c r="J28" s="7">
        <f>18.7*0.001</f>
        <v>1.8700000000000001E-2</v>
      </c>
      <c r="K28" s="7">
        <f>((35+40)/2)*0.1</f>
        <v>3.75</v>
      </c>
      <c r="L28" s="7">
        <f>28*0.001</f>
        <v>2.8000000000000001E-2</v>
      </c>
      <c r="M28" s="7">
        <v>2.2779739050000001</v>
      </c>
      <c r="N28" s="4">
        <v>6</v>
      </c>
      <c r="O28" t="s">
        <v>37</v>
      </c>
      <c r="P28">
        <v>15.54621184</v>
      </c>
      <c r="Q28">
        <v>1.516903017</v>
      </c>
      <c r="R28">
        <v>13.33039057</v>
      </c>
      <c r="S28">
        <v>19.075065200000001</v>
      </c>
      <c r="T28">
        <v>2.5365677E-2</v>
      </c>
      <c r="U28">
        <v>3.8372154999999998E-2</v>
      </c>
      <c r="V28">
        <v>-8.2550950000000005E-3</v>
      </c>
      <c r="W28">
        <v>0.12775426000000001</v>
      </c>
      <c r="X28" t="s">
        <v>129</v>
      </c>
    </row>
    <row r="29" spans="1:24" x14ac:dyDescent="0.2">
      <c r="A29">
        <v>21</v>
      </c>
      <c r="B29" t="s">
        <v>43</v>
      </c>
      <c r="C29" t="s">
        <v>128</v>
      </c>
      <c r="D29" t="s">
        <v>133</v>
      </c>
      <c r="E29" t="s">
        <v>131</v>
      </c>
      <c r="F29">
        <v>19.2</v>
      </c>
      <c r="G29" t="s">
        <v>14</v>
      </c>
      <c r="H29" s="7">
        <f>2*15.5</f>
        <v>31</v>
      </c>
      <c r="I29" s="7">
        <f t="shared" si="2"/>
        <v>0.35649999999999998</v>
      </c>
      <c r="J29" s="7"/>
      <c r="K29" s="7">
        <f>AVERAGE(35,37)*0.1</f>
        <v>3.6</v>
      </c>
      <c r="L29" s="7">
        <f>11.5*0.001</f>
        <v>1.15E-2</v>
      </c>
      <c r="M29" s="7">
        <v>2.155300371</v>
      </c>
      <c r="N29" s="4">
        <v>6</v>
      </c>
      <c r="O29" t="s">
        <v>37</v>
      </c>
      <c r="P29">
        <v>19.06127905</v>
      </c>
      <c r="Q29">
        <v>1.7077028780000001</v>
      </c>
      <c r="R29">
        <v>16.01909934</v>
      </c>
      <c r="S29">
        <v>22.722474439999999</v>
      </c>
      <c r="T29">
        <v>6.0630101999999998E-2</v>
      </c>
      <c r="U29">
        <v>3.3212281000000003E-2</v>
      </c>
      <c r="V29">
        <v>8.5745479999999995E-3</v>
      </c>
      <c r="W29">
        <v>0.131880201</v>
      </c>
      <c r="X29" t="s">
        <v>129</v>
      </c>
    </row>
    <row r="30" spans="1:24" x14ac:dyDescent="0.2">
      <c r="A30">
        <v>22</v>
      </c>
      <c r="B30" t="s">
        <v>46</v>
      </c>
      <c r="C30" t="s">
        <v>128</v>
      </c>
      <c r="D30" t="s">
        <v>133</v>
      </c>
      <c r="E30" t="s">
        <v>131</v>
      </c>
      <c r="F30">
        <v>20</v>
      </c>
      <c r="G30" t="s">
        <v>14</v>
      </c>
      <c r="H30" s="7">
        <v>1</v>
      </c>
      <c r="I30" s="7">
        <f t="shared" si="2"/>
        <v>8.199999999999999E-3</v>
      </c>
      <c r="J30" s="7">
        <f>((6+7.5)/2)*0.001</f>
        <v>6.7499999999999999E-3</v>
      </c>
      <c r="K30" s="7"/>
      <c r="L30" s="7">
        <f>8.2*0.001</f>
        <v>8.199999999999999E-3</v>
      </c>
      <c r="M30" s="7">
        <v>0.15799327699999999</v>
      </c>
      <c r="N30" s="4">
        <v>3</v>
      </c>
      <c r="O30" t="s">
        <v>37</v>
      </c>
      <c r="P30">
        <v>15.15321408</v>
      </c>
      <c r="Q30">
        <v>1.4591458100000001</v>
      </c>
      <c r="R30">
        <v>12.69906763</v>
      </c>
      <c r="S30">
        <v>18.3831624</v>
      </c>
      <c r="T30">
        <v>9.1227470000000005E-3</v>
      </c>
      <c r="U30">
        <v>1.5731755E-2</v>
      </c>
      <c r="V30">
        <v>-8.9896980000000008E-3</v>
      </c>
      <c r="W30">
        <v>5.2462921000000003E-2</v>
      </c>
      <c r="X30" t="s">
        <v>129</v>
      </c>
    </row>
    <row r="31" spans="1:24" x14ac:dyDescent="0.2">
      <c r="A31">
        <v>23</v>
      </c>
      <c r="B31" t="s">
        <v>67</v>
      </c>
      <c r="C31" t="s">
        <v>128</v>
      </c>
      <c r="D31" t="s">
        <v>133</v>
      </c>
      <c r="E31" t="s">
        <v>131</v>
      </c>
      <c r="F31">
        <v>60</v>
      </c>
      <c r="G31" t="s">
        <v>14</v>
      </c>
      <c r="H31" s="7">
        <f>8*1.5</f>
        <v>12</v>
      </c>
      <c r="I31" s="7">
        <f t="shared" si="2"/>
        <v>0.16188</v>
      </c>
      <c r="J31" s="7"/>
      <c r="K31" s="7">
        <f>((28+27.9)/2)*0.1</f>
        <v>2.7949999999999999</v>
      </c>
      <c r="L31" s="7">
        <f>13.49*0.001</f>
        <v>1.349E-2</v>
      </c>
      <c r="M31" s="7">
        <v>0.91152701400000002</v>
      </c>
      <c r="N31" s="4">
        <v>17</v>
      </c>
      <c r="O31" t="s">
        <v>37</v>
      </c>
      <c r="P31">
        <v>11.49412798</v>
      </c>
      <c r="Q31">
        <v>1.483654832</v>
      </c>
      <c r="R31">
        <v>8.9575042699999994</v>
      </c>
      <c r="S31">
        <v>14.731491760000001</v>
      </c>
      <c r="T31">
        <v>4.8285280999999999E-2</v>
      </c>
      <c r="U31">
        <v>3.9146872999999999E-2</v>
      </c>
      <c r="V31">
        <v>-2.110776E-3</v>
      </c>
      <c r="W31">
        <v>0.143477824</v>
      </c>
      <c r="X31" t="s">
        <v>129</v>
      </c>
    </row>
    <row r="32" spans="1:24" x14ac:dyDescent="0.2">
      <c r="A32">
        <v>24</v>
      </c>
      <c r="B32" t="s">
        <v>68</v>
      </c>
      <c r="C32" t="s">
        <v>128</v>
      </c>
      <c r="D32" t="s">
        <v>133</v>
      </c>
      <c r="E32" t="s">
        <v>131</v>
      </c>
      <c r="F32">
        <v>40</v>
      </c>
      <c r="G32" t="s">
        <v>14</v>
      </c>
      <c r="H32" s="7">
        <v>3</v>
      </c>
      <c r="I32" s="7">
        <f t="shared" si="2"/>
        <v>1.392E-2</v>
      </c>
      <c r="J32" s="7"/>
      <c r="K32" s="7">
        <f>((21.1+30.1)/2)*0.1</f>
        <v>2.5600000000000005</v>
      </c>
      <c r="L32" s="7">
        <f>4.64*0.001</f>
        <v>4.64E-3</v>
      </c>
      <c r="M32" s="7">
        <v>0.153112521</v>
      </c>
      <c r="N32" s="4">
        <v>7</v>
      </c>
      <c r="O32" t="s">
        <v>37</v>
      </c>
      <c r="P32">
        <v>11.666152439999999</v>
      </c>
      <c r="Q32">
        <v>1.422777497</v>
      </c>
      <c r="R32">
        <v>9.1721486789999993</v>
      </c>
      <c r="S32">
        <v>14.704396239999999</v>
      </c>
      <c r="T32">
        <v>1.8837890999999999E-2</v>
      </c>
      <c r="U32">
        <v>2.1333343000000001E-2</v>
      </c>
      <c r="V32">
        <v>-8.1178069999999995E-3</v>
      </c>
      <c r="W32">
        <v>7.2600002999999996E-2</v>
      </c>
      <c r="X32" t="s">
        <v>129</v>
      </c>
    </row>
    <row r="33" spans="1:24" x14ac:dyDescent="0.2">
      <c r="A33">
        <v>25</v>
      </c>
      <c r="B33" t="s">
        <v>66</v>
      </c>
      <c r="C33" t="s">
        <v>128</v>
      </c>
      <c r="D33" t="s">
        <v>133</v>
      </c>
      <c r="E33" t="s">
        <v>131</v>
      </c>
      <c r="F33">
        <v>62.8</v>
      </c>
      <c r="G33" t="s">
        <v>15</v>
      </c>
      <c r="H33" s="7">
        <f>5.892097265*2</f>
        <v>11.784194530000001</v>
      </c>
      <c r="I33" s="7">
        <f t="shared" si="2"/>
        <v>0.42364179335350005</v>
      </c>
      <c r="J33" s="7">
        <f>32.9*0.001</f>
        <v>3.2899999999999999E-2</v>
      </c>
      <c r="K33" s="7">
        <f>((36+48)/2)*0.1</f>
        <v>4.2</v>
      </c>
      <c r="L33" s="7">
        <f>35.95*0.001</f>
        <v>3.5950000000000003E-2</v>
      </c>
      <c r="M33" s="7">
        <v>3.717695054</v>
      </c>
      <c r="N33" s="4">
        <v>15</v>
      </c>
      <c r="O33" t="s">
        <v>37</v>
      </c>
      <c r="P33">
        <v>15.45389119</v>
      </c>
      <c r="Q33">
        <v>1.614845197</v>
      </c>
      <c r="R33">
        <v>12.568650549999999</v>
      </c>
      <c r="S33">
        <v>18.869545089999999</v>
      </c>
      <c r="T33">
        <v>8.0291389999999994E-3</v>
      </c>
      <c r="U33">
        <v>9.8427329999999993E-3</v>
      </c>
      <c r="V33">
        <v>-6.1389169999999998E-3</v>
      </c>
      <c r="W33">
        <v>3.230508E-2</v>
      </c>
      <c r="X33" t="s">
        <v>129</v>
      </c>
    </row>
    <row r="34" spans="1:24" x14ac:dyDescent="0.2">
      <c r="A34">
        <v>26</v>
      </c>
      <c r="B34" t="s">
        <v>65</v>
      </c>
      <c r="C34" t="s">
        <v>128</v>
      </c>
      <c r="D34" t="s">
        <v>133</v>
      </c>
      <c r="E34" t="s">
        <v>131</v>
      </c>
      <c r="F34">
        <v>30.7</v>
      </c>
      <c r="G34" t="s">
        <v>15</v>
      </c>
      <c r="H34" s="7">
        <f>2.8*1</f>
        <v>2.8</v>
      </c>
      <c r="I34" s="7">
        <f t="shared" si="2"/>
        <v>9.491999999999999E-2</v>
      </c>
      <c r="J34" s="7">
        <f>32.9*0.001</f>
        <v>3.2899999999999999E-2</v>
      </c>
      <c r="K34" s="7">
        <f>((40+50)/2)*0.1</f>
        <v>4.5</v>
      </c>
      <c r="L34" s="7">
        <f>33.9*0.001</f>
        <v>3.39E-2</v>
      </c>
      <c r="M34" s="7">
        <v>1.7751749999999999</v>
      </c>
      <c r="N34" s="4">
        <v>13</v>
      </c>
      <c r="O34" t="s">
        <v>37</v>
      </c>
      <c r="X34" t="s">
        <v>129</v>
      </c>
    </row>
    <row r="35" spans="1:24" x14ac:dyDescent="0.2">
      <c r="A35">
        <v>27</v>
      </c>
      <c r="B35" t="s">
        <v>64</v>
      </c>
      <c r="C35" t="s">
        <v>128</v>
      </c>
      <c r="D35" t="s">
        <v>133</v>
      </c>
      <c r="E35" t="s">
        <v>131</v>
      </c>
      <c r="F35">
        <v>25</v>
      </c>
      <c r="G35" t="s">
        <v>15</v>
      </c>
      <c r="H35" s="7">
        <f>6.6*1</f>
        <v>6.6</v>
      </c>
      <c r="I35" s="7">
        <f t="shared" si="2"/>
        <v>0.27027000000000001</v>
      </c>
      <c r="J35" s="7">
        <f>32.9*0.001</f>
        <v>3.2899999999999999E-2</v>
      </c>
      <c r="K35" s="7">
        <f>((32+51.8)/2)*0.1</f>
        <v>4.1900000000000004</v>
      </c>
      <c r="L35" s="7">
        <f>40.95*0.001</f>
        <v>4.095E-2</v>
      </c>
      <c r="M35" s="7">
        <v>4.4977634179999999</v>
      </c>
      <c r="N35" s="4">
        <v>13</v>
      </c>
      <c r="O35" t="s">
        <v>37</v>
      </c>
      <c r="P35">
        <v>12.85135893</v>
      </c>
      <c r="Q35">
        <v>1.5331409359999999</v>
      </c>
      <c r="R35">
        <v>10.12733869</v>
      </c>
      <c r="S35">
        <v>16.18284478</v>
      </c>
      <c r="T35">
        <v>1.1460402999999999E-2</v>
      </c>
      <c r="U35">
        <v>1.6750823000000001E-2</v>
      </c>
      <c r="V35">
        <v>-1.1417946999999999E-2</v>
      </c>
      <c r="W35">
        <v>5.4445923E-2</v>
      </c>
      <c r="X35" t="s">
        <v>129</v>
      </c>
    </row>
    <row r="36" spans="1:24" x14ac:dyDescent="0.2">
      <c r="A36">
        <v>28</v>
      </c>
      <c r="B36" t="s">
        <v>109</v>
      </c>
      <c r="C36" t="s">
        <v>128</v>
      </c>
      <c r="D36" t="s">
        <v>133</v>
      </c>
      <c r="E36" t="s">
        <v>131</v>
      </c>
      <c r="F36" s="18">
        <v>36.941666669999996</v>
      </c>
      <c r="G36" t="s">
        <v>15</v>
      </c>
      <c r="H36" s="7">
        <f>3.3*3.4</f>
        <v>11.219999999999999</v>
      </c>
      <c r="I36" s="7">
        <f t="shared" si="2"/>
        <v>0.16257779999999999</v>
      </c>
      <c r="J36" s="7">
        <f>((45+12.5)/2)*0.001</f>
        <v>2.8750000000000001E-2</v>
      </c>
      <c r="K36" s="7">
        <f>((29.9+34.3)/2)*0.001</f>
        <v>3.2099999999999997E-2</v>
      </c>
      <c r="L36" s="7">
        <f>14.49*0.001</f>
        <v>1.4490000000000001E-2</v>
      </c>
      <c r="M36" s="7">
        <f>1135*0.001</f>
        <v>1.135</v>
      </c>
      <c r="N36" s="4">
        <v>7</v>
      </c>
      <c r="O36" t="s">
        <v>37</v>
      </c>
      <c r="P36">
        <v>14.440339099999999</v>
      </c>
      <c r="Q36">
        <v>1.335676291</v>
      </c>
      <c r="R36">
        <v>11.94970086</v>
      </c>
      <c r="S36">
        <v>17.17203147</v>
      </c>
      <c r="T36">
        <v>6.6076847999999994E-2</v>
      </c>
      <c r="U36">
        <v>3.2921871999999998E-2</v>
      </c>
      <c r="V36">
        <v>1.2545598999999999E-2</v>
      </c>
      <c r="W36">
        <v>0.13726659299999999</v>
      </c>
      <c r="X36" t="s">
        <v>129</v>
      </c>
    </row>
    <row r="37" spans="1:24" x14ac:dyDescent="0.2">
      <c r="A37">
        <v>28</v>
      </c>
      <c r="B37" s="10" t="s">
        <v>90</v>
      </c>
      <c r="C37" s="10" t="s">
        <v>127</v>
      </c>
      <c r="D37" s="10" t="s">
        <v>139</v>
      </c>
      <c r="E37" s="9" t="s">
        <v>131</v>
      </c>
      <c r="F37" s="19">
        <v>36.941666669999996</v>
      </c>
      <c r="G37" s="10" t="s">
        <v>15</v>
      </c>
      <c r="H37" s="8">
        <f>1.2*4.6</f>
        <v>5.52</v>
      </c>
      <c r="I37" s="8">
        <v>0.122</v>
      </c>
      <c r="J37" s="8">
        <v>2.8750000000000001E-2</v>
      </c>
      <c r="K37" s="8">
        <v>3.2099999999999997E-2</v>
      </c>
      <c r="L37" s="8">
        <v>1.018E-2</v>
      </c>
      <c r="M37" s="8">
        <f>1130*0.001</f>
        <v>1.1300000000000001</v>
      </c>
      <c r="N37" s="11">
        <v>10</v>
      </c>
      <c r="O37" s="10" t="s">
        <v>35</v>
      </c>
      <c r="P37" s="10">
        <v>24.178894660000001</v>
      </c>
      <c r="Q37" s="5"/>
      <c r="R37" s="5"/>
      <c r="S37" s="5"/>
      <c r="T37">
        <v>5.2998447999999997E-2</v>
      </c>
      <c r="U37" s="5"/>
      <c r="V37" s="5"/>
      <c r="W37" s="5"/>
      <c r="X37" s="5" t="s">
        <v>103</v>
      </c>
    </row>
    <row r="38" spans="1:24" x14ac:dyDescent="0.2">
      <c r="A38">
        <v>29</v>
      </c>
      <c r="B38" s="10" t="s">
        <v>94</v>
      </c>
      <c r="C38" s="10" t="s">
        <v>127</v>
      </c>
      <c r="D38" s="10" t="s">
        <v>140</v>
      </c>
      <c r="E38" s="9" t="s">
        <v>131</v>
      </c>
      <c r="F38" s="19">
        <v>19.966666669999999</v>
      </c>
      <c r="G38" s="10" t="s">
        <v>14</v>
      </c>
      <c r="H38" s="9">
        <v>20.7723367</v>
      </c>
      <c r="I38" s="8"/>
      <c r="J38" s="8">
        <v>5.4099999999999999E-3</v>
      </c>
      <c r="K38" s="8">
        <v>3</v>
      </c>
      <c r="L38" s="8">
        <f>10.3*0.001</f>
        <v>1.03E-2</v>
      </c>
      <c r="M38" s="8">
        <v>1.1379999999999999</v>
      </c>
      <c r="N38" s="11">
        <v>9</v>
      </c>
      <c r="O38" s="10" t="s">
        <v>35</v>
      </c>
      <c r="P38" s="10">
        <v>8.7569330000000001</v>
      </c>
      <c r="Q38" s="5"/>
      <c r="R38" s="5"/>
      <c r="S38" s="5"/>
      <c r="T38">
        <v>-1.306445E-2</v>
      </c>
      <c r="U38" s="5"/>
      <c r="V38" s="5"/>
      <c r="W38" s="5"/>
      <c r="X38" s="5" t="s">
        <v>103</v>
      </c>
    </row>
    <row r="39" spans="1:24" x14ac:dyDescent="0.2">
      <c r="A39">
        <v>30</v>
      </c>
      <c r="B39" t="s">
        <v>71</v>
      </c>
      <c r="C39" t="s">
        <v>128</v>
      </c>
      <c r="D39" t="s">
        <v>133</v>
      </c>
      <c r="E39" t="s">
        <v>131</v>
      </c>
      <c r="F39">
        <v>35.4</v>
      </c>
      <c r="G39" t="s">
        <v>14</v>
      </c>
      <c r="H39" s="7">
        <f>AVERAGE(12.3,10.8,10.9,14.1,12.8,6.6)*2.3</f>
        <v>25.874999999999996</v>
      </c>
      <c r="I39" s="7">
        <f>H39*L39</f>
        <v>0.25253999999999993</v>
      </c>
      <c r="J39" s="7"/>
      <c r="K39" s="7">
        <f>((25+37)/2)*0.1</f>
        <v>3.1</v>
      </c>
      <c r="L39" s="7">
        <f>9.76*0.001</f>
        <v>9.7599999999999996E-3</v>
      </c>
      <c r="M39" s="7">
        <f>1477*0.001</f>
        <v>1.4770000000000001</v>
      </c>
      <c r="N39" s="4">
        <v>6</v>
      </c>
      <c r="O39" t="s">
        <v>37</v>
      </c>
      <c r="P39">
        <v>14.99444418</v>
      </c>
      <c r="Q39">
        <v>1.576101355</v>
      </c>
      <c r="R39">
        <v>12.45478029</v>
      </c>
      <c r="S39">
        <v>18.688084740000001</v>
      </c>
      <c r="T39">
        <v>5.1621340000000002E-2</v>
      </c>
      <c r="U39">
        <v>3.8987053000000001E-2</v>
      </c>
      <c r="V39">
        <v>-1.2834630000000001E-3</v>
      </c>
      <c r="W39">
        <v>0.140446345</v>
      </c>
      <c r="X39" t="s">
        <v>129</v>
      </c>
    </row>
    <row r="40" spans="1:24" x14ac:dyDescent="0.2">
      <c r="A40">
        <v>31</v>
      </c>
      <c r="B40" t="s">
        <v>42</v>
      </c>
      <c r="C40" t="s">
        <v>128</v>
      </c>
      <c r="D40" t="s">
        <v>133</v>
      </c>
      <c r="E40" t="s">
        <v>131</v>
      </c>
      <c r="F40">
        <v>29.6</v>
      </c>
      <c r="G40" t="s">
        <v>14</v>
      </c>
      <c r="H40" s="7">
        <f>5.625*1.12</f>
        <v>6.3000000000000007</v>
      </c>
      <c r="I40" s="7">
        <f>H40*L40</f>
        <v>0.30743999999999999</v>
      </c>
      <c r="J40" s="7">
        <f>31.5*0.001</f>
        <v>3.15E-2</v>
      </c>
      <c r="K40" s="7">
        <f>52.7*0.1</f>
        <v>5.2700000000000005</v>
      </c>
      <c r="L40" s="7">
        <f>48.8*0.001</f>
        <v>4.8799999999999996E-2</v>
      </c>
      <c r="M40" s="7">
        <v>4.7009960980000001</v>
      </c>
      <c r="N40" s="4">
        <v>7</v>
      </c>
      <c r="O40" t="s">
        <v>37</v>
      </c>
      <c r="P40">
        <v>17.760025049999999</v>
      </c>
      <c r="Q40">
        <v>1.5143257480000001</v>
      </c>
      <c r="R40">
        <v>15.144521709999999</v>
      </c>
      <c r="S40">
        <v>21.09687641</v>
      </c>
      <c r="T40">
        <v>4.1946520000000001E-2</v>
      </c>
      <c r="U40">
        <v>2.6352621999999999E-2</v>
      </c>
      <c r="V40">
        <v>3.6151070000000002E-3</v>
      </c>
      <c r="W40">
        <v>0.104660358</v>
      </c>
      <c r="X40" t="s">
        <v>129</v>
      </c>
    </row>
    <row r="41" spans="1:24" x14ac:dyDescent="0.2">
      <c r="A41">
        <v>32</v>
      </c>
      <c r="B41" s="10" t="s">
        <v>95</v>
      </c>
      <c r="C41" s="10" t="s">
        <v>127</v>
      </c>
      <c r="D41" s="10" t="s">
        <v>141</v>
      </c>
      <c r="E41" s="9" t="s">
        <v>131</v>
      </c>
      <c r="F41" s="10">
        <v>11.8</v>
      </c>
      <c r="G41" s="10" t="s">
        <v>14</v>
      </c>
      <c r="H41" s="8">
        <v>2</v>
      </c>
      <c r="I41" s="8">
        <v>8.1000000000000003E-2</v>
      </c>
      <c r="J41" s="8">
        <f>7.8*0.001</f>
        <v>7.7999999999999996E-3</v>
      </c>
      <c r="K41" s="8">
        <v>4.3</v>
      </c>
      <c r="L41" s="8">
        <v>8.9999999999999993E-3</v>
      </c>
      <c r="M41" s="8">
        <f>389*0.001</f>
        <v>0.38900000000000001</v>
      </c>
      <c r="N41" s="11">
        <v>15</v>
      </c>
      <c r="O41" s="10" t="s">
        <v>35</v>
      </c>
      <c r="P41" s="10">
        <v>11.879044499999999</v>
      </c>
      <c r="Q41" s="5"/>
      <c r="R41" s="5"/>
      <c r="S41" s="5"/>
      <c r="T41">
        <v>0.124046381</v>
      </c>
      <c r="U41" s="5"/>
      <c r="V41" s="5"/>
      <c r="W41" s="5"/>
      <c r="X41" s="5" t="s">
        <v>103</v>
      </c>
    </row>
    <row r="42" spans="1:24" x14ac:dyDescent="0.2">
      <c r="A42">
        <v>33</v>
      </c>
      <c r="B42" t="s">
        <v>48</v>
      </c>
      <c r="C42" t="s">
        <v>128</v>
      </c>
      <c r="D42" t="s">
        <v>133</v>
      </c>
      <c r="E42" t="s">
        <v>131</v>
      </c>
      <c r="F42">
        <v>14.1</v>
      </c>
      <c r="G42" t="s">
        <v>15</v>
      </c>
      <c r="H42" s="7">
        <f>4*2.5</f>
        <v>10</v>
      </c>
      <c r="I42" s="7">
        <f>H42*L42</f>
        <v>0.42799999999999999</v>
      </c>
      <c r="J42" s="7">
        <f>((17+27)/2)*0.001</f>
        <v>2.1999999999999999E-2</v>
      </c>
      <c r="K42" s="7">
        <f>((31+49)/2)*0.1</f>
        <v>4</v>
      </c>
      <c r="L42" s="7">
        <f>42.8*0.001</f>
        <v>4.2799999999999998E-2</v>
      </c>
      <c r="M42" s="7">
        <v>2.2784711569999998</v>
      </c>
      <c r="N42" s="4">
        <v>6</v>
      </c>
      <c r="O42" t="s">
        <v>37</v>
      </c>
      <c r="P42">
        <v>21.675100749999999</v>
      </c>
      <c r="Q42">
        <v>1.9504776500000001</v>
      </c>
      <c r="R42">
        <v>18.600337740000001</v>
      </c>
      <c r="S42">
        <v>26.263005939999999</v>
      </c>
      <c r="T42">
        <v>3.1707500999999999E-2</v>
      </c>
      <c r="U42">
        <v>2.1642207E-2</v>
      </c>
      <c r="V42">
        <v>2.064045E-3</v>
      </c>
      <c r="W42">
        <v>8.3289888000000006E-2</v>
      </c>
      <c r="X42" t="s">
        <v>129</v>
      </c>
    </row>
    <row r="43" spans="1:24" x14ac:dyDescent="0.2">
      <c r="A43">
        <v>34</v>
      </c>
      <c r="B43" t="s">
        <v>47</v>
      </c>
      <c r="C43" t="s">
        <v>128</v>
      </c>
      <c r="D43" t="s">
        <v>133</v>
      </c>
      <c r="E43" t="s">
        <v>131</v>
      </c>
      <c r="F43">
        <v>39.200000000000003</v>
      </c>
      <c r="G43" t="s">
        <v>15</v>
      </c>
      <c r="H43" s="7">
        <f>4*2.5</f>
        <v>10</v>
      </c>
      <c r="I43" s="7">
        <f>H43*L43</f>
        <v>0.15699999999999997</v>
      </c>
      <c r="J43" s="7"/>
      <c r="K43" s="7"/>
      <c r="L43" s="7">
        <f>15.7*0.001</f>
        <v>1.5699999999999999E-2</v>
      </c>
      <c r="M43" s="7">
        <v>1.6187</v>
      </c>
      <c r="N43" s="4">
        <v>8</v>
      </c>
      <c r="O43" t="s">
        <v>37</v>
      </c>
      <c r="P43">
        <v>8.6759213339999999</v>
      </c>
      <c r="Q43">
        <v>1.6658753930000001</v>
      </c>
      <c r="R43">
        <v>5.9927899929999997</v>
      </c>
      <c r="S43">
        <v>12.434862280000001</v>
      </c>
      <c r="T43">
        <v>1.8546508E-2</v>
      </c>
      <c r="U43">
        <v>2.9487718E-2</v>
      </c>
      <c r="V43">
        <v>-2.0304218999999998E-2</v>
      </c>
      <c r="W43">
        <v>9.5667463999999994E-2</v>
      </c>
      <c r="X43" t="s">
        <v>129</v>
      </c>
    </row>
    <row r="44" spans="1:24" x14ac:dyDescent="0.2">
      <c r="A44">
        <v>35</v>
      </c>
      <c r="B44" t="s">
        <v>55</v>
      </c>
      <c r="C44" t="s">
        <v>128</v>
      </c>
      <c r="D44" t="s">
        <v>133</v>
      </c>
      <c r="E44" t="s">
        <v>131</v>
      </c>
      <c r="F44">
        <v>26.5</v>
      </c>
      <c r="G44" t="s">
        <v>15</v>
      </c>
      <c r="H44" s="7">
        <f>2.3*4</f>
        <v>9.1999999999999993</v>
      </c>
      <c r="I44" s="7">
        <f>H44*L44</f>
        <v>0.33193600000000001</v>
      </c>
      <c r="J44" s="7"/>
      <c r="K44" s="7">
        <f>40*0.1</f>
        <v>4</v>
      </c>
      <c r="L44" s="7">
        <f>36.08*0.001</f>
        <v>3.6080000000000001E-2</v>
      </c>
      <c r="M44" s="7">
        <v>2.2266136200000002</v>
      </c>
      <c r="N44" s="4">
        <v>12</v>
      </c>
      <c r="O44" t="s">
        <v>37</v>
      </c>
      <c r="P44">
        <v>10.17687888</v>
      </c>
      <c r="Q44">
        <v>1.3794786370000001</v>
      </c>
      <c r="R44">
        <v>7.8277668719999998</v>
      </c>
      <c r="S44">
        <v>13.203501989999999</v>
      </c>
      <c r="T44" s="1">
        <v>1.08E-5</v>
      </c>
      <c r="U44">
        <v>3.6461940000000002E-3</v>
      </c>
      <c r="V44">
        <v>-4.6896009999999998E-3</v>
      </c>
      <c r="W44">
        <v>4.9578069999999998E-3</v>
      </c>
      <c r="X44" t="s">
        <v>129</v>
      </c>
    </row>
    <row r="45" spans="1:24" x14ac:dyDescent="0.2">
      <c r="A45">
        <v>36</v>
      </c>
      <c r="B45" t="s">
        <v>54</v>
      </c>
      <c r="C45" t="s">
        <v>128</v>
      </c>
      <c r="D45" t="s">
        <v>133</v>
      </c>
      <c r="E45" t="s">
        <v>131</v>
      </c>
      <c r="F45">
        <v>60</v>
      </c>
      <c r="G45" t="s">
        <v>15</v>
      </c>
      <c r="H45" s="7">
        <f>3*1.5</f>
        <v>4.5</v>
      </c>
      <c r="I45" s="7"/>
      <c r="J45" s="7">
        <f>((15+22)/2)*0.1</f>
        <v>1.85</v>
      </c>
      <c r="K45" s="7">
        <f>((42+47)/2)*0.1</f>
        <v>4.45</v>
      </c>
      <c r="L45" s="7">
        <f>((23+32)/2)*0.001</f>
        <v>2.75E-2</v>
      </c>
      <c r="M45" s="7">
        <v>0.82394871800000002</v>
      </c>
      <c r="N45" s="4">
        <v>15</v>
      </c>
      <c r="O45" t="s">
        <v>37</v>
      </c>
      <c r="P45">
        <v>7.5690665900000003</v>
      </c>
      <c r="Q45">
        <v>1.2532340850000001</v>
      </c>
      <c r="R45">
        <v>5.4503199200000001</v>
      </c>
      <c r="S45">
        <v>10.362963690000001</v>
      </c>
      <c r="T45">
        <v>1.5282274E-2</v>
      </c>
      <c r="U45">
        <v>2.4499139999999999E-2</v>
      </c>
      <c r="V45">
        <v>-1.8679087E-2</v>
      </c>
      <c r="W45">
        <v>7.9425622000000001E-2</v>
      </c>
      <c r="X45" t="s">
        <v>129</v>
      </c>
    </row>
    <row r="46" spans="1:24" x14ac:dyDescent="0.2">
      <c r="A46">
        <v>37</v>
      </c>
      <c r="B46" s="10" t="s">
        <v>96</v>
      </c>
      <c r="C46" s="10" t="s">
        <v>127</v>
      </c>
      <c r="D46" s="10" t="s">
        <v>142</v>
      </c>
      <c r="E46" s="9" t="s">
        <v>131</v>
      </c>
      <c r="F46" s="10">
        <v>42.4</v>
      </c>
      <c r="G46" s="10" t="s">
        <v>14</v>
      </c>
      <c r="H46" s="8">
        <v>4.68</v>
      </c>
      <c r="I46" s="8">
        <v>2.3E-2</v>
      </c>
      <c r="J46" s="8">
        <v>2.5100000000000001E-3</v>
      </c>
      <c r="K46" s="8">
        <v>2.5499999999999998</v>
      </c>
      <c r="L46" s="8">
        <v>4.8399999999999997E-3</v>
      </c>
      <c r="M46" s="8">
        <f>271.3*0.001</f>
        <v>0.27130000000000004</v>
      </c>
      <c r="N46" s="11">
        <v>11</v>
      </c>
      <c r="O46" s="10" t="s">
        <v>35</v>
      </c>
      <c r="P46" s="10">
        <v>11.953288280000001</v>
      </c>
      <c r="Q46" s="5"/>
      <c r="R46" s="5"/>
      <c r="S46" s="5"/>
      <c r="T46">
        <v>3.9536068000000001E-2</v>
      </c>
      <c r="U46" s="5"/>
      <c r="V46" s="5"/>
      <c r="W46" s="5"/>
      <c r="X46" s="5" t="s">
        <v>103</v>
      </c>
    </row>
    <row r="47" spans="1:24" x14ac:dyDescent="0.2">
      <c r="A47">
        <v>38</v>
      </c>
      <c r="B47" t="s">
        <v>74</v>
      </c>
      <c r="C47" t="s">
        <v>128</v>
      </c>
      <c r="D47" t="s">
        <v>133</v>
      </c>
      <c r="E47" t="s">
        <v>131</v>
      </c>
      <c r="F47">
        <v>19.2</v>
      </c>
      <c r="G47" t="s">
        <v>14</v>
      </c>
      <c r="H47" s="7">
        <f>2.26*((1+6.2)/2)</f>
        <v>8.1359999999999992</v>
      </c>
      <c r="I47" s="7">
        <f>H47*L47</f>
        <v>7.2410399999999972E-2</v>
      </c>
      <c r="J47" s="7">
        <f>5.8*0.001</f>
        <v>5.7999999999999996E-3</v>
      </c>
      <c r="K47" s="7">
        <f>30.2*0.1</f>
        <v>3.02</v>
      </c>
      <c r="L47" s="7">
        <f>AVERAGE(9.6,8.2)*0.001</f>
        <v>8.8999999999999982E-3</v>
      </c>
      <c r="M47" s="7">
        <f>AVERAGE(730,343.7)*0.001</f>
        <v>0.53685000000000005</v>
      </c>
      <c r="N47" s="4">
        <v>10</v>
      </c>
      <c r="O47" t="s">
        <v>37</v>
      </c>
      <c r="P47">
        <v>1.6083826130000001</v>
      </c>
      <c r="Q47">
        <v>0.38722810899999999</v>
      </c>
      <c r="R47">
        <v>0.99599931200000003</v>
      </c>
      <c r="S47">
        <v>2.5054982990000001</v>
      </c>
      <c r="T47">
        <v>2.3811593999999998E-2</v>
      </c>
      <c r="U47">
        <v>5.4401975999999998E-2</v>
      </c>
      <c r="V47">
        <v>-6.1526547000000001E-2</v>
      </c>
      <c r="W47">
        <v>0.164235666</v>
      </c>
      <c r="X47" t="s">
        <v>129</v>
      </c>
    </row>
    <row r="48" spans="1:24" x14ac:dyDescent="0.2">
      <c r="A48">
        <v>39</v>
      </c>
      <c r="B48" t="s">
        <v>72</v>
      </c>
      <c r="C48" t="s">
        <v>128</v>
      </c>
      <c r="D48" t="s">
        <v>133</v>
      </c>
      <c r="E48" t="s">
        <v>131</v>
      </c>
      <c r="F48">
        <v>70.3</v>
      </c>
      <c r="G48" t="s">
        <v>14</v>
      </c>
      <c r="H48" s="7">
        <v>24.75</v>
      </c>
      <c r="I48" s="7">
        <f>H48*L48</f>
        <v>0.80635499999999993</v>
      </c>
      <c r="J48" s="7"/>
      <c r="K48" s="7">
        <f>((35.5+45)/2)*0.1</f>
        <v>4.0250000000000004</v>
      </c>
      <c r="L48" s="7">
        <f>32.58*0.001</f>
        <v>3.2579999999999998E-2</v>
      </c>
      <c r="M48" s="7">
        <v>15.019359359999999</v>
      </c>
      <c r="N48" s="4">
        <v>12</v>
      </c>
      <c r="O48" t="s">
        <v>37</v>
      </c>
      <c r="X48" t="s">
        <v>129</v>
      </c>
    </row>
    <row r="49" spans="1:24" x14ac:dyDescent="0.2">
      <c r="A49">
        <v>40</v>
      </c>
      <c r="B49" t="s">
        <v>49</v>
      </c>
      <c r="C49" t="s">
        <v>128</v>
      </c>
      <c r="D49" t="s">
        <v>133</v>
      </c>
      <c r="E49" t="s">
        <v>131</v>
      </c>
      <c r="F49">
        <v>25.9</v>
      </c>
      <c r="G49" t="s">
        <v>15</v>
      </c>
      <c r="H49" s="7">
        <v>1</v>
      </c>
      <c r="I49" s="7">
        <f>H49*L49</f>
        <v>1.8880000000000001E-2</v>
      </c>
      <c r="J49" s="7">
        <f>((10+23)/2)*0.001</f>
        <v>1.6500000000000001E-2</v>
      </c>
      <c r="K49" s="7">
        <f>((32+47)/2)*0.1</f>
        <v>3.95</v>
      </c>
      <c r="L49" s="7">
        <f>18.88*0.001</f>
        <v>1.8880000000000001E-2</v>
      </c>
      <c r="M49" s="7">
        <v>0.47988644800000002</v>
      </c>
      <c r="N49" s="4">
        <v>5</v>
      </c>
      <c r="O49" t="s">
        <v>37</v>
      </c>
      <c r="P49">
        <v>18.035706229999999</v>
      </c>
      <c r="Q49">
        <v>1.092092061</v>
      </c>
      <c r="R49">
        <v>16.105932849999999</v>
      </c>
      <c r="S49">
        <v>20.3674648</v>
      </c>
      <c r="T49">
        <v>1.2805517000000001E-2</v>
      </c>
      <c r="U49">
        <v>9.4843510000000002E-3</v>
      </c>
      <c r="V49">
        <v>-4.8811200000000002E-4</v>
      </c>
      <c r="W49">
        <v>3.5144598999999999E-2</v>
      </c>
      <c r="X49" t="s">
        <v>129</v>
      </c>
    </row>
    <row r="50" spans="1:24" x14ac:dyDescent="0.2">
      <c r="A50">
        <v>41</v>
      </c>
      <c r="B50" t="s">
        <v>38</v>
      </c>
      <c r="C50" t="s">
        <v>128</v>
      </c>
      <c r="D50" t="s">
        <v>133</v>
      </c>
      <c r="E50" t="s">
        <v>131</v>
      </c>
      <c r="F50">
        <v>24.2</v>
      </c>
      <c r="G50" t="s">
        <v>14</v>
      </c>
      <c r="H50" s="7">
        <f>7.8*2.333333333</f>
        <v>18.199999997399999</v>
      </c>
      <c r="I50" s="7">
        <f>H50*L50</f>
        <v>0.23659999996620001</v>
      </c>
      <c r="J50" s="7">
        <f>5.6*0.001</f>
        <v>5.5999999999999999E-3</v>
      </c>
      <c r="K50" s="7">
        <f>AVERAGE(28.86,29.03,29.14,29.09)*0.1</f>
        <v>2.9030000000000005</v>
      </c>
      <c r="L50" s="7">
        <f>13*0.001</f>
        <v>1.3000000000000001E-2</v>
      </c>
      <c r="M50" s="7">
        <v>0.85362727299999996</v>
      </c>
      <c r="N50" s="4">
        <v>9</v>
      </c>
      <c r="O50" t="s">
        <v>37</v>
      </c>
      <c r="P50">
        <v>10.18214457</v>
      </c>
      <c r="Q50">
        <v>1.467197807</v>
      </c>
      <c r="R50">
        <v>7.6413288650000002</v>
      </c>
      <c r="S50">
        <v>13.33201918</v>
      </c>
      <c r="T50">
        <v>3.5659739000000003E-2</v>
      </c>
      <c r="U50">
        <v>3.5189191000000002E-2</v>
      </c>
      <c r="V50">
        <v>-7.6916229999999999E-3</v>
      </c>
      <c r="W50">
        <v>0.123867667</v>
      </c>
      <c r="X50" t="s">
        <v>129</v>
      </c>
    </row>
    <row r="51" spans="1:24" x14ac:dyDescent="0.2">
      <c r="A51">
        <v>42</v>
      </c>
      <c r="B51" s="10" t="s">
        <v>97</v>
      </c>
      <c r="C51" s="10" t="s">
        <v>127</v>
      </c>
      <c r="D51" s="10" t="s">
        <v>144</v>
      </c>
      <c r="E51" s="9" t="s">
        <v>131</v>
      </c>
      <c r="F51" s="10">
        <v>17.600000000000001</v>
      </c>
      <c r="G51" s="10" t="s">
        <v>14</v>
      </c>
      <c r="H51" s="8">
        <v>5</v>
      </c>
      <c r="I51" s="8">
        <v>4.9000000000000002E-2</v>
      </c>
      <c r="J51" s="8"/>
      <c r="K51" s="8">
        <v>3.5</v>
      </c>
      <c r="L51" s="8">
        <v>9.7999999999999997E-3</v>
      </c>
      <c r="M51" s="8">
        <f>556*0.001</f>
        <v>0.55600000000000005</v>
      </c>
      <c r="N51" s="11">
        <v>6</v>
      </c>
      <c r="O51" s="10" t="s">
        <v>35</v>
      </c>
      <c r="P51" s="10">
        <v>4.76625999</v>
      </c>
      <c r="Q51" s="5"/>
      <c r="R51" s="5"/>
      <c r="S51" s="5"/>
      <c r="T51">
        <v>9.5362106000000002E-2</v>
      </c>
      <c r="U51" s="5"/>
      <c r="V51" s="5"/>
      <c r="W51" s="5"/>
      <c r="X51" s="5" t="s">
        <v>103</v>
      </c>
    </row>
    <row r="52" spans="1:24" x14ac:dyDescent="0.2">
      <c r="A52">
        <v>43</v>
      </c>
      <c r="B52" t="s">
        <v>77</v>
      </c>
      <c r="C52" t="s">
        <v>128</v>
      </c>
      <c r="D52" t="s">
        <v>133</v>
      </c>
      <c r="E52" t="s">
        <v>131</v>
      </c>
      <c r="F52">
        <v>7.3</v>
      </c>
      <c r="G52" t="s">
        <v>14</v>
      </c>
      <c r="H52" s="7">
        <f>14.5*3.5</f>
        <v>50.75</v>
      </c>
      <c r="I52" s="7">
        <f>H52*L52</f>
        <v>0.27405000000000002</v>
      </c>
      <c r="J52" s="7"/>
      <c r="K52" s="7"/>
      <c r="L52" s="7">
        <f>5.4*0.001</f>
        <v>5.4000000000000003E-3</v>
      </c>
      <c r="M52" s="7">
        <v>2.3275000000000001</v>
      </c>
      <c r="N52" s="4">
        <v>4</v>
      </c>
      <c r="O52" t="s">
        <v>37</v>
      </c>
      <c r="P52">
        <v>8.1481271569999993</v>
      </c>
      <c r="Q52">
        <v>1.0755219</v>
      </c>
      <c r="R52">
        <v>6.242045568</v>
      </c>
      <c r="S52">
        <v>10.49541967</v>
      </c>
      <c r="T52">
        <v>8.7989739999999993E-3</v>
      </c>
      <c r="U52">
        <v>1.9808909999999999E-2</v>
      </c>
      <c r="V52">
        <v>-2.187619E-2</v>
      </c>
      <c r="W52">
        <v>5.9234664999999999E-2</v>
      </c>
      <c r="X52" t="s">
        <v>129</v>
      </c>
    </row>
    <row r="53" spans="1:24" x14ac:dyDescent="0.2">
      <c r="A53">
        <v>44</v>
      </c>
      <c r="B53" t="s">
        <v>78</v>
      </c>
      <c r="C53" t="s">
        <v>128</v>
      </c>
      <c r="D53" t="s">
        <v>133</v>
      </c>
      <c r="E53" t="s">
        <v>131</v>
      </c>
      <c r="F53">
        <v>20.100000000000001</v>
      </c>
      <c r="G53" t="s">
        <v>14</v>
      </c>
      <c r="H53" s="7">
        <v>16</v>
      </c>
      <c r="I53" s="7">
        <f>H53*L53</f>
        <v>0.19808000000000001</v>
      </c>
      <c r="J53" s="7"/>
      <c r="K53" s="7">
        <f>((25+30)/2)*0.1</f>
        <v>2.75</v>
      </c>
      <c r="L53" s="7">
        <f>12.38*0.001</f>
        <v>1.238E-2</v>
      </c>
      <c r="M53" s="7">
        <v>2.2730000000000001</v>
      </c>
      <c r="N53" s="4">
        <v>4</v>
      </c>
      <c r="O53" t="s">
        <v>37</v>
      </c>
      <c r="P53">
        <v>12.149596259999999</v>
      </c>
      <c r="Q53">
        <v>1.0426565969999999</v>
      </c>
      <c r="R53">
        <v>10.23200469</v>
      </c>
      <c r="S53">
        <v>14.34731275</v>
      </c>
      <c r="T53">
        <v>1.8909295999999999E-2</v>
      </c>
      <c r="U53">
        <v>1.5511382000000001E-2</v>
      </c>
      <c r="V53">
        <v>-3.1696490000000001E-3</v>
      </c>
      <c r="W53">
        <v>5.5725416E-2</v>
      </c>
      <c r="X53" t="s">
        <v>129</v>
      </c>
    </row>
    <row r="54" spans="1:24" x14ac:dyDescent="0.2">
      <c r="A54">
        <v>45</v>
      </c>
      <c r="B54" t="s">
        <v>79</v>
      </c>
      <c r="C54" t="s">
        <v>128</v>
      </c>
      <c r="D54" t="s">
        <v>133</v>
      </c>
      <c r="E54" t="s">
        <v>131</v>
      </c>
      <c r="F54">
        <v>41</v>
      </c>
      <c r="G54" t="s">
        <v>14</v>
      </c>
      <c r="H54" s="7">
        <v>12</v>
      </c>
      <c r="I54" s="7">
        <f>H54*L54</f>
        <v>0.15479999999999999</v>
      </c>
      <c r="J54" s="7"/>
      <c r="K54" s="7">
        <f>((30+40)/2)*0.1</f>
        <v>3.5</v>
      </c>
      <c r="L54" s="7">
        <f>12.9*0.001</f>
        <v>1.29E-2</v>
      </c>
      <c r="M54" s="7">
        <v>1.365490506</v>
      </c>
      <c r="N54" s="4">
        <v>3</v>
      </c>
      <c r="O54" t="s">
        <v>37</v>
      </c>
      <c r="P54">
        <v>22.994051379999998</v>
      </c>
      <c r="Q54">
        <v>3.3142887600000002</v>
      </c>
      <c r="R54">
        <v>17.890080950000002</v>
      </c>
      <c r="S54">
        <v>30.89351534</v>
      </c>
      <c r="T54">
        <v>1.6493377E-2</v>
      </c>
      <c r="U54">
        <v>1.5361557E-2</v>
      </c>
      <c r="V54">
        <v>-2.6651119999999999E-3</v>
      </c>
      <c r="W54">
        <v>5.4726202000000002E-2</v>
      </c>
      <c r="X54" t="s">
        <v>129</v>
      </c>
    </row>
    <row r="55" spans="1:24" x14ac:dyDescent="0.2">
      <c r="A55">
        <v>46</v>
      </c>
      <c r="B55" t="s">
        <v>84</v>
      </c>
      <c r="C55" t="s">
        <v>128</v>
      </c>
      <c r="D55" t="s">
        <v>133</v>
      </c>
      <c r="E55" t="s">
        <v>131</v>
      </c>
      <c r="F55">
        <v>20</v>
      </c>
      <c r="G55" t="s">
        <v>15</v>
      </c>
      <c r="H55" s="7">
        <v>1</v>
      </c>
      <c r="I55" s="7">
        <f>H55*L55</f>
        <v>2.7E-2</v>
      </c>
      <c r="J55" s="7"/>
      <c r="K55" s="7">
        <f>((43+57 )/2)*0.1</f>
        <v>5</v>
      </c>
      <c r="L55" s="7">
        <f>27*0.001</f>
        <v>2.7E-2</v>
      </c>
      <c r="M55" s="7">
        <v>0.32268823499999999</v>
      </c>
      <c r="N55" s="4">
        <v>10</v>
      </c>
      <c r="O55" t="s">
        <v>37</v>
      </c>
      <c r="P55">
        <v>8.3548431539999992</v>
      </c>
      <c r="Q55">
        <v>1.3823429149999999</v>
      </c>
      <c r="R55">
        <v>6.038948113</v>
      </c>
      <c r="S55">
        <v>11.424255280000001</v>
      </c>
      <c r="T55">
        <v>4.6127670000000003E-3</v>
      </c>
      <c r="U55">
        <v>1.7374975000000001E-2</v>
      </c>
      <c r="V55">
        <v>-4.9164819999999998E-3</v>
      </c>
      <c r="W55">
        <v>5.9665759999999998E-2</v>
      </c>
      <c r="X55" t="s">
        <v>129</v>
      </c>
    </row>
    <row r="56" spans="1:24" x14ac:dyDescent="0.2">
      <c r="A56">
        <v>47</v>
      </c>
      <c r="B56" t="s">
        <v>80</v>
      </c>
      <c r="C56" t="s">
        <v>128</v>
      </c>
      <c r="D56" t="s">
        <v>133</v>
      </c>
      <c r="E56" t="s">
        <v>131</v>
      </c>
      <c r="F56">
        <v>70</v>
      </c>
      <c r="G56" t="s">
        <v>14</v>
      </c>
      <c r="H56" s="7">
        <v>24</v>
      </c>
      <c r="I56" s="7">
        <f>H56*L56</f>
        <v>0.5855999999999999</v>
      </c>
      <c r="J56" s="7">
        <f>((9+22)/2)*0.001</f>
        <v>1.55E-2</v>
      </c>
      <c r="K56" s="7">
        <f>40*0.1</f>
        <v>4</v>
      </c>
      <c r="L56" s="7">
        <f>24.4*0.001</f>
        <v>2.4399999999999998E-2</v>
      </c>
      <c r="M56" s="7">
        <v>4.8280305099999996</v>
      </c>
      <c r="N56" s="4">
        <v>6</v>
      </c>
      <c r="O56" t="s">
        <v>37</v>
      </c>
      <c r="P56">
        <v>24.27546143</v>
      </c>
      <c r="Q56">
        <v>1.5654361800000001</v>
      </c>
      <c r="R56">
        <v>21.470449120000001</v>
      </c>
      <c r="S56">
        <v>27.574374890000001</v>
      </c>
      <c r="T56">
        <v>3.5141243000000003E-2</v>
      </c>
      <c r="U56">
        <v>1.6582754000000002E-2</v>
      </c>
      <c r="V56">
        <v>7.4956040000000003E-3</v>
      </c>
      <c r="W56">
        <v>7.1160581000000001E-2</v>
      </c>
      <c r="X56" t="s">
        <v>129</v>
      </c>
    </row>
    <row r="57" spans="1:24" x14ac:dyDescent="0.2">
      <c r="A57">
        <v>48</v>
      </c>
      <c r="B57" s="10" t="s">
        <v>98</v>
      </c>
      <c r="C57" s="10" t="s">
        <v>127</v>
      </c>
      <c r="D57" s="10" t="s">
        <v>135</v>
      </c>
      <c r="E57" s="9" t="s">
        <v>131</v>
      </c>
      <c r="F57" s="10">
        <v>44</v>
      </c>
      <c r="G57" s="10" t="s">
        <v>14</v>
      </c>
      <c r="H57" s="9">
        <v>10.08</v>
      </c>
      <c r="I57" s="8">
        <v>3.2050000000000001</v>
      </c>
      <c r="J57" s="8"/>
      <c r="K57" s="8"/>
      <c r="L57" s="8">
        <v>1.2095E-2</v>
      </c>
      <c r="M57" s="8">
        <f>2992*0.001</f>
        <v>2.992</v>
      </c>
      <c r="N57" s="11">
        <v>14</v>
      </c>
      <c r="O57" s="10" t="s">
        <v>35</v>
      </c>
      <c r="P57" s="10">
        <v>14.967776519999999</v>
      </c>
      <c r="Q57" s="5"/>
      <c r="R57" s="5"/>
      <c r="S57" s="5"/>
      <c r="T57">
        <v>3.6546939000000001E-2</v>
      </c>
      <c r="U57" s="5"/>
      <c r="V57" s="5"/>
      <c r="W57" s="5"/>
      <c r="X57" s="5" t="s">
        <v>103</v>
      </c>
    </row>
    <row r="58" spans="1:24" x14ac:dyDescent="0.2">
      <c r="A58">
        <v>49</v>
      </c>
      <c r="B58" t="s">
        <v>61</v>
      </c>
      <c r="C58" t="s">
        <v>128</v>
      </c>
      <c r="D58" t="s">
        <v>133</v>
      </c>
      <c r="E58" t="s">
        <v>131</v>
      </c>
      <c r="F58">
        <v>70</v>
      </c>
      <c r="G58" t="s">
        <v>15</v>
      </c>
      <c r="H58" s="7">
        <v>1</v>
      </c>
      <c r="I58" s="7">
        <f>H58*L58</f>
        <v>1.3460000000000001E-2</v>
      </c>
      <c r="J58" s="7"/>
      <c r="K58" s="7"/>
      <c r="L58" s="7">
        <f>13.46*0.001</f>
        <v>1.3460000000000001E-2</v>
      </c>
      <c r="M58" s="7">
        <v>0.35907113000000002</v>
      </c>
      <c r="N58" s="4">
        <v>12</v>
      </c>
      <c r="O58" t="s">
        <v>37</v>
      </c>
      <c r="P58">
        <v>15.8708159</v>
      </c>
      <c r="Q58">
        <v>1.716608307</v>
      </c>
      <c r="R58">
        <v>13.12459926</v>
      </c>
      <c r="S58">
        <v>19.86570579</v>
      </c>
      <c r="T58">
        <v>2.1472339999999999E-2</v>
      </c>
      <c r="U58">
        <v>2.0256888000000001E-2</v>
      </c>
      <c r="V58">
        <v>-3.0815830000000002E-3</v>
      </c>
      <c r="W58">
        <v>7.3881750999999996E-2</v>
      </c>
      <c r="X58" t="s">
        <v>129</v>
      </c>
    </row>
    <row r="59" spans="1:24" x14ac:dyDescent="0.2">
      <c r="A59">
        <v>50</v>
      </c>
      <c r="B59" t="s">
        <v>62</v>
      </c>
      <c r="C59" t="s">
        <v>128</v>
      </c>
      <c r="D59" t="s">
        <v>133</v>
      </c>
      <c r="E59" t="s">
        <v>131</v>
      </c>
      <c r="F59">
        <v>70</v>
      </c>
      <c r="G59" t="s">
        <v>15</v>
      </c>
      <c r="H59" s="7">
        <f>1.165714286*3</f>
        <v>3.4971428580000001</v>
      </c>
      <c r="I59" s="7">
        <f>H59*L59</f>
        <v>6.2074285729500009E-2</v>
      </c>
      <c r="J59" s="7"/>
      <c r="K59" s="7"/>
      <c r="L59" s="7">
        <f>17.75*0.001</f>
        <v>1.7750000000000002E-2</v>
      </c>
      <c r="M59" s="7">
        <v>0.35980919500000003</v>
      </c>
      <c r="N59" s="4">
        <v>10</v>
      </c>
      <c r="O59" t="s">
        <v>37</v>
      </c>
      <c r="P59">
        <v>13.669934830000001</v>
      </c>
      <c r="Q59">
        <v>1.6955163019999999</v>
      </c>
      <c r="R59">
        <v>10.77154241</v>
      </c>
      <c r="S59">
        <v>17.412502400000001</v>
      </c>
      <c r="T59">
        <v>1.704427E-2</v>
      </c>
      <c r="U59">
        <v>1.8874437000000001E-2</v>
      </c>
      <c r="V59">
        <v>-7.2563209999999996E-3</v>
      </c>
      <c r="W59">
        <v>6.4971456999999996E-2</v>
      </c>
      <c r="X59" t="s">
        <v>129</v>
      </c>
    </row>
    <row r="60" spans="1:24" x14ac:dyDescent="0.2">
      <c r="A60">
        <v>51</v>
      </c>
      <c r="B60" t="s">
        <v>45</v>
      </c>
      <c r="C60" t="s">
        <v>128</v>
      </c>
      <c r="D60" t="s">
        <v>133</v>
      </c>
      <c r="E60" t="s">
        <v>131</v>
      </c>
      <c r="F60">
        <v>16.7</v>
      </c>
      <c r="G60" t="s">
        <v>14</v>
      </c>
      <c r="H60" s="7">
        <f>1.3*3.5</f>
        <v>4.55</v>
      </c>
      <c r="I60" s="7">
        <f>H60*L60</f>
        <v>0.12967500000000001</v>
      </c>
      <c r="J60" s="7">
        <f>((14+15)/2)*0.001</f>
        <v>1.4500000000000001E-2</v>
      </c>
      <c r="K60" s="7"/>
      <c r="L60" s="7">
        <f>28.5*0.001</f>
        <v>2.8500000000000001E-2</v>
      </c>
      <c r="M60" s="7">
        <f>622*0.001</f>
        <v>0.622</v>
      </c>
      <c r="N60" s="4">
        <v>5</v>
      </c>
      <c r="O60" t="s">
        <v>37</v>
      </c>
      <c r="P60">
        <v>5.7196477080000001</v>
      </c>
      <c r="Q60">
        <v>1.2795444760000001</v>
      </c>
      <c r="R60">
        <v>3.5509374380000001</v>
      </c>
      <c r="S60">
        <v>8.5505709620000001</v>
      </c>
      <c r="T60">
        <v>-4.3696171999999998E-2</v>
      </c>
      <c r="U60">
        <v>0.22507534500000001</v>
      </c>
      <c r="V60">
        <v>-0.67426693199999999</v>
      </c>
      <c r="W60">
        <v>0</v>
      </c>
      <c r="X60" t="s">
        <v>129</v>
      </c>
    </row>
    <row r="61" spans="1:24" x14ac:dyDescent="0.2">
      <c r="A61">
        <v>52</v>
      </c>
      <c r="B61" t="s">
        <v>73</v>
      </c>
      <c r="C61" t="s">
        <v>128</v>
      </c>
      <c r="D61" t="s">
        <v>133</v>
      </c>
      <c r="E61" t="s">
        <v>131</v>
      </c>
      <c r="F61">
        <v>54.8</v>
      </c>
      <c r="G61" t="s">
        <v>14</v>
      </c>
      <c r="H61" s="8">
        <v>9.5</v>
      </c>
      <c r="I61" s="7">
        <f>H61*L61</f>
        <v>3.1824999999999999E-2</v>
      </c>
      <c r="J61" s="7"/>
      <c r="K61" s="7">
        <f>((20+22)/2)*0.1</f>
        <v>2.1</v>
      </c>
      <c r="L61" s="7">
        <f>3.35*0.001</f>
        <v>3.3500000000000001E-3</v>
      </c>
      <c r="M61" s="7">
        <v>0.21778725700000001</v>
      </c>
      <c r="N61" s="4">
        <v>5</v>
      </c>
      <c r="O61" t="s">
        <v>37</v>
      </c>
      <c r="P61">
        <v>7.8104211230000002</v>
      </c>
      <c r="Q61">
        <v>0.92229793199999999</v>
      </c>
      <c r="R61">
        <v>6.1833964799999999</v>
      </c>
      <c r="S61">
        <v>9.8004394169999998</v>
      </c>
      <c r="T61">
        <v>1.7090052000000001E-2</v>
      </c>
      <c r="U61">
        <v>2.1779944999999998E-2</v>
      </c>
      <c r="V61">
        <v>-1.2644621999999999E-2</v>
      </c>
      <c r="W61">
        <v>7.2179726999999999E-2</v>
      </c>
      <c r="X61" t="s">
        <v>129</v>
      </c>
    </row>
    <row r="62" spans="1:24" x14ac:dyDescent="0.2">
      <c r="A62">
        <v>52</v>
      </c>
      <c r="B62" s="10" t="s">
        <v>115</v>
      </c>
      <c r="C62" s="10" t="s">
        <v>127</v>
      </c>
      <c r="D62" s="10" t="s">
        <v>135</v>
      </c>
      <c r="E62" s="9" t="s">
        <v>131</v>
      </c>
      <c r="F62" s="10">
        <v>54.8</v>
      </c>
      <c r="G62" s="10" t="s">
        <v>14</v>
      </c>
      <c r="H62" s="8">
        <v>9.5</v>
      </c>
      <c r="I62" s="8">
        <v>3.5000000000000003E-2</v>
      </c>
      <c r="J62" s="8"/>
      <c r="K62" s="8">
        <v>2.1</v>
      </c>
      <c r="L62" s="8">
        <v>3.3500000000000001E-3</v>
      </c>
      <c r="M62" s="8">
        <f>137.9*0.001</f>
        <v>0.13789999999999999</v>
      </c>
      <c r="N62" s="11">
        <v>4.5</v>
      </c>
      <c r="O62" s="10" t="s">
        <v>35</v>
      </c>
      <c r="P62" s="10">
        <v>7.1564743200000001</v>
      </c>
      <c r="Q62" s="5"/>
      <c r="R62" s="5"/>
      <c r="S62" s="5"/>
      <c r="T62">
        <v>5.2158435000000003E-2</v>
      </c>
      <c r="U62" s="5"/>
      <c r="V62" s="5"/>
      <c r="W62" s="5"/>
      <c r="X62" s="5" t="s">
        <v>103</v>
      </c>
    </row>
    <row r="63" spans="1:24" x14ac:dyDescent="0.2">
      <c r="A63">
        <v>53</v>
      </c>
      <c r="B63" t="s">
        <v>59</v>
      </c>
      <c r="C63" t="s">
        <v>128</v>
      </c>
      <c r="D63" t="s">
        <v>133</v>
      </c>
      <c r="E63" t="s">
        <v>131</v>
      </c>
      <c r="F63">
        <v>30</v>
      </c>
      <c r="G63" t="s">
        <v>15</v>
      </c>
      <c r="H63" s="7">
        <v>8.67</v>
      </c>
      <c r="I63" s="7">
        <f>H63*L63</f>
        <v>0.51655859999999998</v>
      </c>
      <c r="J63" s="7"/>
      <c r="K63" s="7">
        <f>25*0.1</f>
        <v>2.5</v>
      </c>
      <c r="L63" s="7">
        <f>59.58*0.001</f>
        <v>5.9580000000000001E-2</v>
      </c>
      <c r="M63" s="7">
        <v>6.6192659039999997</v>
      </c>
      <c r="N63" s="4">
        <v>5</v>
      </c>
      <c r="O63" t="s">
        <v>37</v>
      </c>
      <c r="P63">
        <v>20.455078029999999</v>
      </c>
      <c r="Q63">
        <v>1.322662547</v>
      </c>
      <c r="R63">
        <v>18.19872603</v>
      </c>
      <c r="S63">
        <v>23.356536080000001</v>
      </c>
      <c r="T63">
        <v>6.8208289999999996E-3</v>
      </c>
      <c r="U63">
        <v>9.1024539999999994E-3</v>
      </c>
      <c r="V63">
        <v>-3.73808E-3</v>
      </c>
      <c r="W63">
        <v>3.1414191000000001E-2</v>
      </c>
      <c r="X63" t="s">
        <v>129</v>
      </c>
    </row>
    <row r="64" spans="1:24" x14ac:dyDescent="0.2">
      <c r="A64">
        <v>54</v>
      </c>
      <c r="B64" s="10" t="s">
        <v>99</v>
      </c>
      <c r="C64" s="10" t="s">
        <v>127</v>
      </c>
      <c r="D64" s="10" t="s">
        <v>142</v>
      </c>
      <c r="E64" s="9" t="s">
        <v>131</v>
      </c>
      <c r="F64" s="10">
        <v>80</v>
      </c>
      <c r="G64" s="10" t="s">
        <v>15</v>
      </c>
      <c r="H64" s="8">
        <v>7.2397499999999999</v>
      </c>
      <c r="I64" s="8">
        <v>6.2E-2</v>
      </c>
      <c r="J64" s="8">
        <v>5.9500000000000004E-3</v>
      </c>
      <c r="K64" s="8"/>
      <c r="L64" s="8">
        <v>1.0295E-2</v>
      </c>
      <c r="M64" s="8">
        <v>0.39100000000000001</v>
      </c>
      <c r="N64" s="11">
        <v>9</v>
      </c>
      <c r="O64" s="10" t="s">
        <v>35</v>
      </c>
      <c r="P64" s="10">
        <v>9.0742993510000005</v>
      </c>
      <c r="Q64" s="5"/>
      <c r="R64" s="5"/>
      <c r="S64" s="5"/>
      <c r="T64">
        <v>-1.3409325E-2</v>
      </c>
      <c r="U64" s="5"/>
      <c r="V64" s="5"/>
      <c r="W64" s="5"/>
      <c r="X64" s="5" t="s">
        <v>103</v>
      </c>
    </row>
    <row r="65" spans="1:24" x14ac:dyDescent="0.2">
      <c r="A65">
        <v>55</v>
      </c>
      <c r="B65" t="s">
        <v>52</v>
      </c>
      <c r="C65" t="s">
        <v>128</v>
      </c>
      <c r="D65" t="s">
        <v>133</v>
      </c>
      <c r="E65" t="s">
        <v>131</v>
      </c>
      <c r="F65">
        <v>127</v>
      </c>
      <c r="G65" t="s">
        <v>15</v>
      </c>
      <c r="H65" s="7">
        <f>5*3.2</f>
        <v>16</v>
      </c>
      <c r="I65" s="7">
        <f>H65*L65</f>
        <v>0.21920000000000001</v>
      </c>
      <c r="J65" s="7">
        <f>8.75*0.001</f>
        <v>8.7500000000000008E-3</v>
      </c>
      <c r="K65" s="7">
        <f>((30+35)/2)*0.1</f>
        <v>3.25</v>
      </c>
      <c r="L65" s="7">
        <f>13.7*0.001</f>
        <v>1.37E-2</v>
      </c>
      <c r="M65" s="7">
        <v>2.266621947</v>
      </c>
      <c r="N65" s="4">
        <v>10</v>
      </c>
      <c r="O65" t="s">
        <v>37</v>
      </c>
      <c r="P65">
        <v>10.14349414</v>
      </c>
      <c r="Q65">
        <v>0.82260133899999999</v>
      </c>
      <c r="R65">
        <v>8.6246586959999991</v>
      </c>
      <c r="S65">
        <v>11.87433981</v>
      </c>
      <c r="T65">
        <v>-2.6149075000000001E-2</v>
      </c>
      <c r="U65">
        <v>1.0027846E-2</v>
      </c>
      <c r="V65">
        <v>-4.8033567999999999E-2</v>
      </c>
      <c r="W65">
        <v>-8.7415740000000002E-3</v>
      </c>
      <c r="X65" t="s">
        <v>129</v>
      </c>
    </row>
    <row r="66" spans="1:24" x14ac:dyDescent="0.2">
      <c r="A66">
        <v>56</v>
      </c>
      <c r="B66" t="s">
        <v>112</v>
      </c>
      <c r="C66" t="s">
        <v>128</v>
      </c>
      <c r="D66" t="s">
        <v>133</v>
      </c>
      <c r="E66" t="s">
        <v>131</v>
      </c>
      <c r="F66">
        <v>31.7</v>
      </c>
      <c r="G66" t="s">
        <v>15</v>
      </c>
      <c r="H66" s="8">
        <v>7.3643999999999998</v>
      </c>
      <c r="I66" s="7">
        <f>H66*L66</f>
        <v>0.10604736000000001</v>
      </c>
      <c r="J66" s="7">
        <f>7.5*0.001</f>
        <v>7.4999999999999997E-3</v>
      </c>
      <c r="K66" s="7">
        <f>((31+33)/2)*0.1</f>
        <v>3.2</v>
      </c>
      <c r="L66" s="7">
        <f>14.4*0.001</f>
        <v>1.4400000000000001E-2</v>
      </c>
      <c r="M66" s="7">
        <v>1.5823714289999999</v>
      </c>
      <c r="N66" s="4">
        <v>12</v>
      </c>
      <c r="O66" t="s">
        <v>37</v>
      </c>
      <c r="P66">
        <v>14.85021774</v>
      </c>
      <c r="Q66">
        <v>0.81365903799999995</v>
      </c>
      <c r="R66">
        <v>13.360110519999999</v>
      </c>
      <c r="S66">
        <v>16.527937420000001</v>
      </c>
      <c r="T66">
        <v>-3.6049260000000001E-3</v>
      </c>
      <c r="U66">
        <v>6.2252480000000001E-3</v>
      </c>
      <c r="V66">
        <v>-1.2956137E-2</v>
      </c>
      <c r="W66">
        <v>1.3746998999999999E-2</v>
      </c>
      <c r="X66" t="s">
        <v>129</v>
      </c>
    </row>
    <row r="67" spans="1:24" x14ac:dyDescent="0.2">
      <c r="A67">
        <v>56</v>
      </c>
      <c r="B67" s="10" t="s">
        <v>100</v>
      </c>
      <c r="C67" s="10" t="s">
        <v>127</v>
      </c>
      <c r="D67" s="10" t="s">
        <v>143</v>
      </c>
      <c r="E67" s="9" t="s">
        <v>131</v>
      </c>
      <c r="F67" s="10">
        <v>31.7</v>
      </c>
      <c r="G67" s="10" t="s">
        <v>15</v>
      </c>
      <c r="H67" s="8">
        <v>7.3643999999999998</v>
      </c>
      <c r="I67" s="8">
        <v>0.106</v>
      </c>
      <c r="J67" s="8">
        <v>7.4999999999999997E-3</v>
      </c>
      <c r="K67" s="8">
        <v>3.2</v>
      </c>
      <c r="L67" s="8">
        <v>1.44E-2</v>
      </c>
      <c r="M67" s="8">
        <f>1280*0.001</f>
        <v>1.28</v>
      </c>
      <c r="N67" s="11">
        <v>9.5</v>
      </c>
      <c r="O67" s="10" t="s">
        <v>35</v>
      </c>
      <c r="P67" s="10">
        <v>22.502412119999999</v>
      </c>
      <c r="Q67" s="5"/>
      <c r="R67" s="5"/>
      <c r="S67" s="5"/>
      <c r="T67">
        <v>-3.7699869999999998E-3</v>
      </c>
      <c r="U67" s="5"/>
      <c r="V67" s="5"/>
      <c r="W67" s="5"/>
      <c r="X67" s="5" t="s">
        <v>103</v>
      </c>
    </row>
    <row r="68" spans="1:24" x14ac:dyDescent="0.2">
      <c r="A68">
        <v>57</v>
      </c>
      <c r="B68" t="s">
        <v>53</v>
      </c>
      <c r="C68" t="s">
        <v>128</v>
      </c>
      <c r="D68" t="s">
        <v>133</v>
      </c>
      <c r="E68" t="s">
        <v>131</v>
      </c>
      <c r="F68">
        <v>40</v>
      </c>
      <c r="G68" t="s">
        <v>15</v>
      </c>
      <c r="H68" s="7">
        <v>12</v>
      </c>
      <c r="I68" s="7">
        <f>H68*L68</f>
        <v>0.21300000000000002</v>
      </c>
      <c r="J68" s="7"/>
      <c r="K68" s="7">
        <f>((29+50)/2)*0.1</f>
        <v>3.95</v>
      </c>
      <c r="L68" s="7">
        <f>17.75*0.001</f>
        <v>1.7750000000000002E-2</v>
      </c>
      <c r="M68" s="7">
        <v>1.0524145039999999</v>
      </c>
      <c r="N68" s="4">
        <v>10</v>
      </c>
      <c r="O68" t="s">
        <v>37</v>
      </c>
      <c r="P68">
        <v>21.446198200000001</v>
      </c>
      <c r="Q68">
        <v>2.5637687310000001</v>
      </c>
      <c r="R68">
        <v>17.381798580000002</v>
      </c>
      <c r="S68">
        <v>27.431849150000001</v>
      </c>
      <c r="T68">
        <v>-5.048075E-3</v>
      </c>
      <c r="U68">
        <v>4.5745860000000003E-3</v>
      </c>
      <c r="V68">
        <v>-1.3785331E-2</v>
      </c>
      <c r="W68">
        <v>4.5211660000000001E-3</v>
      </c>
      <c r="X68" t="s">
        <v>129</v>
      </c>
    </row>
    <row r="69" spans="1:24" x14ac:dyDescent="0.2">
      <c r="A69">
        <v>58</v>
      </c>
      <c r="B69" t="s">
        <v>51</v>
      </c>
      <c r="C69" t="s">
        <v>128</v>
      </c>
      <c r="D69" t="s">
        <v>133</v>
      </c>
      <c r="E69" t="s">
        <v>131</v>
      </c>
      <c r="F69">
        <v>21</v>
      </c>
      <c r="G69" t="s">
        <v>15</v>
      </c>
      <c r="H69" s="7">
        <f>4*1.2</f>
        <v>4.8</v>
      </c>
      <c r="I69" s="7">
        <f>H69*L69</f>
        <v>5.3759999999999995E-2</v>
      </c>
      <c r="J69" s="7">
        <f>5.9*0.001</f>
        <v>5.9000000000000007E-3</v>
      </c>
      <c r="K69" s="7">
        <f>((25+32)/2)*0.1</f>
        <v>2.85</v>
      </c>
      <c r="L69" s="7">
        <f>11.2*0.001</f>
        <v>1.12E-2</v>
      </c>
      <c r="M69" s="7">
        <v>0.28115067900000001</v>
      </c>
      <c r="N69" s="4">
        <v>5</v>
      </c>
      <c r="O69" t="s">
        <v>37</v>
      </c>
      <c r="P69">
        <v>11.7632767</v>
      </c>
      <c r="Q69">
        <v>0.64114489399999997</v>
      </c>
      <c r="R69">
        <v>10.529136790000001</v>
      </c>
      <c r="S69">
        <v>13.04865012</v>
      </c>
      <c r="T69">
        <v>0.113961721</v>
      </c>
      <c r="U69">
        <v>4.9628758000000002E-2</v>
      </c>
      <c r="V69">
        <v>3.2887916000000003E-2</v>
      </c>
      <c r="W69">
        <v>0.22679290599999999</v>
      </c>
      <c r="X69" t="s">
        <v>129</v>
      </c>
    </row>
    <row r="70" spans="1:24" x14ac:dyDescent="0.2">
      <c r="A70">
        <v>59</v>
      </c>
      <c r="B70" t="s">
        <v>50</v>
      </c>
      <c r="C70" t="s">
        <v>128</v>
      </c>
      <c r="D70" t="s">
        <v>133</v>
      </c>
      <c r="E70" t="s">
        <v>131</v>
      </c>
      <c r="F70">
        <v>21.2</v>
      </c>
      <c r="G70" t="s">
        <v>15</v>
      </c>
      <c r="H70" s="7">
        <f>6.5*2.4</f>
        <v>15.6</v>
      </c>
      <c r="I70" s="7">
        <f>H70*L70</f>
        <v>0.27611999999999998</v>
      </c>
      <c r="J70" s="7"/>
      <c r="K70" s="7">
        <f>35*0.1</f>
        <v>3.5</v>
      </c>
      <c r="L70" s="7">
        <f>17.7*0.001</f>
        <v>1.77E-2</v>
      </c>
      <c r="M70" s="7">
        <v>2.1325545020000001</v>
      </c>
      <c r="N70" s="4">
        <v>11</v>
      </c>
      <c r="O70" t="s">
        <v>37</v>
      </c>
      <c r="P70">
        <v>13.148156869999999</v>
      </c>
      <c r="Q70">
        <v>2.1446196240000002</v>
      </c>
      <c r="R70">
        <v>9.6566818699999999</v>
      </c>
      <c r="S70">
        <v>17.91590506</v>
      </c>
      <c r="T70">
        <v>-3.4315799999999998E-4</v>
      </c>
      <c r="U70">
        <v>2.7955160000000001E-3</v>
      </c>
      <c r="V70">
        <v>-4.7686220000000001E-3</v>
      </c>
      <c r="W70">
        <v>6.2839000000000005E-4</v>
      </c>
      <c r="X70" t="s">
        <v>129</v>
      </c>
    </row>
    <row r="71" spans="1:24" x14ac:dyDescent="0.2">
      <c r="A71">
        <v>60</v>
      </c>
      <c r="B71" t="s">
        <v>70</v>
      </c>
      <c r="C71" t="s">
        <v>128</v>
      </c>
      <c r="D71" t="s">
        <v>133</v>
      </c>
      <c r="E71" t="s">
        <v>131</v>
      </c>
      <c r="F71">
        <v>75</v>
      </c>
      <c r="G71" t="s">
        <v>15</v>
      </c>
      <c r="H71" s="7">
        <f>9.7*2</f>
        <v>19.399999999999999</v>
      </c>
      <c r="I71" s="7">
        <f>H71*L71</f>
        <v>0.22193599999999999</v>
      </c>
      <c r="J71" s="7"/>
      <c r="K71" s="7"/>
      <c r="L71" s="7">
        <f>11.44*0.001</f>
        <v>1.1440000000000001E-2</v>
      </c>
      <c r="M71" s="7">
        <v>2.6996315790000001</v>
      </c>
      <c r="N71" s="4">
        <v>5</v>
      </c>
      <c r="O71" t="s">
        <v>37</v>
      </c>
      <c r="P71">
        <v>19.5184411</v>
      </c>
      <c r="Q71">
        <v>2.5306698509999999</v>
      </c>
      <c r="R71">
        <v>15.783673159999999</v>
      </c>
      <c r="S71">
        <v>25.457967830000001</v>
      </c>
      <c r="T71">
        <v>4.4591110000000003E-2</v>
      </c>
      <c r="U71">
        <v>3.0469693999999999E-2</v>
      </c>
      <c r="V71">
        <v>2.3483179999999998E-3</v>
      </c>
      <c r="W71">
        <v>0.114565927</v>
      </c>
      <c r="X71" t="s">
        <v>129</v>
      </c>
    </row>
    <row r="72" spans="1:24" x14ac:dyDescent="0.2">
      <c r="A72">
        <v>61</v>
      </c>
      <c r="B72" t="s">
        <v>108</v>
      </c>
      <c r="C72" t="s">
        <v>128</v>
      </c>
      <c r="D72" t="s">
        <v>133</v>
      </c>
      <c r="E72" t="s">
        <v>131</v>
      </c>
      <c r="F72">
        <v>41.3</v>
      </c>
      <c r="G72" t="s">
        <v>14</v>
      </c>
      <c r="H72" s="9">
        <f>10.5*2.5</f>
        <v>26.25</v>
      </c>
      <c r="I72" s="7">
        <f>H72*L72</f>
        <v>0.291375</v>
      </c>
      <c r="J72" s="7"/>
      <c r="K72" s="7">
        <f>((23+35)/2)*0.1</f>
        <v>2.9000000000000004</v>
      </c>
      <c r="L72" s="7">
        <f>11.1*0.001</f>
        <v>1.11E-2</v>
      </c>
      <c r="M72" s="7">
        <v>3.0928326990000001</v>
      </c>
      <c r="N72" s="4">
        <v>5</v>
      </c>
      <c r="O72" t="s">
        <v>37</v>
      </c>
      <c r="P72">
        <v>20.42561873</v>
      </c>
      <c r="Q72">
        <v>0.51663722599999995</v>
      </c>
      <c r="R72">
        <v>19.431402259999999</v>
      </c>
      <c r="S72">
        <v>21.45035828</v>
      </c>
      <c r="T72">
        <v>0.104838257</v>
      </c>
      <c r="U72">
        <v>2.3636539000000002E-2</v>
      </c>
      <c r="V72">
        <v>5.8681624000000002E-2</v>
      </c>
      <c r="W72">
        <v>0.15193299199999999</v>
      </c>
      <c r="X72" t="s">
        <v>129</v>
      </c>
    </row>
    <row r="73" spans="1:24" x14ac:dyDescent="0.2">
      <c r="A73">
        <v>61</v>
      </c>
      <c r="B73" s="10" t="s">
        <v>101</v>
      </c>
      <c r="C73" s="10" t="s">
        <v>127</v>
      </c>
      <c r="D73" s="10" t="s">
        <v>140</v>
      </c>
      <c r="E73" s="9" t="s">
        <v>131</v>
      </c>
      <c r="F73" s="10">
        <v>41.3</v>
      </c>
      <c r="G73" s="10" t="s">
        <v>14</v>
      </c>
      <c r="H73" s="9">
        <f>10.5*2.5</f>
        <v>26.25</v>
      </c>
      <c r="I73" s="8">
        <v>0.186</v>
      </c>
      <c r="J73" s="8"/>
      <c r="K73" s="8">
        <v>2.9</v>
      </c>
      <c r="L73" s="8">
        <v>1.11E-2</v>
      </c>
      <c r="M73" s="8">
        <f>1895*0.001</f>
        <v>1.895</v>
      </c>
      <c r="N73" s="11">
        <v>6</v>
      </c>
      <c r="O73" s="10" t="s">
        <v>35</v>
      </c>
      <c r="P73" s="10">
        <v>5.2586882020000001</v>
      </c>
      <c r="Q73" s="5"/>
      <c r="R73" s="5"/>
      <c r="S73" s="5"/>
      <c r="T73">
        <v>0.22532949299999999</v>
      </c>
      <c r="U73" s="5"/>
      <c r="V73" s="5"/>
      <c r="W73" s="5"/>
      <c r="X73" s="5" t="s">
        <v>103</v>
      </c>
    </row>
    <row r="74" spans="1:24" x14ac:dyDescent="0.2">
      <c r="A74">
        <v>61</v>
      </c>
      <c r="B74" s="10" t="s">
        <v>102</v>
      </c>
      <c r="C74" s="10" t="s">
        <v>127</v>
      </c>
      <c r="D74" s="10" t="s">
        <v>135</v>
      </c>
      <c r="E74" s="9" t="s">
        <v>131</v>
      </c>
      <c r="F74" s="10">
        <v>41.3</v>
      </c>
      <c r="G74" s="10" t="s">
        <v>14</v>
      </c>
      <c r="H74" s="9">
        <f>10.5*2.5</f>
        <v>26.25</v>
      </c>
      <c r="I74" s="8">
        <v>0.186</v>
      </c>
      <c r="J74" s="8"/>
      <c r="K74" s="8">
        <v>2.9</v>
      </c>
      <c r="L74" s="8">
        <v>1.11E-2</v>
      </c>
      <c r="M74" s="8">
        <f>1895*0.001</f>
        <v>1.895</v>
      </c>
      <c r="N74" s="11">
        <v>6</v>
      </c>
      <c r="O74" s="10" t="s">
        <v>35</v>
      </c>
      <c r="P74" s="10">
        <v>7.6449795920000003</v>
      </c>
      <c r="Q74" s="5"/>
      <c r="R74" s="5"/>
      <c r="S74" s="5"/>
      <c r="T74">
        <v>5.320717E-3</v>
      </c>
      <c r="U74" s="5"/>
      <c r="V74" s="5"/>
      <c r="W74" s="5"/>
      <c r="X74" s="5" t="s">
        <v>103</v>
      </c>
    </row>
    <row r="76" spans="1:24" x14ac:dyDescent="0.2">
      <c r="E76" s="12"/>
      <c r="M76" s="7"/>
    </row>
  </sheetData>
  <autoFilter ref="B1:X74" xr:uid="{00000000-0001-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A68B-F30D-AA4F-902B-EF70E66BBF2D}">
  <dimension ref="A1:G233"/>
  <sheetViews>
    <sheetView workbookViewId="0">
      <selection activeCell="C16" sqref="C16"/>
    </sheetView>
  </sheetViews>
  <sheetFormatPr baseColWidth="10" defaultRowHeight="16" x14ac:dyDescent="0.2"/>
  <cols>
    <col min="1" max="1" width="8.1640625" bestFit="1" customWidth="1"/>
    <col min="2" max="2" width="27" bestFit="1" customWidth="1"/>
    <col min="3" max="3" width="34" bestFit="1" customWidth="1"/>
    <col min="4" max="4" width="57.6640625" bestFit="1" customWidth="1"/>
    <col min="5" max="5" width="23.6640625" bestFit="1" customWidth="1"/>
    <col min="6" max="6" width="25.5" bestFit="1" customWidth="1"/>
    <col min="7" max="7" width="23" bestFit="1" customWidth="1"/>
  </cols>
  <sheetData>
    <row r="1" spans="1:7" x14ac:dyDescent="0.2">
      <c r="A1" s="14" t="s">
        <v>28</v>
      </c>
      <c r="B1" s="17" t="s">
        <v>19</v>
      </c>
      <c r="C1" s="17" t="s">
        <v>253</v>
      </c>
      <c r="D1" s="17" t="s">
        <v>20</v>
      </c>
      <c r="E1" s="17" t="s">
        <v>21</v>
      </c>
      <c r="F1" s="17" t="s">
        <v>29</v>
      </c>
      <c r="G1" s="17" t="s">
        <v>22</v>
      </c>
    </row>
    <row r="2" spans="1:7" x14ac:dyDescent="0.2">
      <c r="A2" s="2">
        <v>27</v>
      </c>
      <c r="B2" t="s">
        <v>63</v>
      </c>
      <c r="C2" t="s">
        <v>258</v>
      </c>
      <c r="D2" s="9" t="s">
        <v>167</v>
      </c>
      <c r="E2" t="s">
        <v>167</v>
      </c>
      <c r="G2" t="s">
        <v>166</v>
      </c>
    </row>
    <row r="3" spans="1:7" x14ac:dyDescent="0.2">
      <c r="A3" s="2">
        <v>44</v>
      </c>
      <c r="B3" t="s">
        <v>76</v>
      </c>
      <c r="C3" t="s">
        <v>258</v>
      </c>
      <c r="D3" t="s">
        <v>166</v>
      </c>
      <c r="E3" t="s">
        <v>167</v>
      </c>
      <c r="F3" t="s">
        <v>199</v>
      </c>
      <c r="G3" t="s">
        <v>167</v>
      </c>
    </row>
    <row r="4" spans="1:7" x14ac:dyDescent="0.2">
      <c r="A4" s="2">
        <v>43</v>
      </c>
      <c r="B4" t="s">
        <v>75</v>
      </c>
      <c r="C4" t="s">
        <v>258</v>
      </c>
      <c r="D4" t="s">
        <v>167</v>
      </c>
      <c r="E4" t="s">
        <v>167</v>
      </c>
      <c r="F4" t="s">
        <v>180</v>
      </c>
    </row>
    <row r="5" spans="1:7" x14ac:dyDescent="0.2">
      <c r="A5" s="2">
        <v>7</v>
      </c>
      <c r="B5" t="s">
        <v>44</v>
      </c>
      <c r="C5" t="s">
        <v>258</v>
      </c>
      <c r="D5" t="s">
        <v>167</v>
      </c>
      <c r="E5" t="s">
        <v>189</v>
      </c>
      <c r="G5" t="s">
        <v>166</v>
      </c>
    </row>
    <row r="6" spans="1:7" x14ac:dyDescent="0.2">
      <c r="A6" s="2">
        <v>50</v>
      </c>
      <c r="B6" t="s">
        <v>82</v>
      </c>
      <c r="C6" t="s">
        <v>258</v>
      </c>
      <c r="D6" t="s">
        <v>184</v>
      </c>
      <c r="E6" t="s">
        <v>168</v>
      </c>
      <c r="F6" t="s">
        <v>199</v>
      </c>
    </row>
    <row r="7" spans="1:7" x14ac:dyDescent="0.2">
      <c r="A7" s="2">
        <v>49</v>
      </c>
      <c r="B7" t="s">
        <v>81</v>
      </c>
      <c r="C7" t="s">
        <v>258</v>
      </c>
      <c r="D7" t="s">
        <v>262</v>
      </c>
      <c r="E7" t="s">
        <v>262</v>
      </c>
      <c r="F7" s="5"/>
      <c r="G7" s="5"/>
    </row>
    <row r="8" spans="1:7" x14ac:dyDescent="0.2">
      <c r="A8" s="2">
        <v>53</v>
      </c>
      <c r="B8" t="s">
        <v>86</v>
      </c>
      <c r="C8" t="s">
        <v>104</v>
      </c>
      <c r="D8" t="s">
        <v>104</v>
      </c>
      <c r="E8" t="s">
        <v>167</v>
      </c>
      <c r="G8" t="s">
        <v>166</v>
      </c>
    </row>
    <row r="9" spans="1:7" x14ac:dyDescent="0.2">
      <c r="A9" s="2">
        <v>22</v>
      </c>
      <c r="B9" t="s">
        <v>58</v>
      </c>
      <c r="C9" t="s">
        <v>258</v>
      </c>
      <c r="D9" t="s">
        <v>167</v>
      </c>
      <c r="E9" t="s">
        <v>167</v>
      </c>
    </row>
    <row r="10" spans="1:7" x14ac:dyDescent="0.2">
      <c r="A10" s="2">
        <v>21</v>
      </c>
      <c r="B10" t="s">
        <v>57</v>
      </c>
      <c r="C10" t="s">
        <v>258</v>
      </c>
      <c r="D10" t="s">
        <v>167</v>
      </c>
      <c r="E10" t="s">
        <v>167</v>
      </c>
    </row>
    <row r="11" spans="1:7" x14ac:dyDescent="0.2">
      <c r="A11" s="2">
        <v>51</v>
      </c>
      <c r="B11" t="s">
        <v>83</v>
      </c>
      <c r="C11" t="s">
        <v>258</v>
      </c>
      <c r="D11" t="s">
        <v>167</v>
      </c>
      <c r="E11" t="s">
        <v>167</v>
      </c>
    </row>
    <row r="12" spans="1:7" x14ac:dyDescent="0.2">
      <c r="A12" s="2">
        <v>40</v>
      </c>
      <c r="B12" t="s">
        <v>111</v>
      </c>
      <c r="C12" s="9" t="s">
        <v>264</v>
      </c>
      <c r="D12" s="9" t="s">
        <v>287</v>
      </c>
      <c r="E12" t="s">
        <v>167</v>
      </c>
      <c r="F12" t="s">
        <v>199</v>
      </c>
    </row>
    <row r="13" spans="1:7" x14ac:dyDescent="0.2">
      <c r="A13" s="2">
        <v>24</v>
      </c>
      <c r="B13" t="s">
        <v>60</v>
      </c>
      <c r="C13" t="s">
        <v>264</v>
      </c>
      <c r="D13" t="s">
        <v>167</v>
      </c>
      <c r="E13" t="s">
        <v>167</v>
      </c>
      <c r="F13" t="s">
        <v>199</v>
      </c>
      <c r="G13" t="s">
        <v>166</v>
      </c>
    </row>
    <row r="14" spans="1:7" x14ac:dyDescent="0.2">
      <c r="A14" s="2">
        <v>38</v>
      </c>
      <c r="B14" t="s">
        <v>110</v>
      </c>
      <c r="C14" s="9" t="s">
        <v>167</v>
      </c>
      <c r="D14" s="9" t="s">
        <v>166</v>
      </c>
      <c r="E14" t="s">
        <v>167</v>
      </c>
      <c r="F14" t="s">
        <v>199</v>
      </c>
    </row>
    <row r="15" spans="1:7" x14ac:dyDescent="0.2">
      <c r="A15" s="2">
        <v>33</v>
      </c>
      <c r="B15" t="s">
        <v>69</v>
      </c>
      <c r="C15" t="s">
        <v>258</v>
      </c>
      <c r="D15" t="s">
        <v>167</v>
      </c>
      <c r="E15" t="s">
        <v>167</v>
      </c>
      <c r="F15" t="s">
        <v>199</v>
      </c>
    </row>
    <row r="16" spans="1:7" x14ac:dyDescent="0.2">
      <c r="A16" s="2">
        <v>4</v>
      </c>
      <c r="B16" t="s">
        <v>41</v>
      </c>
      <c r="C16" t="s">
        <v>258</v>
      </c>
      <c r="D16" t="s">
        <v>178</v>
      </c>
      <c r="E16" t="s">
        <v>168</v>
      </c>
      <c r="G16" t="s">
        <v>248</v>
      </c>
    </row>
    <row r="17" spans="1:7" x14ac:dyDescent="0.2">
      <c r="A17" s="2">
        <v>2</v>
      </c>
      <c r="B17" t="s">
        <v>39</v>
      </c>
      <c r="C17" t="s">
        <v>258</v>
      </c>
      <c r="D17" t="s">
        <v>173</v>
      </c>
      <c r="E17" t="s">
        <v>173</v>
      </c>
      <c r="F17" t="s">
        <v>177</v>
      </c>
      <c r="G17" t="s">
        <v>177</v>
      </c>
    </row>
    <row r="18" spans="1:7" x14ac:dyDescent="0.2">
      <c r="A18" s="2">
        <v>3</v>
      </c>
      <c r="B18" t="s">
        <v>40</v>
      </c>
      <c r="C18" t="s">
        <v>258</v>
      </c>
      <c r="D18" t="s">
        <v>166</v>
      </c>
      <c r="E18" t="s">
        <v>240</v>
      </c>
      <c r="F18" t="s">
        <v>177</v>
      </c>
      <c r="G18" t="s">
        <v>177</v>
      </c>
    </row>
    <row r="19" spans="1:7" x14ac:dyDescent="0.2">
      <c r="A19" s="2">
        <v>55</v>
      </c>
      <c r="B19" t="s">
        <v>85</v>
      </c>
      <c r="C19" t="s">
        <v>167</v>
      </c>
      <c r="D19" t="s">
        <v>167</v>
      </c>
      <c r="E19" t="s">
        <v>167</v>
      </c>
      <c r="F19" t="s">
        <v>199</v>
      </c>
      <c r="G19" t="s">
        <v>166</v>
      </c>
    </row>
    <row r="20" spans="1:7" x14ac:dyDescent="0.2">
      <c r="A20" s="2">
        <v>56</v>
      </c>
      <c r="B20" t="s">
        <v>87</v>
      </c>
      <c r="C20" t="s">
        <v>270</v>
      </c>
      <c r="D20" t="s">
        <v>276</v>
      </c>
      <c r="E20" t="s">
        <v>189</v>
      </c>
      <c r="F20" t="s">
        <v>269</v>
      </c>
      <c r="G20" t="s">
        <v>269</v>
      </c>
    </row>
    <row r="21" spans="1:7" x14ac:dyDescent="0.2">
      <c r="A21" s="2">
        <v>20</v>
      </c>
      <c r="B21" t="s">
        <v>56</v>
      </c>
      <c r="C21" t="s">
        <v>258</v>
      </c>
      <c r="D21" t="s">
        <v>167</v>
      </c>
      <c r="E21" t="s">
        <v>167</v>
      </c>
      <c r="F21" t="s">
        <v>199</v>
      </c>
      <c r="G21" t="s">
        <v>167</v>
      </c>
    </row>
    <row r="22" spans="1:7" x14ac:dyDescent="0.2">
      <c r="A22" s="2">
        <v>6</v>
      </c>
      <c r="B22" t="s">
        <v>43</v>
      </c>
      <c r="C22" t="s">
        <v>258</v>
      </c>
      <c r="D22" t="s">
        <v>200</v>
      </c>
      <c r="E22" t="s">
        <v>189</v>
      </c>
      <c r="F22" t="s">
        <v>199</v>
      </c>
    </row>
    <row r="23" spans="1:7" x14ac:dyDescent="0.2">
      <c r="A23" s="2">
        <v>9</v>
      </c>
      <c r="B23" t="s">
        <v>46</v>
      </c>
      <c r="C23" t="s">
        <v>258</v>
      </c>
      <c r="D23" t="s">
        <v>168</v>
      </c>
      <c r="E23" t="s">
        <v>168</v>
      </c>
      <c r="G23" t="s">
        <v>250</v>
      </c>
    </row>
    <row r="24" spans="1:7" x14ac:dyDescent="0.2">
      <c r="A24" s="2">
        <v>31</v>
      </c>
      <c r="B24" t="s">
        <v>67</v>
      </c>
      <c r="C24" t="s">
        <v>258</v>
      </c>
      <c r="D24" t="s">
        <v>167</v>
      </c>
      <c r="E24" t="s">
        <v>167</v>
      </c>
      <c r="F24" t="s">
        <v>199</v>
      </c>
      <c r="G24" t="s">
        <v>167</v>
      </c>
    </row>
    <row r="25" spans="1:7" x14ac:dyDescent="0.2">
      <c r="A25" s="2">
        <v>32</v>
      </c>
      <c r="B25" t="s">
        <v>68</v>
      </c>
      <c r="C25" t="s">
        <v>258</v>
      </c>
      <c r="D25" t="s">
        <v>167</v>
      </c>
      <c r="E25" t="s">
        <v>167</v>
      </c>
      <c r="F25" t="s">
        <v>199</v>
      </c>
    </row>
    <row r="26" spans="1:7" x14ac:dyDescent="0.2">
      <c r="A26" s="2">
        <v>30</v>
      </c>
      <c r="B26" t="s">
        <v>66</v>
      </c>
      <c r="C26" t="s">
        <v>258</v>
      </c>
      <c r="D26" t="s">
        <v>167</v>
      </c>
      <c r="E26" t="s">
        <v>167</v>
      </c>
      <c r="F26" t="s">
        <v>199</v>
      </c>
      <c r="G26" t="s">
        <v>167</v>
      </c>
    </row>
    <row r="27" spans="1:7" x14ac:dyDescent="0.2">
      <c r="A27" s="2">
        <v>29</v>
      </c>
      <c r="B27" t="s">
        <v>65</v>
      </c>
      <c r="C27" t="s">
        <v>258</v>
      </c>
      <c r="D27" t="s">
        <v>167</v>
      </c>
      <c r="E27" t="s">
        <v>167</v>
      </c>
      <c r="F27" t="s">
        <v>199</v>
      </c>
      <c r="G27" t="s">
        <v>167</v>
      </c>
    </row>
    <row r="28" spans="1:7" x14ac:dyDescent="0.2">
      <c r="A28" s="2">
        <v>28</v>
      </c>
      <c r="B28" t="s">
        <v>64</v>
      </c>
      <c r="C28" t="s">
        <v>258</v>
      </c>
      <c r="D28" t="s">
        <v>167</v>
      </c>
      <c r="E28" t="s">
        <v>167</v>
      </c>
      <c r="F28" t="s">
        <v>199</v>
      </c>
      <c r="G28" t="s">
        <v>167</v>
      </c>
    </row>
    <row r="29" spans="1:7" x14ac:dyDescent="0.2">
      <c r="A29" s="2">
        <v>37</v>
      </c>
      <c r="B29" t="s">
        <v>109</v>
      </c>
      <c r="C29" t="s">
        <v>289</v>
      </c>
      <c r="D29" t="s">
        <v>285</v>
      </c>
      <c r="E29" t="s">
        <v>285</v>
      </c>
      <c r="F29" t="s">
        <v>195</v>
      </c>
      <c r="G29" t="s">
        <v>251</v>
      </c>
    </row>
    <row r="30" spans="1:7" x14ac:dyDescent="0.2">
      <c r="A30" s="2">
        <v>36</v>
      </c>
      <c r="B30" t="s">
        <v>71</v>
      </c>
      <c r="C30" t="s">
        <v>264</v>
      </c>
      <c r="D30" t="s">
        <v>285</v>
      </c>
      <c r="E30" t="s">
        <v>167</v>
      </c>
      <c r="F30" t="s">
        <v>199</v>
      </c>
    </row>
    <row r="31" spans="1:7" x14ac:dyDescent="0.2">
      <c r="A31" s="2">
        <v>54</v>
      </c>
      <c r="B31" t="s">
        <v>94</v>
      </c>
      <c r="C31" t="s">
        <v>167</v>
      </c>
      <c r="D31" t="s">
        <v>260</v>
      </c>
      <c r="E31" t="s">
        <v>167</v>
      </c>
      <c r="F31" t="s">
        <v>199</v>
      </c>
      <c r="G31" t="s">
        <v>166</v>
      </c>
    </row>
    <row r="32" spans="1:7" x14ac:dyDescent="0.2">
      <c r="A32" s="2">
        <v>5</v>
      </c>
      <c r="B32" t="s">
        <v>42</v>
      </c>
      <c r="C32" t="s">
        <v>258</v>
      </c>
      <c r="D32" t="s">
        <v>193</v>
      </c>
      <c r="E32" t="s">
        <v>193</v>
      </c>
      <c r="F32" t="s">
        <v>193</v>
      </c>
    </row>
    <row r="33" spans="1:7" x14ac:dyDescent="0.2">
      <c r="A33" s="2">
        <v>57</v>
      </c>
      <c r="B33" t="s">
        <v>95</v>
      </c>
      <c r="C33" t="s">
        <v>260</v>
      </c>
      <c r="D33" t="s">
        <v>260</v>
      </c>
      <c r="E33" t="s">
        <v>245</v>
      </c>
      <c r="F33" t="s">
        <v>245</v>
      </c>
      <c r="G33" t="s">
        <v>245</v>
      </c>
    </row>
    <row r="34" spans="1:7" x14ac:dyDescent="0.2">
      <c r="A34" s="2">
        <v>11</v>
      </c>
      <c r="B34" t="s">
        <v>48</v>
      </c>
      <c r="C34" t="s">
        <v>258</v>
      </c>
      <c r="D34" t="s">
        <v>167</v>
      </c>
      <c r="E34" t="s">
        <v>168</v>
      </c>
      <c r="F34" t="s">
        <v>199</v>
      </c>
      <c r="G34" t="s">
        <v>199</v>
      </c>
    </row>
    <row r="35" spans="1:7" x14ac:dyDescent="0.2">
      <c r="A35" s="2">
        <v>10</v>
      </c>
      <c r="B35" t="s">
        <v>47</v>
      </c>
      <c r="C35" t="s">
        <v>258</v>
      </c>
      <c r="D35" t="s">
        <v>167</v>
      </c>
      <c r="E35" t="s">
        <v>168</v>
      </c>
    </row>
    <row r="36" spans="1:7" x14ac:dyDescent="0.2">
      <c r="A36" s="2">
        <v>19</v>
      </c>
      <c r="B36" t="s">
        <v>55</v>
      </c>
      <c r="C36" t="s">
        <v>258</v>
      </c>
      <c r="D36" t="s">
        <v>279</v>
      </c>
      <c r="E36" t="s">
        <v>167</v>
      </c>
      <c r="F36" t="s">
        <v>197</v>
      </c>
    </row>
    <row r="37" spans="1:7" x14ac:dyDescent="0.2">
      <c r="A37" s="2">
        <v>18</v>
      </c>
      <c r="B37" t="s">
        <v>54</v>
      </c>
      <c r="C37" t="s">
        <v>258</v>
      </c>
      <c r="D37" t="s">
        <v>167</v>
      </c>
      <c r="E37" t="s">
        <v>242</v>
      </c>
      <c r="F37" t="s">
        <v>199</v>
      </c>
      <c r="G37" t="s">
        <v>246</v>
      </c>
    </row>
    <row r="38" spans="1:7" x14ac:dyDescent="0.2">
      <c r="A38" s="2">
        <v>42</v>
      </c>
      <c r="B38" t="s">
        <v>74</v>
      </c>
      <c r="C38" t="s">
        <v>291</v>
      </c>
      <c r="D38" t="s">
        <v>180</v>
      </c>
      <c r="E38" t="s">
        <v>291</v>
      </c>
      <c r="F38" t="s">
        <v>199</v>
      </c>
      <c r="G38" t="s">
        <v>180</v>
      </c>
    </row>
    <row r="39" spans="1:7" x14ac:dyDescent="0.2">
      <c r="A39" s="2">
        <v>58</v>
      </c>
      <c r="B39" t="s">
        <v>96</v>
      </c>
      <c r="C39" t="s">
        <v>167</v>
      </c>
      <c r="D39" t="s">
        <v>167</v>
      </c>
      <c r="E39" t="s">
        <v>167</v>
      </c>
      <c r="F39" t="s">
        <v>199</v>
      </c>
      <c r="G39" t="s">
        <v>166</v>
      </c>
    </row>
    <row r="40" spans="1:7" x14ac:dyDescent="0.2">
      <c r="A40" s="2">
        <v>39</v>
      </c>
      <c r="B40" t="s">
        <v>72</v>
      </c>
      <c r="C40" t="s">
        <v>258</v>
      </c>
      <c r="D40" t="s">
        <v>167</v>
      </c>
      <c r="E40" t="s">
        <v>167</v>
      </c>
      <c r="F40" t="s">
        <v>199</v>
      </c>
    </row>
    <row r="41" spans="1:7" x14ac:dyDescent="0.2">
      <c r="A41" s="2">
        <v>12</v>
      </c>
      <c r="B41" t="s">
        <v>49</v>
      </c>
      <c r="C41" t="s">
        <v>258</v>
      </c>
      <c r="D41" t="s">
        <v>167</v>
      </c>
      <c r="E41" t="s">
        <v>167</v>
      </c>
      <c r="F41" t="s">
        <v>177</v>
      </c>
      <c r="G41" t="s">
        <v>177</v>
      </c>
    </row>
    <row r="42" spans="1:7" x14ac:dyDescent="0.2">
      <c r="A42" s="2">
        <v>1</v>
      </c>
      <c r="B42" t="s">
        <v>38</v>
      </c>
      <c r="C42" t="s">
        <v>258</v>
      </c>
      <c r="D42" t="s">
        <v>166</v>
      </c>
      <c r="E42" t="s">
        <v>167</v>
      </c>
      <c r="F42" t="s">
        <v>191</v>
      </c>
      <c r="G42" t="s">
        <v>166</v>
      </c>
    </row>
    <row r="43" spans="1:7" x14ac:dyDescent="0.2">
      <c r="A43" s="2">
        <v>59</v>
      </c>
      <c r="B43" t="s">
        <v>97</v>
      </c>
      <c r="C43" t="s">
        <v>260</v>
      </c>
      <c r="D43" t="s">
        <v>166</v>
      </c>
      <c r="E43" t="s">
        <v>243</v>
      </c>
      <c r="F43" t="s">
        <v>196</v>
      </c>
    </row>
    <row r="44" spans="1:7" x14ac:dyDescent="0.2">
      <c r="A44" s="2">
        <v>45</v>
      </c>
      <c r="B44" t="s">
        <v>77</v>
      </c>
      <c r="C44" t="s">
        <v>258</v>
      </c>
      <c r="D44" t="s">
        <v>166</v>
      </c>
      <c r="E44" t="s">
        <v>168</v>
      </c>
      <c r="F44" t="s">
        <v>199</v>
      </c>
      <c r="G44" t="s">
        <v>167</v>
      </c>
    </row>
    <row r="45" spans="1:7" x14ac:dyDescent="0.2">
      <c r="A45" s="2">
        <v>46</v>
      </c>
      <c r="B45" t="s">
        <v>78</v>
      </c>
      <c r="C45" t="s">
        <v>258</v>
      </c>
      <c r="D45" t="s">
        <v>166</v>
      </c>
      <c r="E45" t="s">
        <v>167</v>
      </c>
      <c r="F45" t="s">
        <v>199</v>
      </c>
    </row>
    <row r="46" spans="1:7" x14ac:dyDescent="0.2">
      <c r="A46" s="2">
        <v>47</v>
      </c>
      <c r="B46" t="s">
        <v>79</v>
      </c>
      <c r="C46" t="s">
        <v>258</v>
      </c>
      <c r="D46" t="s">
        <v>167</v>
      </c>
      <c r="E46" t="s">
        <v>167</v>
      </c>
      <c r="F46" t="s">
        <v>199</v>
      </c>
    </row>
    <row r="47" spans="1:7" x14ac:dyDescent="0.2">
      <c r="A47" s="2">
        <v>52</v>
      </c>
      <c r="B47" t="s">
        <v>84</v>
      </c>
      <c r="C47" t="s">
        <v>258</v>
      </c>
      <c r="D47" t="s">
        <v>167</v>
      </c>
      <c r="E47" t="s">
        <v>167</v>
      </c>
      <c r="F47" t="s">
        <v>199</v>
      </c>
    </row>
    <row r="48" spans="1:7" x14ac:dyDescent="0.2">
      <c r="A48" s="2">
        <v>48</v>
      </c>
      <c r="B48" t="s">
        <v>80</v>
      </c>
      <c r="C48" t="s">
        <v>258</v>
      </c>
      <c r="D48" t="s">
        <v>282</v>
      </c>
      <c r="E48" t="s">
        <v>167</v>
      </c>
      <c r="F48" t="s">
        <v>199</v>
      </c>
      <c r="G48" t="s">
        <v>199</v>
      </c>
    </row>
    <row r="49" spans="1:7" x14ac:dyDescent="0.2">
      <c r="A49" s="2">
        <v>60</v>
      </c>
      <c r="B49" t="s">
        <v>98</v>
      </c>
      <c r="C49" t="s">
        <v>167</v>
      </c>
      <c r="D49" t="s">
        <v>260</v>
      </c>
      <c r="E49" t="s">
        <v>167</v>
      </c>
    </row>
    <row r="50" spans="1:7" x14ac:dyDescent="0.2">
      <c r="A50" s="2">
        <v>25</v>
      </c>
      <c r="B50" t="s">
        <v>61</v>
      </c>
      <c r="C50" t="s">
        <v>258</v>
      </c>
      <c r="D50" t="s">
        <v>167</v>
      </c>
      <c r="E50" t="s">
        <v>167</v>
      </c>
    </row>
    <row r="51" spans="1:7" x14ac:dyDescent="0.2">
      <c r="A51" s="2">
        <v>26</v>
      </c>
      <c r="B51" t="s">
        <v>62</v>
      </c>
      <c r="C51" t="s">
        <v>258</v>
      </c>
      <c r="D51" t="s">
        <v>167</v>
      </c>
      <c r="E51" t="s">
        <v>167</v>
      </c>
    </row>
    <row r="52" spans="1:7" x14ac:dyDescent="0.2">
      <c r="A52" s="2">
        <v>8</v>
      </c>
      <c r="B52" t="s">
        <v>45</v>
      </c>
      <c r="C52" t="s">
        <v>258</v>
      </c>
      <c r="D52" t="s">
        <v>166</v>
      </c>
      <c r="E52" t="s">
        <v>168</v>
      </c>
      <c r="G52" t="s">
        <v>199</v>
      </c>
    </row>
    <row r="53" spans="1:7" x14ac:dyDescent="0.2">
      <c r="A53" s="2">
        <v>41</v>
      </c>
      <c r="B53" t="s">
        <v>73</v>
      </c>
      <c r="C53" t="s">
        <v>283</v>
      </c>
      <c r="D53" t="s">
        <v>166</v>
      </c>
      <c r="E53" t="s">
        <v>167</v>
      </c>
      <c r="F53" t="s">
        <v>199</v>
      </c>
    </row>
    <row r="54" spans="1:7" x14ac:dyDescent="0.2">
      <c r="A54" s="2">
        <v>23</v>
      </c>
      <c r="B54" t="s">
        <v>59</v>
      </c>
      <c r="C54" t="s">
        <v>258</v>
      </c>
      <c r="D54" t="s">
        <v>167</v>
      </c>
      <c r="E54" t="s">
        <v>167</v>
      </c>
      <c r="F54" t="s">
        <v>167</v>
      </c>
    </row>
    <row r="55" spans="1:7" x14ac:dyDescent="0.2">
      <c r="A55" s="2">
        <v>62</v>
      </c>
      <c r="B55" t="s">
        <v>99</v>
      </c>
      <c r="C55" t="s">
        <v>166</v>
      </c>
      <c r="D55" t="s">
        <v>167</v>
      </c>
      <c r="E55" t="s">
        <v>167</v>
      </c>
      <c r="G55" t="s">
        <v>189</v>
      </c>
    </row>
    <row r="56" spans="1:7" x14ac:dyDescent="0.2">
      <c r="A56" s="2">
        <v>15</v>
      </c>
      <c r="B56" t="s">
        <v>52</v>
      </c>
      <c r="C56" t="s">
        <v>258</v>
      </c>
      <c r="D56" t="s">
        <v>167</v>
      </c>
      <c r="E56" s="9" t="s">
        <v>169</v>
      </c>
      <c r="F56" t="s">
        <v>199</v>
      </c>
      <c r="G56" t="s">
        <v>166</v>
      </c>
    </row>
    <row r="57" spans="1:7" x14ac:dyDescent="0.2">
      <c r="A57" s="2">
        <v>16</v>
      </c>
      <c r="B57" t="s">
        <v>112</v>
      </c>
      <c r="C57" t="s">
        <v>167</v>
      </c>
      <c r="D57" t="s">
        <v>166</v>
      </c>
      <c r="E57" t="s">
        <v>167</v>
      </c>
      <c r="F57" t="s">
        <v>199</v>
      </c>
      <c r="G57" t="s">
        <v>166</v>
      </c>
    </row>
    <row r="58" spans="1:7" x14ac:dyDescent="0.2">
      <c r="A58" s="2">
        <v>17</v>
      </c>
      <c r="B58" t="s">
        <v>53</v>
      </c>
      <c r="C58" t="s">
        <v>258</v>
      </c>
      <c r="D58" t="s">
        <v>167</v>
      </c>
      <c r="E58" t="s">
        <v>167</v>
      </c>
      <c r="F58" t="s">
        <v>199</v>
      </c>
    </row>
    <row r="59" spans="1:7" x14ac:dyDescent="0.2">
      <c r="A59" s="2">
        <v>14</v>
      </c>
      <c r="B59" t="s">
        <v>51</v>
      </c>
      <c r="C59" t="s">
        <v>258</v>
      </c>
      <c r="D59" t="s">
        <v>166</v>
      </c>
      <c r="E59" t="s">
        <v>167</v>
      </c>
      <c r="F59" t="s">
        <v>199</v>
      </c>
      <c r="G59" t="s">
        <v>167</v>
      </c>
    </row>
    <row r="60" spans="1:7" x14ac:dyDescent="0.2">
      <c r="A60" s="2">
        <v>13</v>
      </c>
      <c r="B60" t="s">
        <v>50</v>
      </c>
      <c r="C60" t="s">
        <v>258</v>
      </c>
      <c r="D60" t="s">
        <v>167</v>
      </c>
      <c r="E60" t="s">
        <v>167</v>
      </c>
      <c r="F60" t="s">
        <v>199</v>
      </c>
    </row>
    <row r="61" spans="1:7" x14ac:dyDescent="0.2">
      <c r="A61" s="2">
        <v>35</v>
      </c>
      <c r="B61" t="s">
        <v>70</v>
      </c>
      <c r="C61" t="s">
        <v>258</v>
      </c>
      <c r="D61" t="s">
        <v>167</v>
      </c>
      <c r="E61" t="s">
        <v>167</v>
      </c>
    </row>
    <row r="62" spans="1:7" x14ac:dyDescent="0.2">
      <c r="A62" s="2">
        <v>34</v>
      </c>
      <c r="B62" t="s">
        <v>108</v>
      </c>
      <c r="C62" t="s">
        <v>283</v>
      </c>
      <c r="D62" t="s">
        <v>287</v>
      </c>
      <c r="E62" t="s">
        <v>167</v>
      </c>
      <c r="F62" t="s">
        <v>177</v>
      </c>
    </row>
    <row r="63" spans="1:7" x14ac:dyDescent="0.2">
      <c r="A63" s="2"/>
      <c r="B63" s="2"/>
      <c r="C63" s="2"/>
    </row>
    <row r="64" spans="1:7"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row>
    <row r="199" spans="1:3" x14ac:dyDescent="0.2">
      <c r="A199" s="2"/>
    </row>
    <row r="200" spans="1:3" x14ac:dyDescent="0.2">
      <c r="A200" s="2"/>
    </row>
    <row r="201" spans="1:3" x14ac:dyDescent="0.2">
      <c r="A201" s="2"/>
    </row>
    <row r="202" spans="1:3" x14ac:dyDescent="0.2">
      <c r="A202" s="2"/>
    </row>
    <row r="203" spans="1:3" x14ac:dyDescent="0.2">
      <c r="A203" s="2"/>
    </row>
    <row r="204" spans="1:3" x14ac:dyDescent="0.2">
      <c r="A204" s="2"/>
    </row>
    <row r="205" spans="1:3" x14ac:dyDescent="0.2">
      <c r="A205" s="2"/>
    </row>
    <row r="206" spans="1:3" x14ac:dyDescent="0.2">
      <c r="A206" s="2"/>
    </row>
    <row r="207" spans="1:3" x14ac:dyDescent="0.2">
      <c r="A207" s="2"/>
    </row>
    <row r="208" spans="1:3"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sheetData>
  <autoFilter ref="A1:G62" xr:uid="{EAB0A68B-F30D-AA4F-902B-EF70E66BBF2D}"/>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3870-B864-444B-9012-C67D89DF3D0A}">
  <dimension ref="A1:B81"/>
  <sheetViews>
    <sheetView workbookViewId="0">
      <selection activeCell="B33" sqref="B33"/>
    </sheetView>
  </sheetViews>
  <sheetFormatPr baseColWidth="10" defaultRowHeight="16" x14ac:dyDescent="0.2"/>
  <cols>
    <col min="1" max="1" width="31.1640625" bestFit="1" customWidth="1"/>
    <col min="2" max="2" width="255.83203125" bestFit="1" customWidth="1"/>
  </cols>
  <sheetData>
    <row r="1" spans="1:2" x14ac:dyDescent="0.2">
      <c r="A1" s="15" t="s">
        <v>170</v>
      </c>
    </row>
    <row r="2" spans="1:2" x14ac:dyDescent="0.2">
      <c r="A2" t="s">
        <v>195</v>
      </c>
      <c r="B2" t="s">
        <v>105</v>
      </c>
    </row>
    <row r="3" spans="1:2" x14ac:dyDescent="0.2">
      <c r="A3" t="s">
        <v>196</v>
      </c>
      <c r="B3" t="s">
        <v>106</v>
      </c>
    </row>
    <row r="4" spans="1:2" x14ac:dyDescent="0.2">
      <c r="A4" t="s">
        <v>242</v>
      </c>
      <c r="B4" t="s">
        <v>31</v>
      </c>
    </row>
    <row r="5" spans="1:2" x14ac:dyDescent="0.2">
      <c r="A5" t="s">
        <v>243</v>
      </c>
      <c r="B5" t="s">
        <v>116</v>
      </c>
    </row>
    <row r="6" spans="1:2" ht="17" x14ac:dyDescent="0.2">
      <c r="A6" t="s">
        <v>250</v>
      </c>
      <c r="B6" s="3" t="s">
        <v>17</v>
      </c>
    </row>
    <row r="7" spans="1:2" x14ac:dyDescent="0.2">
      <c r="A7" t="s">
        <v>251</v>
      </c>
      <c r="B7" t="s">
        <v>105</v>
      </c>
    </row>
    <row r="8" spans="1:2" x14ac:dyDescent="0.2">
      <c r="A8" t="s">
        <v>291</v>
      </c>
      <c r="B8" t="s">
        <v>290</v>
      </c>
    </row>
    <row r="9" spans="1:2" x14ac:dyDescent="0.2">
      <c r="A9" t="s">
        <v>289</v>
      </c>
      <c r="B9" t="s">
        <v>288</v>
      </c>
    </row>
    <row r="10" spans="1:2" x14ac:dyDescent="0.2">
      <c r="A10" t="s">
        <v>287</v>
      </c>
      <c r="B10" t="s">
        <v>286</v>
      </c>
    </row>
    <row r="11" spans="1:2" x14ac:dyDescent="0.2">
      <c r="A11" t="s">
        <v>285</v>
      </c>
      <c r="B11" t="s">
        <v>284</v>
      </c>
    </row>
    <row r="12" spans="1:2" x14ac:dyDescent="0.2">
      <c r="A12" t="s">
        <v>281</v>
      </c>
      <c r="B12" t="s">
        <v>280</v>
      </c>
    </row>
    <row r="13" spans="1:2" x14ac:dyDescent="0.2">
      <c r="A13" t="s">
        <v>278</v>
      </c>
      <c r="B13" t="s">
        <v>277</v>
      </c>
    </row>
    <row r="14" spans="1:2" x14ac:dyDescent="0.2">
      <c r="A14" t="s">
        <v>274</v>
      </c>
      <c r="B14" t="s">
        <v>273</v>
      </c>
    </row>
    <row r="15" spans="1:2" x14ac:dyDescent="0.2">
      <c r="A15" t="s">
        <v>272</v>
      </c>
      <c r="B15" t="s">
        <v>271</v>
      </c>
    </row>
    <row r="16" spans="1:2" x14ac:dyDescent="0.2">
      <c r="A16" t="s">
        <v>275</v>
      </c>
      <c r="B16" t="s">
        <v>268</v>
      </c>
    </row>
    <row r="17" spans="1:2" x14ac:dyDescent="0.2">
      <c r="A17" t="s">
        <v>267</v>
      </c>
      <c r="B17" t="s">
        <v>266</v>
      </c>
    </row>
    <row r="18" spans="1:2" x14ac:dyDescent="0.2">
      <c r="A18" t="s">
        <v>260</v>
      </c>
      <c r="B18" t="s">
        <v>261</v>
      </c>
    </row>
    <row r="19" spans="1:2" x14ac:dyDescent="0.2">
      <c r="A19" t="s">
        <v>258</v>
      </c>
      <c r="B19" t="s">
        <v>259</v>
      </c>
    </row>
    <row r="20" spans="1:2" x14ac:dyDescent="0.2">
      <c r="A20" t="s">
        <v>262</v>
      </c>
      <c r="B20" t="s">
        <v>263</v>
      </c>
    </row>
    <row r="21" spans="1:2" x14ac:dyDescent="0.2">
      <c r="A21" t="s">
        <v>248</v>
      </c>
      <c r="B21" t="s">
        <v>249</v>
      </c>
    </row>
    <row r="22" spans="1:2" x14ac:dyDescent="0.2">
      <c r="A22" t="s">
        <v>246</v>
      </c>
      <c r="B22" t="s">
        <v>247</v>
      </c>
    </row>
    <row r="23" spans="1:2" x14ac:dyDescent="0.2">
      <c r="A23" t="s">
        <v>245</v>
      </c>
      <c r="B23" t="s">
        <v>244</v>
      </c>
    </row>
    <row r="24" spans="1:2" x14ac:dyDescent="0.2">
      <c r="A24" t="s">
        <v>167</v>
      </c>
      <c r="B24" t="s">
        <v>171</v>
      </c>
    </row>
    <row r="25" spans="1:2" x14ac:dyDescent="0.2">
      <c r="A25" t="s">
        <v>166</v>
      </c>
      <c r="B25" t="s">
        <v>172</v>
      </c>
    </row>
    <row r="26" spans="1:2" x14ac:dyDescent="0.2">
      <c r="A26" t="s">
        <v>173</v>
      </c>
      <c r="B26" t="s">
        <v>30</v>
      </c>
    </row>
    <row r="27" spans="1:2" x14ac:dyDescent="0.2">
      <c r="A27" t="s">
        <v>174</v>
      </c>
      <c r="B27" t="s">
        <v>175</v>
      </c>
    </row>
    <row r="28" spans="1:2" x14ac:dyDescent="0.2">
      <c r="A28" t="s">
        <v>181</v>
      </c>
      <c r="B28" t="s">
        <v>176</v>
      </c>
    </row>
    <row r="29" spans="1:2" x14ac:dyDescent="0.2">
      <c r="A29" t="s">
        <v>180</v>
      </c>
      <c r="B29" t="s">
        <v>32</v>
      </c>
    </row>
    <row r="30" spans="1:2" x14ac:dyDescent="0.2">
      <c r="A30" t="s">
        <v>182</v>
      </c>
      <c r="B30" t="s">
        <v>183</v>
      </c>
    </row>
    <row r="31" spans="1:2" x14ac:dyDescent="0.2">
      <c r="A31" t="s">
        <v>188</v>
      </c>
      <c r="B31" t="s">
        <v>187</v>
      </c>
    </row>
    <row r="32" spans="1:2" x14ac:dyDescent="0.2">
      <c r="A32" t="s">
        <v>186</v>
      </c>
      <c r="B32" t="s">
        <v>185</v>
      </c>
    </row>
    <row r="33" spans="1:2" x14ac:dyDescent="0.2">
      <c r="A33" t="s">
        <v>189</v>
      </c>
      <c r="B33" t="s">
        <v>190</v>
      </c>
    </row>
    <row r="34" spans="1:2" x14ac:dyDescent="0.2">
      <c r="A34" t="s">
        <v>191</v>
      </c>
      <c r="B34" t="s">
        <v>192</v>
      </c>
    </row>
    <row r="35" spans="1:2" x14ac:dyDescent="0.2">
      <c r="A35" t="s">
        <v>193</v>
      </c>
      <c r="B35" t="s">
        <v>194</v>
      </c>
    </row>
    <row r="36" spans="1:2" x14ac:dyDescent="0.2">
      <c r="A36" t="s">
        <v>240</v>
      </c>
      <c r="B36" t="s">
        <v>241</v>
      </c>
    </row>
    <row r="37" spans="1:2" x14ac:dyDescent="0.2">
      <c r="A37" t="s">
        <v>197</v>
      </c>
      <c r="B37" t="s">
        <v>198</v>
      </c>
    </row>
    <row r="38" spans="1:2" x14ac:dyDescent="0.2">
      <c r="A38" t="s">
        <v>255</v>
      </c>
      <c r="B38" t="s">
        <v>254</v>
      </c>
    </row>
    <row r="39" spans="1:2" x14ac:dyDescent="0.2">
      <c r="A39" t="s">
        <v>257</v>
      </c>
      <c r="B39" t="s">
        <v>256</v>
      </c>
    </row>
    <row r="40" spans="1:2" x14ac:dyDescent="0.2">
      <c r="A40" t="s">
        <v>179</v>
      </c>
      <c r="B40" s="16" t="s">
        <v>23</v>
      </c>
    </row>
    <row r="41" spans="1:2" x14ac:dyDescent="0.2">
      <c r="A41" t="s">
        <v>168</v>
      </c>
      <c r="B41" s="16" t="s">
        <v>239</v>
      </c>
    </row>
    <row r="42" spans="1:2" x14ac:dyDescent="0.2">
      <c r="A42" t="s">
        <v>177</v>
      </c>
      <c r="B42" t="s">
        <v>202</v>
      </c>
    </row>
    <row r="43" spans="1:2" ht="17" x14ac:dyDescent="0.2">
      <c r="A43" t="s">
        <v>177</v>
      </c>
      <c r="B43" s="3" t="s">
        <v>203</v>
      </c>
    </row>
    <row r="44" spans="1:2" ht="17" x14ac:dyDescent="0.2">
      <c r="A44" t="s">
        <v>177</v>
      </c>
      <c r="B44" s="3" t="s">
        <v>204</v>
      </c>
    </row>
    <row r="45" spans="1:2" ht="17" x14ac:dyDescent="0.2">
      <c r="A45" t="s">
        <v>177</v>
      </c>
      <c r="B45" s="3" t="s">
        <v>205</v>
      </c>
    </row>
    <row r="46" spans="1:2" ht="17" x14ac:dyDescent="0.2">
      <c r="A46" t="s">
        <v>177</v>
      </c>
      <c r="B46" s="3" t="s">
        <v>206</v>
      </c>
    </row>
    <row r="47" spans="1:2" x14ac:dyDescent="0.2">
      <c r="A47" t="s">
        <v>199</v>
      </c>
      <c r="B47" t="s">
        <v>201</v>
      </c>
    </row>
    <row r="48" spans="1:2" x14ac:dyDescent="0.2">
      <c r="A48" t="s">
        <v>199</v>
      </c>
      <c r="B48" t="s">
        <v>207</v>
      </c>
    </row>
    <row r="49" spans="1:2" x14ac:dyDescent="0.2">
      <c r="A49" t="s">
        <v>199</v>
      </c>
      <c r="B49" t="s">
        <v>208</v>
      </c>
    </row>
    <row r="50" spans="1:2" x14ac:dyDescent="0.2">
      <c r="A50" t="s">
        <v>199</v>
      </c>
      <c r="B50" t="s">
        <v>209</v>
      </c>
    </row>
    <row r="51" spans="1:2" x14ac:dyDescent="0.2">
      <c r="A51" t="s">
        <v>199</v>
      </c>
      <c r="B51" t="s">
        <v>210</v>
      </c>
    </row>
    <row r="52" spans="1:2" x14ac:dyDescent="0.2">
      <c r="A52" t="s">
        <v>199</v>
      </c>
      <c r="B52" t="s">
        <v>211</v>
      </c>
    </row>
    <row r="53" spans="1:2" x14ac:dyDescent="0.2">
      <c r="A53" t="s">
        <v>199</v>
      </c>
      <c r="B53" t="s">
        <v>212</v>
      </c>
    </row>
    <row r="54" spans="1:2" x14ac:dyDescent="0.2">
      <c r="A54" t="s">
        <v>199</v>
      </c>
      <c r="B54" t="s">
        <v>213</v>
      </c>
    </row>
    <row r="55" spans="1:2" x14ac:dyDescent="0.2">
      <c r="A55" t="s">
        <v>199</v>
      </c>
      <c r="B55" t="s">
        <v>214</v>
      </c>
    </row>
    <row r="56" spans="1:2" x14ac:dyDescent="0.2">
      <c r="A56" t="s">
        <v>199</v>
      </c>
      <c r="B56" t="s">
        <v>215</v>
      </c>
    </row>
    <row r="57" spans="1:2" x14ac:dyDescent="0.2">
      <c r="A57" t="s">
        <v>199</v>
      </c>
      <c r="B57" t="s">
        <v>201</v>
      </c>
    </row>
    <row r="58" spans="1:2" x14ac:dyDescent="0.2">
      <c r="A58" t="s">
        <v>199</v>
      </c>
      <c r="B58" t="s">
        <v>216</v>
      </c>
    </row>
    <row r="59" spans="1:2" x14ac:dyDescent="0.2">
      <c r="A59" t="s">
        <v>199</v>
      </c>
      <c r="B59" t="s">
        <v>217</v>
      </c>
    </row>
    <row r="60" spans="1:2" x14ac:dyDescent="0.2">
      <c r="A60" t="s">
        <v>199</v>
      </c>
      <c r="B60" t="s">
        <v>218</v>
      </c>
    </row>
    <row r="61" spans="1:2" x14ac:dyDescent="0.2">
      <c r="A61" t="s">
        <v>199</v>
      </c>
      <c r="B61" t="s">
        <v>219</v>
      </c>
    </row>
    <row r="62" spans="1:2" x14ac:dyDescent="0.2">
      <c r="A62" t="s">
        <v>199</v>
      </c>
      <c r="B62" t="s">
        <v>220</v>
      </c>
    </row>
    <row r="63" spans="1:2" x14ac:dyDescent="0.2">
      <c r="A63" t="s">
        <v>199</v>
      </c>
      <c r="B63" t="s">
        <v>221</v>
      </c>
    </row>
    <row r="64" spans="1:2" x14ac:dyDescent="0.2">
      <c r="A64" t="s">
        <v>199</v>
      </c>
      <c r="B64" t="s">
        <v>222</v>
      </c>
    </row>
    <row r="65" spans="1:2" x14ac:dyDescent="0.2">
      <c r="A65" t="s">
        <v>199</v>
      </c>
      <c r="B65" t="s">
        <v>223</v>
      </c>
    </row>
    <row r="66" spans="1:2" x14ac:dyDescent="0.2">
      <c r="A66" t="s">
        <v>199</v>
      </c>
      <c r="B66" t="s">
        <v>224</v>
      </c>
    </row>
    <row r="67" spans="1:2" x14ac:dyDescent="0.2">
      <c r="A67" t="s">
        <v>199</v>
      </c>
      <c r="B67" t="s">
        <v>225</v>
      </c>
    </row>
    <row r="68" spans="1:2" x14ac:dyDescent="0.2">
      <c r="A68" t="s">
        <v>199</v>
      </c>
      <c r="B68" t="s">
        <v>226</v>
      </c>
    </row>
    <row r="69" spans="1:2" x14ac:dyDescent="0.2">
      <c r="A69" t="s">
        <v>199</v>
      </c>
      <c r="B69" t="s">
        <v>227</v>
      </c>
    </row>
    <row r="70" spans="1:2" x14ac:dyDescent="0.2">
      <c r="A70" t="s">
        <v>199</v>
      </c>
      <c r="B70" t="s">
        <v>228</v>
      </c>
    </row>
    <row r="71" spans="1:2" x14ac:dyDescent="0.2">
      <c r="A71" t="s">
        <v>199</v>
      </c>
      <c r="B71" t="s">
        <v>229</v>
      </c>
    </row>
    <row r="72" spans="1:2" x14ac:dyDescent="0.2">
      <c r="A72" t="s">
        <v>199</v>
      </c>
      <c r="B72" t="s">
        <v>230</v>
      </c>
    </row>
    <row r="73" spans="1:2" x14ac:dyDescent="0.2">
      <c r="A73" t="s">
        <v>199</v>
      </c>
      <c r="B73" t="s">
        <v>231</v>
      </c>
    </row>
    <row r="74" spans="1:2" x14ac:dyDescent="0.2">
      <c r="A74" t="s">
        <v>199</v>
      </c>
      <c r="B74" t="s">
        <v>232</v>
      </c>
    </row>
    <row r="75" spans="1:2" x14ac:dyDescent="0.2">
      <c r="A75" t="s">
        <v>199</v>
      </c>
      <c r="B75" t="s">
        <v>233</v>
      </c>
    </row>
    <row r="76" spans="1:2" x14ac:dyDescent="0.2">
      <c r="A76" t="s">
        <v>199</v>
      </c>
      <c r="B76" t="s">
        <v>234</v>
      </c>
    </row>
    <row r="77" spans="1:2" x14ac:dyDescent="0.2">
      <c r="A77" t="s">
        <v>199</v>
      </c>
      <c r="B77" t="s">
        <v>235</v>
      </c>
    </row>
    <row r="78" spans="1:2" x14ac:dyDescent="0.2">
      <c r="A78" t="s">
        <v>199</v>
      </c>
      <c r="B78" t="s">
        <v>236</v>
      </c>
    </row>
    <row r="79" spans="1:2" x14ac:dyDescent="0.2">
      <c r="A79" t="s">
        <v>199</v>
      </c>
      <c r="B79" t="s">
        <v>237</v>
      </c>
    </row>
    <row r="80" spans="1:2" x14ac:dyDescent="0.2">
      <c r="A80" t="s">
        <v>199</v>
      </c>
      <c r="B80" t="s">
        <v>238</v>
      </c>
    </row>
    <row r="81" spans="1:2" x14ac:dyDescent="0.2">
      <c r="A81" t="s">
        <v>199</v>
      </c>
      <c r="B81" t="s">
        <v>252</v>
      </c>
    </row>
  </sheetData>
  <phoneticPr fontId="27" type="noConversion"/>
  <conditionalFormatting sqref="B6:B20">
    <cfRule type="containsBlanks" dxfId="1" priority="1">
      <formula>LEN(TRIM(B6))=0</formula>
    </cfRule>
  </conditionalFormatting>
  <conditionalFormatting sqref="B43:B46">
    <cfRule type="containsBlanks" dxfId="0" priority="2">
      <formula>LEN(TRIM(B43))=0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25D4-60F4-D14C-A137-BD9263952061}">
  <dimension ref="A1:B23"/>
  <sheetViews>
    <sheetView workbookViewId="0">
      <selection activeCell="B25" sqref="B25"/>
    </sheetView>
  </sheetViews>
  <sheetFormatPr baseColWidth="10" defaultRowHeight="16" x14ac:dyDescent="0.2"/>
  <cols>
    <col min="1" max="1" width="18.6640625" bestFit="1" customWidth="1"/>
    <col min="2" max="2" width="98.1640625" customWidth="1"/>
    <col min="5" max="5" width="10.6640625" customWidth="1"/>
  </cols>
  <sheetData>
    <row r="1" spans="1:2" x14ac:dyDescent="0.2">
      <c r="A1" t="s">
        <v>118</v>
      </c>
    </row>
    <row r="2" spans="1:2" ht="34" x14ac:dyDescent="0.2">
      <c r="A2" t="s">
        <v>0</v>
      </c>
      <c r="B2" s="6" t="s">
        <v>107</v>
      </c>
    </row>
    <row r="3" spans="1:2" x14ac:dyDescent="0.2">
      <c r="A3" t="s">
        <v>1</v>
      </c>
      <c r="B3" t="s">
        <v>119</v>
      </c>
    </row>
    <row r="4" spans="1:2" x14ac:dyDescent="0.2">
      <c r="A4" t="s">
        <v>2</v>
      </c>
      <c r="B4" t="s">
        <v>163</v>
      </c>
    </row>
    <row r="5" spans="1:2" x14ac:dyDescent="0.2">
      <c r="A5" t="s">
        <v>3</v>
      </c>
      <c r="B5" t="s">
        <v>164</v>
      </c>
    </row>
    <row r="6" spans="1:2" x14ac:dyDescent="0.2">
      <c r="A6" t="s">
        <v>4</v>
      </c>
      <c r="B6" t="s">
        <v>162</v>
      </c>
    </row>
    <row r="7" spans="1:2" x14ac:dyDescent="0.2">
      <c r="A7" t="s">
        <v>16</v>
      </c>
      <c r="B7" t="s">
        <v>125</v>
      </c>
    </row>
    <row r="8" spans="1:2" x14ac:dyDescent="0.2">
      <c r="A8" t="s">
        <v>18</v>
      </c>
      <c r="B8" t="s">
        <v>161</v>
      </c>
    </row>
    <row r="9" spans="1:2" x14ac:dyDescent="0.2">
      <c r="A9" t="s">
        <v>25</v>
      </c>
      <c r="B9" t="s">
        <v>123</v>
      </c>
    </row>
    <row r="10" spans="1:2" x14ac:dyDescent="0.2">
      <c r="A10" t="s">
        <v>26</v>
      </c>
      <c r="B10" t="s">
        <v>122</v>
      </c>
    </row>
    <row r="11" spans="1:2" x14ac:dyDescent="0.2">
      <c r="A11" t="s">
        <v>24</v>
      </c>
      <c r="B11" t="s">
        <v>121</v>
      </c>
    </row>
    <row r="12" spans="1:2" x14ac:dyDescent="0.2">
      <c r="A12" t="s">
        <v>27</v>
      </c>
      <c r="B12" t="s">
        <v>120</v>
      </c>
    </row>
    <row r="13" spans="1:2" x14ac:dyDescent="0.2">
      <c r="A13" t="s">
        <v>5</v>
      </c>
      <c r="B13" t="s">
        <v>124</v>
      </c>
    </row>
    <row r="14" spans="1:2" x14ac:dyDescent="0.2">
      <c r="A14" t="s">
        <v>34</v>
      </c>
      <c r="B14" t="s">
        <v>156</v>
      </c>
    </row>
    <row r="15" spans="1:2" x14ac:dyDescent="0.2">
      <c r="A15" t="s">
        <v>6</v>
      </c>
      <c r="B15" t="s">
        <v>152</v>
      </c>
    </row>
    <row r="16" spans="1:2" x14ac:dyDescent="0.2">
      <c r="A16" t="s">
        <v>7</v>
      </c>
      <c r="B16" t="s">
        <v>153</v>
      </c>
    </row>
    <row r="17" spans="1:2" x14ac:dyDescent="0.2">
      <c r="A17" t="s">
        <v>8</v>
      </c>
      <c r="B17" t="s">
        <v>155</v>
      </c>
    </row>
    <row r="18" spans="1:2" x14ac:dyDescent="0.2">
      <c r="A18" t="s">
        <v>9</v>
      </c>
      <c r="B18" t="s">
        <v>154</v>
      </c>
    </row>
    <row r="19" spans="1:2" x14ac:dyDescent="0.2">
      <c r="A19" t="s">
        <v>10</v>
      </c>
      <c r="B19" s="5" t="s">
        <v>157</v>
      </c>
    </row>
    <row r="20" spans="1:2" x14ac:dyDescent="0.2">
      <c r="A20" t="s">
        <v>11</v>
      </c>
      <c r="B20" s="5" t="s">
        <v>158</v>
      </c>
    </row>
    <row r="21" spans="1:2" x14ac:dyDescent="0.2">
      <c r="A21" t="s">
        <v>12</v>
      </c>
      <c r="B21" s="5" t="s">
        <v>159</v>
      </c>
    </row>
    <row r="22" spans="1:2" x14ac:dyDescent="0.2">
      <c r="A22" t="s">
        <v>13</v>
      </c>
      <c r="B22" s="5" t="s">
        <v>160</v>
      </c>
    </row>
    <row r="23" spans="1:2" x14ac:dyDescent="0.2">
      <c r="A23" t="s">
        <v>33</v>
      </c>
      <c r="B23" s="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testudine_female_data</vt:lpstr>
      <vt:lpstr>TraitReferences</vt:lpstr>
      <vt:lpstr>References</vt:lpstr>
      <vt:lpstr>VariableKey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Glen,George</dc:creator>
  <cp:lastModifiedBy>Glen,George</cp:lastModifiedBy>
  <dcterms:created xsi:type="dcterms:W3CDTF">2023-10-12T19:13:01Z</dcterms:created>
  <dcterms:modified xsi:type="dcterms:W3CDTF">2025-07-11T18:58:56Z</dcterms:modified>
</cp:coreProperties>
</file>