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onstantingeorgeglen/Documents/University/UFL/RESEARCH/Projects_Analysis/RSenescence_CTC/Main/2.CTCAnalyses/PhylogeneticAnalysis/data/"/>
    </mc:Choice>
  </mc:AlternateContent>
  <xr:revisionPtr revIDLastSave="0" documentId="13_ncr:1_{595DB2AC-93A1-FD48-AD8E-DCCE2B7A13D5}" xr6:coauthVersionLast="47" xr6:coauthVersionMax="47" xr10:uidLastSave="{00000000-0000-0000-0000-000000000000}"/>
  <bookViews>
    <workbookView xWindow="0" yWindow="760" windowWidth="28800" windowHeight="16540" activeTab="7" xr2:uid="{00000000-000D-0000-FFFF-FFFF00000000}"/>
  </bookViews>
  <sheets>
    <sheet name="testudine.female.data" sheetId="12" r:id="rId1"/>
    <sheet name="daSilva.2022.female.with.CM" sheetId="1" state="hidden" r:id="rId2"/>
    <sheet name="Reinke.2022.turtles" sheetId="14" state="hidden" r:id="rId3"/>
    <sheet name="seaturtles.metadata" sheetId="6" r:id="rId4"/>
    <sheet name="seaturtle.estimates" sheetId="10" state="hidden" r:id="rId5"/>
    <sheet name="testudine.sources" sheetId="3" r:id="rId6"/>
    <sheet name="seaturtle.sources" sheetId="11" r:id="rId7"/>
    <sheet name="variables" sheetId="5" r:id="rId8"/>
    <sheet name="notes" sheetId="9" r:id="rId9"/>
  </sheets>
  <definedNames>
    <definedName name="_xlnm._FilterDatabase" localSheetId="1" hidden="1">'daSilva.2022.female.with.CM'!$A$1:$V$76</definedName>
    <definedName name="_xlnm._FilterDatabase" localSheetId="4" hidden="1">seaturtle.estimates!$A$1:$AM$31</definedName>
    <definedName name="_xlnm._FilterDatabase" localSheetId="3" hidden="1">seaturtles.metadata!$A$1:$AF$23</definedName>
    <definedName name="_xlnm._FilterDatabase" localSheetId="0" hidden="1">'testudine.female.data'!$A$1:$AB$98</definedName>
    <definedName name="_xlnm._FilterDatabase" localSheetId="5" hidden="1">testudine.sources!$A$1:$E$209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0" l="1"/>
  <c r="AD3" i="10"/>
  <c r="AD4" i="10"/>
  <c r="X34" i="12"/>
  <c r="X35" i="12"/>
  <c r="X36" i="12"/>
  <c r="X37" i="12"/>
  <c r="X38" i="12"/>
  <c r="X39" i="12"/>
  <c r="W6" i="6"/>
  <c r="AE6" i="6" s="1"/>
  <c r="AA74" i="12" s="1"/>
  <c r="V3" i="6"/>
  <c r="V4" i="6"/>
  <c r="V5" i="6"/>
  <c r="V6" i="6"/>
  <c r="AD6" i="6" s="1"/>
  <c r="Z74" i="12" s="1"/>
  <c r="V7" i="6"/>
  <c r="V8" i="6"/>
  <c r="V9" i="6"/>
  <c r="V10" i="6"/>
  <c r="AE10" i="6" s="1"/>
  <c r="AA44" i="12" s="1"/>
  <c r="V11" i="6"/>
  <c r="V12" i="6"/>
  <c r="V13" i="6"/>
  <c r="AD13" i="6" s="1"/>
  <c r="Z35" i="12" s="1"/>
  <c r="V14" i="6"/>
  <c r="AE14" i="6" s="1"/>
  <c r="AA36" i="12" s="1"/>
  <c r="V15" i="6"/>
  <c r="V16" i="6"/>
  <c r="V17" i="6"/>
  <c r="AD17" i="6" s="1"/>
  <c r="Z39" i="12" s="1"/>
  <c r="V18" i="6"/>
  <c r="X6" i="12" s="1"/>
  <c r="V19" i="6"/>
  <c r="V20" i="6"/>
  <c r="V21" i="6"/>
  <c r="V22" i="6"/>
  <c r="V23" i="6"/>
  <c r="X71" i="12"/>
  <c r="AE5" i="6"/>
  <c r="AA73" i="12" s="1"/>
  <c r="AE9" i="6"/>
  <c r="AA20" i="12" s="1"/>
  <c r="AE21" i="6"/>
  <c r="AA9" i="12" s="1"/>
  <c r="AE18" i="6"/>
  <c r="AA6" i="12" s="1"/>
  <c r="AE22" i="6"/>
  <c r="AA10" i="12" s="1"/>
  <c r="V2" i="6"/>
  <c r="T2" i="6" s="1"/>
  <c r="X72" i="12"/>
  <c r="X74" i="12"/>
  <c r="X75" i="12"/>
  <c r="X19" i="12"/>
  <c r="X44" i="12"/>
  <c r="X45" i="12"/>
  <c r="X7" i="12"/>
  <c r="X8" i="12"/>
  <c r="X10" i="12"/>
  <c r="X11" i="12"/>
  <c r="W2" i="6"/>
  <c r="AE3" i="6"/>
  <c r="AA71" i="12" s="1"/>
  <c r="AE4" i="6"/>
  <c r="AA72" i="12" s="1"/>
  <c r="AE7" i="6"/>
  <c r="AA75" i="12" s="1"/>
  <c r="AE8" i="6"/>
  <c r="AA19" i="12" s="1"/>
  <c r="AE11" i="6"/>
  <c r="AA45" i="12" s="1"/>
  <c r="AE12" i="6"/>
  <c r="AA34" i="12" s="1"/>
  <c r="AE15" i="6"/>
  <c r="AA37" i="12" s="1"/>
  <c r="AE16" i="6"/>
  <c r="AA38" i="12" s="1"/>
  <c r="AE17" i="6"/>
  <c r="AA39" i="12" s="1"/>
  <c r="AE19" i="6"/>
  <c r="AA7" i="12" s="1"/>
  <c r="AE20" i="6"/>
  <c r="AA8" i="12" s="1"/>
  <c r="AE23" i="6"/>
  <c r="AA11" i="12" s="1"/>
  <c r="AD3" i="6"/>
  <c r="Z71" i="12" s="1"/>
  <c r="AD4" i="6"/>
  <c r="Z72" i="12" s="1"/>
  <c r="AD7" i="6"/>
  <c r="Z75" i="12" s="1"/>
  <c r="AD8" i="6"/>
  <c r="Z19" i="12" s="1"/>
  <c r="AD10" i="6"/>
  <c r="Z44" i="12" s="1"/>
  <c r="AD11" i="6"/>
  <c r="Z45" i="12" s="1"/>
  <c r="AD12" i="6"/>
  <c r="Z34" i="12" s="1"/>
  <c r="AD14" i="6"/>
  <c r="Z36" i="12" s="1"/>
  <c r="AD15" i="6"/>
  <c r="Z37" i="12" s="1"/>
  <c r="AD16" i="6"/>
  <c r="Z38" i="12" s="1"/>
  <c r="AD18" i="6"/>
  <c r="Z6" i="12" s="1"/>
  <c r="AD19" i="6"/>
  <c r="Z7" i="12" s="1"/>
  <c r="AD20" i="6"/>
  <c r="Z8" i="12" s="1"/>
  <c r="AD23" i="6"/>
  <c r="Z11" i="12" s="1"/>
  <c r="AF6" i="10"/>
  <c r="U3" i="6"/>
  <c r="T3" i="6"/>
  <c r="AB3" i="6" s="1"/>
  <c r="W71" i="12" s="1"/>
  <c r="W3" i="6"/>
  <c r="U4" i="6"/>
  <c r="T4" i="6"/>
  <c r="AA4" i="6" s="1"/>
  <c r="V72" i="12" s="1"/>
  <c r="W4" i="6"/>
  <c r="U5" i="6"/>
  <c r="T5" i="6"/>
  <c r="AB5" i="6" s="1"/>
  <c r="W73" i="12" s="1"/>
  <c r="W5" i="6"/>
  <c r="U6" i="6"/>
  <c r="T6" i="6"/>
  <c r="AA6" i="6" s="1"/>
  <c r="V74" i="12" s="1"/>
  <c r="U7" i="6"/>
  <c r="T7" i="6"/>
  <c r="AB7" i="6" s="1"/>
  <c r="W75" i="12" s="1"/>
  <c r="W7" i="6"/>
  <c r="U8" i="6"/>
  <c r="T8" i="6"/>
  <c r="AA8" i="6" s="1"/>
  <c r="V19" i="12" s="1"/>
  <c r="W8" i="6"/>
  <c r="U9" i="6"/>
  <c r="T9" i="6"/>
  <c r="AB9" i="6" s="1"/>
  <c r="W20" i="12" s="1"/>
  <c r="W9" i="6"/>
  <c r="U10" i="6"/>
  <c r="T10" i="6"/>
  <c r="AB10" i="6" s="1"/>
  <c r="W44" i="12" s="1"/>
  <c r="W10" i="6"/>
  <c r="U11" i="6"/>
  <c r="T11" i="6"/>
  <c r="AB11" i="6" s="1"/>
  <c r="W45" i="12" s="1"/>
  <c r="W11" i="6"/>
  <c r="U12" i="6"/>
  <c r="T12" i="6"/>
  <c r="AA12" i="6" s="1"/>
  <c r="V34" i="12" s="1"/>
  <c r="W12" i="6"/>
  <c r="U13" i="6"/>
  <c r="T13" i="6"/>
  <c r="AB13" i="6" s="1"/>
  <c r="W35" i="12" s="1"/>
  <c r="W13" i="6"/>
  <c r="U14" i="6"/>
  <c r="T14" i="6"/>
  <c r="AA14" i="6" s="1"/>
  <c r="V36" i="12" s="1"/>
  <c r="W14" i="6"/>
  <c r="U15" i="6"/>
  <c r="T15" i="6"/>
  <c r="AB15" i="6" s="1"/>
  <c r="W37" i="12" s="1"/>
  <c r="W15" i="6"/>
  <c r="U16" i="6"/>
  <c r="T16" i="6"/>
  <c r="AA16" i="6" s="1"/>
  <c r="V38" i="12" s="1"/>
  <c r="W16" i="6"/>
  <c r="U17" i="6"/>
  <c r="T17" i="6"/>
  <c r="AB17" i="6" s="1"/>
  <c r="W39" i="12" s="1"/>
  <c r="W17" i="6"/>
  <c r="U18" i="6"/>
  <c r="T18" i="6"/>
  <c r="AB18" i="6" s="1"/>
  <c r="W6" i="12" s="1"/>
  <c r="W18" i="6"/>
  <c r="U19" i="6"/>
  <c r="T19" i="6"/>
  <c r="AB19" i="6" s="1"/>
  <c r="W7" i="12" s="1"/>
  <c r="W19" i="6"/>
  <c r="U20" i="6"/>
  <c r="T20" i="6"/>
  <c r="AA20" i="6" s="1"/>
  <c r="V8" i="12" s="1"/>
  <c r="W20" i="6"/>
  <c r="U21" i="6"/>
  <c r="T21" i="6"/>
  <c r="AB21" i="6" s="1"/>
  <c r="W9" i="12" s="1"/>
  <c r="W21" i="6"/>
  <c r="U22" i="6"/>
  <c r="T22" i="6"/>
  <c r="AA22" i="6" s="1"/>
  <c r="V10" i="12" s="1"/>
  <c r="W22" i="6"/>
  <c r="U23" i="6"/>
  <c r="T23" i="6"/>
  <c r="AA23" i="6" s="1"/>
  <c r="V11" i="12" s="1"/>
  <c r="W23" i="6"/>
  <c r="U2" i="6"/>
  <c r="AE31" i="10"/>
  <c r="AE22" i="10"/>
  <c r="AE20" i="10"/>
  <c r="AD10" i="10"/>
  <c r="AD31" i="10"/>
  <c r="AD29" i="10"/>
  <c r="AD28" i="10"/>
  <c r="AD24" i="10"/>
  <c r="AD23" i="10"/>
  <c r="AD22" i="10"/>
  <c r="AD20" i="10"/>
  <c r="AD19" i="10"/>
  <c r="AD18" i="10"/>
  <c r="AD17" i="10"/>
  <c r="AD16" i="10"/>
  <c r="AD15" i="10"/>
  <c r="AD14" i="10"/>
  <c r="AD13" i="10"/>
  <c r="AD12" i="10"/>
  <c r="AD11" i="10"/>
  <c r="AD8" i="10"/>
  <c r="AD7" i="10"/>
  <c r="AD6" i="10"/>
  <c r="AD5" i="10"/>
  <c r="AE29" i="10"/>
  <c r="AE28" i="10"/>
  <c r="AE24" i="10"/>
  <c r="AE23" i="10"/>
  <c r="AE19" i="10"/>
  <c r="AE18" i="10"/>
  <c r="AE17" i="10"/>
  <c r="AE16" i="10"/>
  <c r="AE15" i="10"/>
  <c r="AE14" i="10"/>
  <c r="AE13" i="10"/>
  <c r="AE12" i="10"/>
  <c r="AE11" i="10"/>
  <c r="AE10" i="10"/>
  <c r="AE8" i="10"/>
  <c r="AE7" i="10"/>
  <c r="AE6" i="10"/>
  <c r="AE5" i="10"/>
  <c r="AE4" i="10"/>
  <c r="AE3" i="10"/>
  <c r="AE2" i="10"/>
  <c r="AC2" i="10" s="1"/>
  <c r="AF7" i="10"/>
  <c r="AB4" i="6" l="1"/>
  <c r="W72" i="12" s="1"/>
  <c r="AE13" i="6"/>
  <c r="AA35" i="12" s="1"/>
  <c r="X9" i="12"/>
  <c r="X20" i="12"/>
  <c r="X73" i="12"/>
  <c r="AB20" i="6"/>
  <c r="W8" i="12" s="1"/>
  <c r="AB12" i="6"/>
  <c r="W34" i="12" s="1"/>
  <c r="AD21" i="6"/>
  <c r="Z9" i="12" s="1"/>
  <c r="AD9" i="6"/>
  <c r="Z20" i="12" s="1"/>
  <c r="AD5" i="6"/>
  <c r="Z73" i="12" s="1"/>
  <c r="AB8" i="6"/>
  <c r="W19" i="12" s="1"/>
  <c r="T45" i="12"/>
  <c r="AA11" i="6"/>
  <c r="V45" i="12" s="1"/>
  <c r="AB16" i="6"/>
  <c r="W38" i="12" s="1"/>
  <c r="T10" i="12"/>
  <c r="T6" i="12"/>
  <c r="T36" i="12"/>
  <c r="T44" i="12"/>
  <c r="T74" i="12"/>
  <c r="T7" i="12"/>
  <c r="T71" i="12"/>
  <c r="AA7" i="6"/>
  <c r="V75" i="12" s="1"/>
  <c r="AD22" i="6"/>
  <c r="Z10" i="12" s="1"/>
  <c r="T9" i="12"/>
  <c r="T39" i="12"/>
  <c r="T35" i="12"/>
  <c r="T20" i="12"/>
  <c r="T73" i="12"/>
  <c r="AA15" i="6"/>
  <c r="V37" i="12" s="1"/>
  <c r="T11" i="12"/>
  <c r="T37" i="12"/>
  <c r="T75" i="12"/>
  <c r="AA19" i="6"/>
  <c r="V7" i="12" s="1"/>
  <c r="AA3" i="6"/>
  <c r="V71" i="12" s="1"/>
  <c r="T8" i="12"/>
  <c r="T38" i="12"/>
  <c r="T34" i="12"/>
  <c r="T19" i="12"/>
  <c r="T72" i="12"/>
  <c r="AB2" i="6"/>
  <c r="W70" i="12" s="1"/>
  <c r="AA2" i="6"/>
  <c r="V70" i="12" s="1"/>
  <c r="T70" i="12"/>
  <c r="X70" i="12"/>
  <c r="AD2" i="6"/>
  <c r="Z70" i="12" s="1"/>
  <c r="AE2" i="6"/>
  <c r="AA70" i="12" s="1"/>
  <c r="AA18" i="6"/>
  <c r="V6" i="12" s="1"/>
  <c r="AA10" i="6"/>
  <c r="V44" i="12" s="1"/>
  <c r="AA21" i="6"/>
  <c r="V9" i="12" s="1"/>
  <c r="AA17" i="6"/>
  <c r="V39" i="12" s="1"/>
  <c r="AA13" i="6"/>
  <c r="V35" i="12" s="1"/>
  <c r="AA9" i="6"/>
  <c r="V20" i="12" s="1"/>
  <c r="AA5" i="6"/>
  <c r="V73" i="12" s="1"/>
  <c r="AB23" i="6"/>
  <c r="W11" i="12" s="1"/>
  <c r="AB14" i="6"/>
  <c r="W36" i="12" s="1"/>
  <c r="AB6" i="6"/>
  <c r="W74" i="12" s="1"/>
  <c r="AB22" i="6"/>
  <c r="W10" i="12" s="1"/>
  <c r="F2" i="1"/>
  <c r="R45" i="12" l="1"/>
  <c r="Q75" i="12"/>
  <c r="Q74" i="12"/>
  <c r="Q73" i="12"/>
  <c r="Q72" i="12"/>
  <c r="Q71" i="12"/>
  <c r="P11" i="12"/>
  <c r="O11" i="12"/>
  <c r="N11" i="12"/>
  <c r="P10" i="12"/>
  <c r="O10" i="12"/>
  <c r="N10" i="12"/>
  <c r="P9" i="12"/>
  <c r="O9" i="12"/>
  <c r="N9" i="12"/>
  <c r="P8" i="12"/>
  <c r="O8" i="12"/>
  <c r="N8" i="12"/>
  <c r="P7" i="12"/>
  <c r="O7" i="12"/>
  <c r="N7" i="12"/>
  <c r="P6" i="12"/>
  <c r="O6" i="12"/>
  <c r="N6" i="12"/>
  <c r="P39" i="12"/>
  <c r="O39" i="12"/>
  <c r="N39" i="12"/>
  <c r="P38" i="12"/>
  <c r="O38" i="12"/>
  <c r="N38" i="12"/>
  <c r="P37" i="12"/>
  <c r="O37" i="12"/>
  <c r="N37" i="12"/>
  <c r="P36" i="12"/>
  <c r="O36" i="12"/>
  <c r="N36" i="12"/>
  <c r="P35" i="12"/>
  <c r="O35" i="12"/>
  <c r="N35" i="12"/>
  <c r="P34" i="12"/>
  <c r="O34" i="12"/>
  <c r="N34" i="12"/>
  <c r="P45" i="12"/>
  <c r="O45" i="12"/>
  <c r="N45" i="12"/>
  <c r="P44" i="12"/>
  <c r="O44" i="12"/>
  <c r="N44" i="12"/>
  <c r="P20" i="12"/>
  <c r="O20" i="12"/>
  <c r="N20" i="12"/>
  <c r="P19" i="12"/>
  <c r="O19" i="12"/>
  <c r="N19" i="12"/>
  <c r="P75" i="12"/>
  <c r="O75" i="12"/>
  <c r="N75" i="12"/>
  <c r="P74" i="12"/>
  <c r="N74" i="12"/>
  <c r="P73" i="12"/>
  <c r="O73" i="12"/>
  <c r="N73" i="12"/>
  <c r="P72" i="12"/>
  <c r="O72" i="12"/>
  <c r="N72" i="12"/>
  <c r="P71" i="12"/>
  <c r="O71" i="12"/>
  <c r="N71" i="12"/>
  <c r="P70" i="12"/>
  <c r="O70" i="12"/>
  <c r="N70" i="12"/>
  <c r="P18" i="12"/>
  <c r="N18" i="12"/>
  <c r="P17" i="12"/>
  <c r="N17" i="12"/>
  <c r="P16" i="12"/>
  <c r="N16" i="12"/>
  <c r="P15" i="12"/>
  <c r="N15" i="12"/>
  <c r="P14" i="12"/>
  <c r="N14" i="12"/>
  <c r="P79" i="12"/>
  <c r="O79" i="12"/>
  <c r="P23" i="12"/>
  <c r="P12" i="12"/>
  <c r="O12" i="12"/>
  <c r="N12" i="12"/>
  <c r="L12" i="12"/>
  <c r="P13" i="12"/>
  <c r="L13" i="12"/>
  <c r="P80" i="12"/>
  <c r="O80" i="12"/>
  <c r="N80" i="12"/>
  <c r="L80" i="12"/>
  <c r="P78" i="12"/>
  <c r="O78" i="12"/>
  <c r="P77" i="12"/>
  <c r="O77" i="12"/>
  <c r="P76" i="12"/>
  <c r="O76" i="12"/>
  <c r="L76" i="12"/>
  <c r="P3" i="12"/>
  <c r="O3" i="12"/>
  <c r="N3" i="12"/>
  <c r="L3" i="12"/>
  <c r="P4" i="12"/>
  <c r="O4" i="12"/>
  <c r="L4" i="12"/>
  <c r="Q65" i="12"/>
  <c r="P65" i="12"/>
  <c r="O65" i="12"/>
  <c r="N65" i="12"/>
  <c r="L65" i="12"/>
  <c r="P85" i="12"/>
  <c r="O85" i="12"/>
  <c r="L85" i="12"/>
  <c r="P24" i="12"/>
  <c r="O24" i="12"/>
  <c r="P66" i="12"/>
  <c r="O66" i="12"/>
  <c r="P27" i="12"/>
  <c r="O27" i="12"/>
  <c r="L27" i="12"/>
  <c r="K27" i="12" s="1"/>
  <c r="P54" i="12"/>
  <c r="O54" i="12"/>
  <c r="N54" i="12"/>
  <c r="L54" i="12"/>
  <c r="P57" i="12"/>
  <c r="O57" i="12"/>
  <c r="L57" i="12"/>
  <c r="P95" i="12"/>
  <c r="L95" i="12"/>
  <c r="P96" i="12"/>
  <c r="O96" i="12"/>
  <c r="L96" i="12"/>
  <c r="P30" i="12"/>
  <c r="O30" i="12"/>
  <c r="L30" i="12"/>
  <c r="P50" i="12"/>
  <c r="O50" i="12"/>
  <c r="P49" i="12"/>
  <c r="O49" i="12"/>
  <c r="L49" i="12"/>
  <c r="P51" i="12"/>
  <c r="O51" i="12"/>
  <c r="N51" i="12"/>
  <c r="L51" i="12"/>
  <c r="P52" i="12"/>
  <c r="O52" i="12"/>
  <c r="N52" i="12"/>
  <c r="P53" i="12"/>
  <c r="O53" i="12"/>
  <c r="N53" i="12"/>
  <c r="P2" i="12"/>
  <c r="N2" i="12"/>
  <c r="L2" i="12"/>
  <c r="P83" i="12"/>
  <c r="L83" i="12"/>
  <c r="P82" i="12"/>
  <c r="Q26" i="12"/>
  <c r="P26" i="12"/>
  <c r="O26" i="12"/>
  <c r="N26" i="12"/>
  <c r="P87" i="12"/>
  <c r="O87" i="12"/>
  <c r="P21" i="12"/>
  <c r="L21" i="12"/>
  <c r="P22" i="12"/>
  <c r="L22" i="12"/>
  <c r="P46" i="12"/>
  <c r="O46" i="12"/>
  <c r="N46" i="12"/>
  <c r="L46" i="12"/>
  <c r="P62" i="12"/>
  <c r="O62" i="12"/>
  <c r="L62" i="12"/>
  <c r="P63" i="12"/>
  <c r="O63" i="12"/>
  <c r="N63" i="12"/>
  <c r="L63" i="12"/>
  <c r="P92" i="12"/>
  <c r="O92" i="12"/>
  <c r="L92" i="12"/>
  <c r="P90" i="12"/>
  <c r="O90" i="12"/>
  <c r="N90" i="12"/>
  <c r="L90" i="12"/>
  <c r="P89" i="12"/>
  <c r="O89" i="12"/>
  <c r="N89" i="12"/>
  <c r="L89" i="12"/>
  <c r="P93" i="12"/>
  <c r="O93" i="12"/>
  <c r="N93" i="12"/>
  <c r="L93" i="12"/>
  <c r="P94" i="12"/>
  <c r="O94" i="12"/>
  <c r="L94" i="12"/>
  <c r="P67" i="12"/>
  <c r="O67" i="12"/>
  <c r="N67" i="12"/>
  <c r="P60" i="12"/>
  <c r="O60" i="12"/>
  <c r="N60" i="12"/>
  <c r="L60" i="12"/>
  <c r="P61" i="12"/>
  <c r="L61" i="12"/>
  <c r="P48" i="12"/>
  <c r="N48" i="12"/>
  <c r="P84" i="12"/>
  <c r="N84" i="12"/>
  <c r="L84" i="12"/>
  <c r="P5" i="12"/>
  <c r="N5" i="12"/>
  <c r="P47" i="12"/>
  <c r="O47" i="12"/>
  <c r="L47" i="12"/>
  <c r="P58" i="12"/>
  <c r="O58" i="12"/>
  <c r="N58" i="12"/>
  <c r="P31" i="12"/>
  <c r="N31" i="12"/>
  <c r="P33" i="12"/>
  <c r="O33" i="12"/>
  <c r="N33" i="12"/>
  <c r="P32" i="12"/>
  <c r="O32" i="12"/>
  <c r="N32" i="12"/>
  <c r="L32" i="12"/>
  <c r="P68" i="12"/>
  <c r="O68" i="12"/>
  <c r="N68" i="12"/>
  <c r="L68" i="12"/>
  <c r="J23" i="6"/>
  <c r="J22" i="6"/>
  <c r="M23" i="6"/>
  <c r="N23" i="6"/>
  <c r="O23" i="6"/>
  <c r="O21" i="6"/>
  <c r="N21" i="6"/>
  <c r="M21" i="6"/>
  <c r="J21" i="6"/>
  <c r="J19" i="6"/>
  <c r="N22" i="6"/>
  <c r="N20" i="6"/>
  <c r="N19" i="6"/>
  <c r="N18" i="6"/>
  <c r="M22" i="6"/>
  <c r="M20" i="6"/>
  <c r="M19" i="6"/>
  <c r="M18" i="6"/>
  <c r="O22" i="6"/>
  <c r="O20" i="6"/>
  <c r="O19" i="6"/>
  <c r="O18" i="6"/>
  <c r="J20" i="6"/>
  <c r="J18" i="6"/>
  <c r="J17" i="6"/>
  <c r="M17" i="6"/>
  <c r="O17" i="6"/>
  <c r="N17" i="6"/>
  <c r="P16" i="6"/>
  <c r="O16" i="6"/>
  <c r="O15" i="6"/>
  <c r="N16" i="6"/>
  <c r="M16" i="6"/>
  <c r="J16" i="6"/>
  <c r="N15" i="6"/>
  <c r="M14" i="6"/>
  <c r="M15" i="6"/>
  <c r="J15" i="6"/>
  <c r="N14" i="6"/>
  <c r="J14" i="6"/>
  <c r="O14" i="6"/>
  <c r="O13" i="6"/>
  <c r="N13" i="6"/>
  <c r="M13" i="6"/>
  <c r="J13" i="6"/>
  <c r="N12" i="6"/>
  <c r="M12" i="6"/>
  <c r="O12" i="6"/>
  <c r="J12" i="6"/>
  <c r="M6" i="6"/>
  <c r="J4" i="6"/>
  <c r="J2" i="6"/>
  <c r="R11" i="6"/>
  <c r="J11" i="6"/>
  <c r="O11" i="6"/>
  <c r="M11" i="6"/>
  <c r="N11" i="6"/>
  <c r="O10" i="6"/>
  <c r="M10" i="6"/>
  <c r="N10" i="6"/>
  <c r="J10" i="6"/>
  <c r="M9" i="6"/>
  <c r="N9" i="6"/>
  <c r="O9" i="6"/>
  <c r="O8" i="6"/>
  <c r="J9" i="6"/>
  <c r="J8" i="6"/>
  <c r="N8" i="6"/>
  <c r="M8" i="6"/>
  <c r="P8" i="6"/>
  <c r="M7" i="6"/>
  <c r="M5" i="6"/>
  <c r="M4" i="6"/>
  <c r="M3" i="6"/>
  <c r="M2" i="6"/>
  <c r="O7" i="6"/>
  <c r="O6" i="6"/>
  <c r="O5" i="6"/>
  <c r="O4" i="6"/>
  <c r="O3" i="6"/>
  <c r="O2" i="6"/>
  <c r="N7" i="6"/>
  <c r="N5" i="6"/>
  <c r="N4" i="6"/>
  <c r="N3" i="6"/>
  <c r="N2" i="6"/>
  <c r="J7" i="6"/>
  <c r="J6" i="6"/>
  <c r="J5" i="6"/>
  <c r="J3" i="6"/>
  <c r="Q7" i="6"/>
  <c r="Q6" i="6"/>
  <c r="Q5" i="6"/>
  <c r="Q4" i="6"/>
  <c r="Q3" i="6"/>
  <c r="P7" i="6"/>
  <c r="P5" i="6"/>
  <c r="P3" i="6"/>
  <c r="AC3" i="10"/>
  <c r="AC4" i="10"/>
  <c r="AC5" i="10"/>
  <c r="AC6" i="10"/>
  <c r="AC7" i="10"/>
  <c r="AC8" i="10"/>
  <c r="AE9" i="10"/>
  <c r="AC9" i="10" s="1"/>
  <c r="AC10" i="10"/>
  <c r="AC11" i="10"/>
  <c r="AC12" i="10"/>
  <c r="AC13" i="10"/>
  <c r="AC14" i="10"/>
  <c r="AC15" i="10"/>
  <c r="AC16" i="10"/>
  <c r="AC17" i="10"/>
  <c r="AC18" i="10"/>
  <c r="AC19" i="10"/>
  <c r="AC20" i="10"/>
  <c r="AE21" i="10"/>
  <c r="AC21" i="10" s="1"/>
  <c r="AC22" i="10"/>
  <c r="AC23" i="10"/>
  <c r="AC24" i="10"/>
  <c r="AE25" i="10"/>
  <c r="AC25" i="10" s="1"/>
  <c r="AE26" i="10"/>
  <c r="AC26" i="10" s="1"/>
  <c r="AE27" i="10"/>
  <c r="AC27" i="10" s="1"/>
  <c r="AC28" i="10"/>
  <c r="AC29" i="10"/>
  <c r="AE30" i="10"/>
  <c r="AC30" i="10" s="1"/>
  <c r="AC31" i="10"/>
  <c r="AD30" i="10"/>
  <c r="AD27" i="10"/>
  <c r="AD26" i="10"/>
  <c r="AD25" i="10"/>
  <c r="AD21" i="10"/>
  <c r="AD9" i="10"/>
  <c r="AF31" i="10"/>
  <c r="AF30" i="10"/>
  <c r="AF29" i="10"/>
  <c r="AF28" i="10"/>
  <c r="AF27" i="10"/>
  <c r="AF26" i="10"/>
  <c r="AF25" i="10"/>
  <c r="AF24" i="10"/>
  <c r="AF23" i="10"/>
  <c r="AF22" i="10"/>
  <c r="AF21" i="10"/>
  <c r="AF20" i="10"/>
  <c r="AF19" i="10"/>
  <c r="AF18" i="10"/>
  <c r="AF17" i="10"/>
  <c r="AF16" i="10"/>
  <c r="AF15" i="10"/>
  <c r="AF14" i="10"/>
  <c r="AF13" i="10"/>
  <c r="AF12" i="10"/>
  <c r="AF11" i="10"/>
  <c r="AF10" i="10"/>
  <c r="AF9" i="10"/>
  <c r="AF8" i="10"/>
  <c r="AF5" i="10"/>
  <c r="AF4" i="10"/>
  <c r="AF3" i="10"/>
  <c r="AF2" i="10"/>
  <c r="J69" i="1"/>
  <c r="G69" i="1" s="1"/>
  <c r="I51" i="1"/>
  <c r="H71" i="1"/>
  <c r="K71" i="1"/>
  <c r="J71" i="1"/>
  <c r="F71" i="1"/>
  <c r="J51" i="1"/>
  <c r="F51" i="1"/>
  <c r="G51" i="1" s="1"/>
  <c r="K70" i="1"/>
  <c r="J70" i="1"/>
  <c r="F70" i="1"/>
  <c r="I69" i="1"/>
  <c r="K69" i="1"/>
  <c r="I68" i="1"/>
  <c r="H68" i="1"/>
  <c r="K68" i="1"/>
  <c r="J68" i="1"/>
  <c r="G68" i="1" s="1"/>
  <c r="J67" i="1"/>
  <c r="G67" i="1" s="1"/>
  <c r="I67" i="1"/>
  <c r="K67" i="1"/>
  <c r="K66" i="1"/>
  <c r="J66" i="1"/>
  <c r="I66" i="1"/>
  <c r="F66" i="1"/>
  <c r="G66" i="1" s="1"/>
  <c r="K65" i="1"/>
  <c r="J65" i="1"/>
  <c r="I65" i="1"/>
  <c r="F65" i="1"/>
  <c r="G65" i="1" s="1"/>
  <c r="I64" i="1"/>
  <c r="J64" i="1"/>
  <c r="K64" i="1"/>
  <c r="F64" i="1"/>
  <c r="G64" i="1" s="1"/>
  <c r="I63" i="1"/>
  <c r="L63" i="1"/>
  <c r="H63" i="1"/>
  <c r="F63" i="1"/>
  <c r="G63" i="1" s="1"/>
  <c r="K63" i="1"/>
  <c r="J63" i="1"/>
  <c r="I41" i="1"/>
  <c r="F41" i="1"/>
  <c r="H41" i="1"/>
  <c r="K41" i="1"/>
  <c r="J41" i="1"/>
  <c r="F43" i="1"/>
  <c r="H42" i="1"/>
  <c r="I43" i="1"/>
  <c r="I42" i="1"/>
  <c r="H43" i="1"/>
  <c r="J43" i="1"/>
  <c r="J38" i="1"/>
  <c r="I38" i="1"/>
  <c r="J37" i="1"/>
  <c r="I37" i="1"/>
  <c r="F38" i="1"/>
  <c r="G38" i="1" s="1"/>
  <c r="F37" i="1"/>
  <c r="K38" i="1"/>
  <c r="K37" i="1"/>
  <c r="G18" i="1"/>
  <c r="K18" i="1"/>
  <c r="I45" i="1"/>
  <c r="I46" i="1"/>
  <c r="J45" i="1"/>
  <c r="J46" i="1"/>
  <c r="F46" i="1"/>
  <c r="F45" i="1"/>
  <c r="K46" i="1"/>
  <c r="K45" i="1"/>
  <c r="I49" i="1"/>
  <c r="J49" i="1"/>
  <c r="G49" i="1" s="1"/>
  <c r="K49" i="1"/>
  <c r="H73" i="1"/>
  <c r="J73" i="1"/>
  <c r="G73" i="1" s="1"/>
  <c r="H74" i="1"/>
  <c r="J74" i="1"/>
  <c r="G74" i="1" s="1"/>
  <c r="H75" i="1"/>
  <c r="J75" i="1"/>
  <c r="G75" i="1" s="1"/>
  <c r="H76" i="1"/>
  <c r="J76" i="1"/>
  <c r="G76" i="1" s="1"/>
  <c r="J72" i="1"/>
  <c r="G72" i="1" s="1"/>
  <c r="H72" i="1"/>
  <c r="I62" i="1"/>
  <c r="J62" i="1"/>
  <c r="G62" i="1" s="1"/>
  <c r="J61" i="1"/>
  <c r="G61" i="1" s="1"/>
  <c r="I60" i="1"/>
  <c r="F60" i="1"/>
  <c r="J60" i="1"/>
  <c r="H60" i="1"/>
  <c r="F59" i="1"/>
  <c r="J59" i="1"/>
  <c r="H58" i="1"/>
  <c r="I58" i="1"/>
  <c r="F58" i="1"/>
  <c r="J58" i="1"/>
  <c r="I57" i="1"/>
  <c r="J57" i="1"/>
  <c r="G57" i="1" s="1"/>
  <c r="I56" i="1"/>
  <c r="J56" i="1"/>
  <c r="G56" i="1" s="1"/>
  <c r="I55" i="1"/>
  <c r="F55" i="1"/>
  <c r="J55" i="1"/>
  <c r="I53" i="1"/>
  <c r="I52" i="1"/>
  <c r="I54" i="1"/>
  <c r="J54" i="1"/>
  <c r="H54" i="1"/>
  <c r="F54" i="1"/>
  <c r="J53" i="1"/>
  <c r="F53" i="1"/>
  <c r="H52" i="1"/>
  <c r="F52" i="1"/>
  <c r="K52" i="1"/>
  <c r="J52" i="1"/>
  <c r="I50" i="1"/>
  <c r="J50" i="1"/>
  <c r="F50" i="1"/>
  <c r="J20" i="1"/>
  <c r="H20" i="1"/>
  <c r="I48" i="1"/>
  <c r="J48" i="1"/>
  <c r="G48" i="1" s="1"/>
  <c r="I47" i="1"/>
  <c r="J47" i="1"/>
  <c r="G47" i="1" s="1"/>
  <c r="I44" i="1"/>
  <c r="J44" i="1"/>
  <c r="F44" i="1"/>
  <c r="J42" i="1"/>
  <c r="F42" i="1"/>
  <c r="I40" i="1"/>
  <c r="J40" i="1"/>
  <c r="F40" i="1"/>
  <c r="J39" i="1"/>
  <c r="F39" i="1"/>
  <c r="I2" i="1"/>
  <c r="I36" i="1"/>
  <c r="J36" i="1"/>
  <c r="F36" i="1"/>
  <c r="I35" i="1"/>
  <c r="J35" i="1"/>
  <c r="F35" i="1"/>
  <c r="I34" i="1"/>
  <c r="J34" i="1"/>
  <c r="G34" i="1" s="1"/>
  <c r="I33" i="1"/>
  <c r="F33" i="1"/>
  <c r="J33" i="1"/>
  <c r="I32" i="1"/>
  <c r="J32" i="1"/>
  <c r="H32" i="1"/>
  <c r="F32" i="1"/>
  <c r="I31" i="1"/>
  <c r="H31" i="1"/>
  <c r="J31" i="1"/>
  <c r="G31" i="1" s="1"/>
  <c r="I30" i="1"/>
  <c r="H30" i="1"/>
  <c r="J30" i="1"/>
  <c r="G30" i="1" s="1"/>
  <c r="H29" i="1"/>
  <c r="J29" i="1"/>
  <c r="F29" i="1"/>
  <c r="J28" i="1"/>
  <c r="F28" i="1"/>
  <c r="J27" i="1"/>
  <c r="G27" i="1" s="1"/>
  <c r="I26" i="1"/>
  <c r="H26" i="1"/>
  <c r="J26" i="1"/>
  <c r="G26" i="1" s="1"/>
  <c r="K26" i="1"/>
  <c r="J25" i="1"/>
  <c r="G25" i="1" s="1"/>
  <c r="I25" i="1"/>
  <c r="J24" i="1"/>
  <c r="F24" i="1"/>
  <c r="J23" i="1"/>
  <c r="F23" i="1"/>
  <c r="I22" i="1"/>
  <c r="H22" i="1"/>
  <c r="J22" i="1"/>
  <c r="F22" i="1"/>
  <c r="I21" i="1"/>
  <c r="F21" i="1"/>
  <c r="J21" i="1"/>
  <c r="I20" i="1"/>
  <c r="F20" i="1"/>
  <c r="I19" i="1"/>
  <c r="J19" i="1"/>
  <c r="I17" i="1"/>
  <c r="J17" i="1"/>
  <c r="I16" i="1"/>
  <c r="J16" i="1"/>
  <c r="I15" i="1"/>
  <c r="J15" i="1"/>
  <c r="I14" i="1"/>
  <c r="J14" i="1"/>
  <c r="I13" i="1"/>
  <c r="J13" i="1"/>
  <c r="G13" i="1" s="1"/>
  <c r="H12" i="1"/>
  <c r="I12" i="1"/>
  <c r="J12" i="1"/>
  <c r="J8" i="1"/>
  <c r="G8" i="1" s="1"/>
  <c r="J7" i="1"/>
  <c r="I7" i="1"/>
  <c r="H6" i="1"/>
  <c r="I6" i="1"/>
  <c r="J6" i="1"/>
  <c r="G6" i="1" s="1"/>
  <c r="J3" i="1"/>
  <c r="J11" i="1"/>
  <c r="J10" i="1"/>
  <c r="G10" i="1" s="1"/>
  <c r="J9" i="1"/>
  <c r="J2" i="1"/>
  <c r="H4" i="1"/>
  <c r="J4" i="1"/>
  <c r="G4" i="1" s="1"/>
  <c r="I4" i="1"/>
  <c r="I3" i="1"/>
  <c r="J5" i="1"/>
  <c r="G5" i="1" s="1"/>
  <c r="F19" i="1"/>
  <c r="H17" i="1"/>
  <c r="F17" i="1"/>
  <c r="H16" i="1"/>
  <c r="F16" i="1"/>
  <c r="H15" i="1"/>
  <c r="F15" i="1"/>
  <c r="F14" i="1"/>
  <c r="H13" i="1"/>
  <c r="F12" i="1"/>
  <c r="F11" i="1"/>
  <c r="H10" i="1"/>
  <c r="H9" i="1"/>
  <c r="F9" i="1"/>
  <c r="G9" i="1" s="1"/>
  <c r="H8" i="1"/>
  <c r="F7" i="1"/>
  <c r="H5" i="1"/>
  <c r="F3" i="1"/>
  <c r="H3" i="1"/>
  <c r="H2" i="1"/>
  <c r="K84" i="12" l="1"/>
  <c r="K61" i="12"/>
  <c r="K93" i="12"/>
  <c r="K51" i="12"/>
  <c r="K30" i="12"/>
  <c r="K57" i="12"/>
  <c r="K68" i="12"/>
  <c r="K32" i="12"/>
  <c r="K60" i="12"/>
  <c r="K22" i="12"/>
  <c r="K4" i="12"/>
  <c r="K54" i="12"/>
  <c r="K65" i="12"/>
  <c r="K90" i="12"/>
  <c r="K89" i="12"/>
  <c r="K46" i="12"/>
  <c r="K21" i="12"/>
  <c r="M67" i="12"/>
  <c r="K67" i="12"/>
  <c r="M23" i="12"/>
  <c r="K23" i="12"/>
  <c r="M14" i="12"/>
  <c r="K14" i="12"/>
  <c r="M16" i="12"/>
  <c r="K16" i="12"/>
  <c r="M18" i="12"/>
  <c r="K18" i="12"/>
  <c r="M73" i="12"/>
  <c r="K73" i="12"/>
  <c r="M19" i="12"/>
  <c r="K19" i="12"/>
  <c r="M34" i="12"/>
  <c r="K34" i="12"/>
  <c r="M38" i="12"/>
  <c r="K38" i="12"/>
  <c r="M8" i="12"/>
  <c r="K8" i="12"/>
  <c r="M58" i="12"/>
  <c r="K58" i="12"/>
  <c r="K94" i="12"/>
  <c r="K63" i="12"/>
  <c r="K62" i="12"/>
  <c r="M87" i="12"/>
  <c r="K87" i="12"/>
  <c r="K2" i="12"/>
  <c r="M52" i="12"/>
  <c r="K52" i="12"/>
  <c r="K95" i="12"/>
  <c r="M24" i="12"/>
  <c r="K24" i="12"/>
  <c r="K85" i="12"/>
  <c r="M78" i="12"/>
  <c r="K78" i="12"/>
  <c r="M72" i="12"/>
  <c r="K72" i="12"/>
  <c r="M75" i="12"/>
  <c r="K75" i="12"/>
  <c r="M45" i="12"/>
  <c r="K45" i="12"/>
  <c r="M37" i="12"/>
  <c r="K37" i="12"/>
  <c r="M7" i="12"/>
  <c r="K7" i="12"/>
  <c r="M11" i="12"/>
  <c r="K11" i="12"/>
  <c r="M26" i="12"/>
  <c r="K26" i="12"/>
  <c r="M12" i="12"/>
  <c r="K12" i="12"/>
  <c r="M31" i="12"/>
  <c r="K31" i="12"/>
  <c r="K47" i="12"/>
  <c r="M5" i="12"/>
  <c r="K5" i="12"/>
  <c r="K92" i="12"/>
  <c r="M82" i="12"/>
  <c r="K82" i="12"/>
  <c r="M53" i="12"/>
  <c r="K53" i="12"/>
  <c r="K49" i="12"/>
  <c r="M50" i="12"/>
  <c r="K50" i="12"/>
  <c r="K96" i="12"/>
  <c r="K80" i="12"/>
  <c r="M13" i="12"/>
  <c r="K13" i="12"/>
  <c r="M79" i="12"/>
  <c r="K79" i="12"/>
  <c r="M15" i="12"/>
  <c r="K15" i="12"/>
  <c r="M17" i="12"/>
  <c r="K17" i="12"/>
  <c r="M71" i="12"/>
  <c r="K71" i="12"/>
  <c r="M74" i="12"/>
  <c r="K74" i="12"/>
  <c r="M44" i="12"/>
  <c r="K44" i="12"/>
  <c r="M36" i="12"/>
  <c r="K36" i="12"/>
  <c r="M6" i="12"/>
  <c r="K6" i="12"/>
  <c r="M10" i="12"/>
  <c r="K10" i="12"/>
  <c r="M33" i="12"/>
  <c r="K33" i="12"/>
  <c r="M48" i="12"/>
  <c r="K48" i="12"/>
  <c r="K83" i="12"/>
  <c r="M66" i="12"/>
  <c r="K66" i="12"/>
  <c r="K3" i="12"/>
  <c r="K76" i="12"/>
  <c r="M77" i="12"/>
  <c r="K77" i="12"/>
  <c r="M70" i="12"/>
  <c r="K70" i="12"/>
  <c r="M20" i="12"/>
  <c r="K20" i="12"/>
  <c r="M35" i="12"/>
  <c r="K35" i="12"/>
  <c r="M39" i="12"/>
  <c r="K39" i="12"/>
  <c r="M9" i="12"/>
  <c r="K9" i="12"/>
  <c r="M32" i="12"/>
  <c r="M80" i="12"/>
  <c r="M54" i="12"/>
  <c r="M76" i="12"/>
  <c r="M95" i="12"/>
  <c r="M60" i="12"/>
  <c r="M90" i="12"/>
  <c r="M65" i="12"/>
  <c r="M62" i="12"/>
  <c r="M22" i="12"/>
  <c r="M57" i="12"/>
  <c r="M4" i="12"/>
  <c r="M46" i="12"/>
  <c r="M3" i="12"/>
  <c r="M21" i="12"/>
  <c r="M92" i="12"/>
  <c r="M51" i="12"/>
  <c r="M96" i="12"/>
  <c r="M47" i="12"/>
  <c r="M30" i="12"/>
  <c r="M68" i="12"/>
  <c r="M93" i="12"/>
  <c r="M89" i="12"/>
  <c r="M83" i="12"/>
  <c r="M49" i="12"/>
  <c r="M85" i="12"/>
  <c r="M84" i="12"/>
  <c r="M94" i="12"/>
  <c r="M2" i="12"/>
  <c r="M27" i="12"/>
  <c r="M61" i="12"/>
  <c r="G70" i="1"/>
  <c r="G71" i="1"/>
  <c r="G43" i="1"/>
  <c r="G45" i="1"/>
  <c r="G46" i="1"/>
  <c r="G37" i="1"/>
  <c r="G2" i="1"/>
  <c r="G19" i="1"/>
  <c r="G54" i="1"/>
  <c r="G16" i="1"/>
  <c r="G14" i="1"/>
  <c r="G53" i="1"/>
  <c r="G28" i="1"/>
  <c r="G35" i="1"/>
  <c r="G42" i="1"/>
  <c r="G3" i="1"/>
  <c r="G40" i="1"/>
  <c r="G22" i="1"/>
  <c r="G23" i="1"/>
  <c r="G55" i="1"/>
  <c r="G33" i="1"/>
  <c r="G7" i="1"/>
  <c r="G59" i="1"/>
  <c r="G12" i="1"/>
  <c r="G32" i="1"/>
  <c r="G39" i="1"/>
  <c r="G11" i="1"/>
  <c r="G15" i="1"/>
  <c r="G17" i="1"/>
  <c r="G21" i="1"/>
  <c r="G29" i="1"/>
  <c r="G44" i="1"/>
  <c r="G52" i="1"/>
  <c r="G24" i="1"/>
  <c r="G36" i="1"/>
  <c r="G50" i="1"/>
  <c r="G58" i="1"/>
  <c r="G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Glen</author>
  </authors>
  <commentList>
    <comment ref="L1" authorId="0" shapeId="0" xr:uid="{B66B9990-575F-BF49-A5D1-861F4D446AB5}">
      <text>
        <r>
          <rPr>
            <b/>
            <sz val="10"/>
            <color rgb="FF000000"/>
            <rFont val="Tahoma"/>
            <family val="2"/>
          </rPr>
          <t>George Glen:</t>
        </r>
        <r>
          <rPr>
            <sz val="10"/>
            <color rgb="FF000000"/>
            <rFont val="Tahoma"/>
            <family val="2"/>
          </rPr>
          <t xml:space="preserve">
</t>
        </r>
        <r>
          <rPr>
            <sz val="10"/>
            <color rgb="FF000000"/>
            <rFont val="Tahoma"/>
            <family val="2"/>
          </rPr>
          <t>This is average annual egg production</t>
        </r>
      </text>
    </comment>
    <comment ref="R1" authorId="0" shapeId="0" xr:uid="{10A6C9BA-00DF-534A-82C1-058B4503F7C0}">
      <text>
        <r>
          <rPr>
            <b/>
            <sz val="10"/>
            <color rgb="FF000000"/>
            <rFont val="Tahoma"/>
            <family val="2"/>
          </rPr>
          <t xml:space="preserve">George Glen: </t>
        </r>
        <r>
          <rPr>
            <sz val="10"/>
            <color rgb="FF000000"/>
            <rFont val="Tahoma"/>
            <family val="2"/>
          </rPr>
          <t>afr for CM pop and groups are min age at afr for CTC green turtles</t>
        </r>
      </text>
    </comment>
    <comment ref="S1" authorId="0" shapeId="0" xr:uid="{9C15CDAD-AE39-5E4B-B845-51823FF5D058}">
      <text>
        <r>
          <rPr>
            <b/>
            <sz val="10"/>
            <color rgb="FF000000"/>
            <rFont val="Tahoma"/>
            <family val="2"/>
          </rPr>
          <t>George Glen:</t>
        </r>
        <r>
          <rPr>
            <sz val="10"/>
            <color rgb="FF000000"/>
            <rFont val="Tahoma"/>
            <family val="2"/>
          </rPr>
          <t xml:space="preserve">
</t>
        </r>
        <r>
          <rPr>
            <sz val="10"/>
            <color rgb="FF000000"/>
            <rFont val="Tahoma"/>
            <family val="2"/>
          </rPr>
          <t>What method was used to collect the data (i.e., CMR) and the method used to estimate aging rate and longevity (BaSTA, BaSTa adapted for cencus data, BaSTA using data cloning)</t>
        </r>
      </text>
    </comment>
    <comment ref="T1" authorId="0" shapeId="0" xr:uid="{2F3ABFC1-6AFF-5540-9013-78779E6203C5}">
      <text>
        <r>
          <rPr>
            <b/>
            <sz val="10"/>
            <color rgb="FF000000"/>
            <rFont val="Tahoma"/>
            <family val="2"/>
          </rPr>
          <t>George Glen:</t>
        </r>
        <r>
          <rPr>
            <sz val="10"/>
            <color rgb="FF000000"/>
            <rFont val="Tahoma"/>
            <family val="2"/>
          </rPr>
          <t xml:space="preserve">
</t>
        </r>
        <r>
          <rPr>
            <sz val="10"/>
            <color rgb="FF000000"/>
            <rFont val="Tahoma"/>
            <family val="2"/>
          </rPr>
          <t xml:space="preserve">
Reinke et al 2022: 
</t>
        </r>
        <r>
          <rPr>
            <sz val="10"/>
            <color rgb="FF000000"/>
            <rFont val="Tahoma"/>
            <family val="2"/>
          </rPr>
          <t xml:space="preserve">- computed as sum(Ages+0.05)*Mortality at age after first reproducing
</t>
        </r>
        <r>
          <rPr>
            <sz val="10"/>
            <color rgb="FF000000"/>
            <rFont val="Tahoma"/>
            <family val="2"/>
          </rPr>
          <t xml:space="preserve">
</t>
        </r>
        <r>
          <rPr>
            <sz val="10"/>
            <color rgb="FF000000"/>
            <rFont val="Tahoma"/>
            <family val="2"/>
          </rPr>
          <t xml:space="preserve">da Silva 2022: 
</t>
        </r>
        <r>
          <rPr>
            <sz val="10"/>
            <color rgb="FF000000"/>
            <rFont val="Tahoma"/>
            <family val="2"/>
          </rPr>
          <t xml:space="preserve">- computed as integral from </t>
        </r>
        <r>
          <rPr>
            <sz val="10"/>
            <color rgb="FF000000"/>
            <rFont val="Calibri"/>
            <family val="2"/>
            <scheme val="minor"/>
          </rPr>
          <t xml:space="preserve">age at first reproducion to infinity of S(x) dx/ (S(a))
</t>
        </r>
        <r>
          <rPr>
            <sz val="10"/>
            <color rgb="FF000000"/>
            <rFont val="Calibri"/>
            <family val="2"/>
            <scheme val="minor"/>
          </rPr>
          <t xml:space="preserve">
</t>
        </r>
      </text>
    </comment>
    <comment ref="X1" authorId="0" shapeId="0" xr:uid="{8AFDB4E7-92FE-B745-8648-28E098169015}">
      <text>
        <r>
          <rPr>
            <b/>
            <sz val="12"/>
            <color rgb="FF000000"/>
            <rFont val="Calibri"/>
            <family val="34"/>
          </rPr>
          <t>George Glen:</t>
        </r>
        <r>
          <rPr>
            <sz val="12"/>
            <color rgb="FF000000"/>
            <rFont val="Calibri"/>
            <family val="34"/>
          </rPr>
          <t xml:space="preserve">
</t>
        </r>
        <r>
          <rPr>
            <sz val="12"/>
            <color rgb="FF000000"/>
            <rFont val="Calibri"/>
            <family val="34"/>
          </rPr>
          <t xml:space="preserve">
Reinke et al 2022: </t>
        </r>
        <r>
          <rPr>
            <sz val="12"/>
            <color rgb="FF000000"/>
            <rFont val="Calibri"/>
            <family val="34"/>
          </rPr>
          <t xml:space="preserve">
</t>
        </r>
        <r>
          <rPr>
            <sz val="12"/>
            <color rgb="FF000000"/>
            <rFont val="Calibri"/>
            <family val="34"/>
          </rPr>
          <t xml:space="preserve">-  b_1 in gompertz model: </t>
        </r>
        <r>
          <rPr>
            <sz val="12"/>
            <color rgb="FF000000"/>
            <rFont val="Calibri"/>
            <family val="34"/>
          </rPr>
          <t xml:space="preserve">The rate of aging is the mortality slope derived from a Gompertz model 
</t>
        </r>
        <r>
          <rPr>
            <sz val="12"/>
            <color rgb="FF000000"/>
            <rFont val="Calibri"/>
            <family val="34"/>
          </rPr>
          <t xml:space="preserve">
</t>
        </r>
        <r>
          <rPr>
            <sz val="12"/>
            <color rgb="FF000000"/>
            <rFont val="Calibri"/>
            <family val="34"/>
          </rPr>
          <t xml:space="preserve">
</t>
        </r>
        <r>
          <rPr>
            <sz val="12"/>
            <color rgb="FF000000"/>
            <rFont val="Calibri"/>
            <family val="34"/>
          </rPr>
          <t xml:space="preserve">da Silva 2022: </t>
        </r>
        <r>
          <rPr>
            <sz val="12"/>
            <color rgb="FF000000"/>
            <rFont val="Calibri"/>
            <family val="34"/>
          </rPr>
          <t xml:space="preserve">
</t>
        </r>
        <r>
          <rPr>
            <sz val="12"/>
            <color rgb="FF000000"/>
            <rFont val="Calibri"/>
            <family val="34"/>
          </rPr>
          <t xml:space="preserve">- </t>
        </r>
      </text>
    </comment>
    <comment ref="A49" authorId="0" shapeId="0" xr:uid="{86A67D30-A039-2245-8EAB-626A42379228}">
      <text>
        <r>
          <rPr>
            <b/>
            <sz val="10"/>
            <color rgb="FF000000"/>
            <rFont val="Tahoma"/>
            <family val="2"/>
          </rPr>
          <t xml:space="preserve">George Glen:
</t>
        </r>
        <r>
          <rPr>
            <sz val="10"/>
            <color rgb="FF000000"/>
            <rFont val="Tahoma"/>
            <family val="2"/>
          </rPr>
          <t xml:space="preserve">Also named </t>
        </r>
        <r>
          <rPr>
            <i/>
            <sz val="10"/>
            <color rgb="FF000000"/>
            <rFont val="Calibri"/>
            <family val="2"/>
          </rPr>
          <t>Clemmys insculpta (Wood turtle)</t>
        </r>
      </text>
    </comment>
    <comment ref="A50" authorId="0" shapeId="0" xr:uid="{208D5C67-0282-8648-9F9A-5FE0E684C3DD}">
      <text>
        <r>
          <rPr>
            <b/>
            <sz val="10"/>
            <color rgb="FF000000"/>
            <rFont val="Tahoma"/>
            <family val="2"/>
          </rPr>
          <t>George Glen:</t>
        </r>
        <r>
          <rPr>
            <sz val="10"/>
            <color rgb="FF000000"/>
            <rFont val="Tahoma"/>
            <family val="2"/>
          </rPr>
          <t xml:space="preserve">
</t>
        </r>
        <r>
          <rPr>
            <sz val="10"/>
            <color rgb="FF000000"/>
            <rFont val="Tahoma"/>
            <family val="2"/>
          </rPr>
          <t>Also know as Clemmys muhlenbergii (bog turtle)</t>
        </r>
      </text>
    </comment>
    <comment ref="A68" authorId="0" shapeId="0" xr:uid="{B70BA4B1-E83D-9246-A201-47D11DC62BF7}">
      <text>
        <r>
          <rPr>
            <b/>
            <sz val="10"/>
            <color rgb="FF000000"/>
            <rFont val="Tahoma"/>
            <family val="2"/>
          </rPr>
          <t>George Glen:</t>
        </r>
        <r>
          <rPr>
            <sz val="10"/>
            <color rgb="FF000000"/>
            <rFont val="Tahoma"/>
            <family val="2"/>
          </rPr>
          <t xml:space="preserve">
</t>
        </r>
        <r>
          <rPr>
            <sz val="10"/>
            <color rgb="FF000000"/>
            <rFont val="Tahoma"/>
            <family val="2"/>
          </rPr>
          <t xml:space="preserve">Also named </t>
        </r>
        <r>
          <rPr>
            <i/>
            <sz val="10"/>
            <color rgb="FF000000"/>
            <rFont val="Calibri"/>
            <family val="2"/>
          </rPr>
          <t>Chinemys reevesii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Glen</author>
  </authors>
  <commentList>
    <comment ref="F1" authorId="0" shapeId="0" xr:uid="{42530A0D-0286-CC47-92A4-9A918C43CEB8}">
      <text>
        <r>
          <rPr>
            <b/>
            <sz val="10"/>
            <color rgb="FF000000"/>
            <rFont val="Tahoma"/>
            <family val="2"/>
          </rPr>
          <t>George Glen:</t>
        </r>
        <r>
          <rPr>
            <sz val="10"/>
            <color rgb="FF000000"/>
            <rFont val="Tahoma"/>
            <family val="2"/>
          </rPr>
          <t xml:space="preserve">
</t>
        </r>
        <r>
          <rPr>
            <sz val="10"/>
            <color rgb="FF000000"/>
            <rFont val="Tahoma"/>
            <family val="2"/>
          </rPr>
          <t>This is average annual egg production</t>
        </r>
      </text>
    </comment>
    <comment ref="M1" authorId="0" shapeId="0" xr:uid="{46AC4E0E-744C-B842-9410-ACA6F49DCDAD}">
      <text>
        <r>
          <rPr>
            <b/>
            <sz val="10"/>
            <color rgb="FF000000"/>
            <rFont val="Tahoma"/>
            <family val="2"/>
          </rPr>
          <t>George Glen:</t>
        </r>
        <r>
          <rPr>
            <sz val="10"/>
            <color rgb="FF000000"/>
            <rFont val="Tahoma"/>
            <family val="2"/>
          </rPr>
          <t xml:space="preserve">
</t>
        </r>
        <r>
          <rPr>
            <sz val="10"/>
            <color rgb="FF000000"/>
            <rFont val="Tahoma"/>
            <family val="2"/>
          </rPr>
          <t>What method was used to collect the data (i.e., CMR) and the method used to estimate aging rate and longevity (BaSTA, BaSTa adapted for cencus data, BaSTA using data cloning)</t>
        </r>
      </text>
    </comment>
    <comment ref="A2" authorId="0" shapeId="0" xr:uid="{54265756-4362-F548-8F30-E8846423B76F}">
      <text>
        <r>
          <rPr>
            <b/>
            <sz val="10"/>
            <color rgb="FF000000"/>
            <rFont val="Tahoma"/>
            <family val="2"/>
          </rPr>
          <t>George Glen:</t>
        </r>
        <r>
          <rPr>
            <sz val="10"/>
            <color rgb="FF000000"/>
            <rFont val="Tahoma"/>
            <family val="2"/>
          </rPr>
          <t xml:space="preserve">
</t>
        </r>
        <r>
          <rPr>
            <sz val="10"/>
            <color rgb="FF000000"/>
            <rFont val="Tahoma"/>
            <family val="2"/>
          </rPr>
          <t xml:space="preserve">Also named </t>
        </r>
        <r>
          <rPr>
            <i/>
            <sz val="10"/>
            <color rgb="FF000000"/>
            <rFont val="Calibri"/>
            <family val="2"/>
          </rPr>
          <t>Chinemys reevesii</t>
        </r>
      </text>
    </comment>
    <comment ref="A33" authorId="0" shapeId="0" xr:uid="{A04D3DFF-9703-F543-B785-E1E40CC6A788}">
      <text>
        <r>
          <rPr>
            <b/>
            <sz val="10"/>
            <color rgb="FF000000"/>
            <rFont val="Tahoma"/>
            <family val="2"/>
          </rPr>
          <t xml:space="preserve">George Glen:
</t>
        </r>
        <r>
          <rPr>
            <sz val="10"/>
            <color rgb="FF000000"/>
            <rFont val="Tahoma"/>
            <family val="2"/>
          </rPr>
          <t xml:space="preserve">Also named </t>
        </r>
        <r>
          <rPr>
            <i/>
            <sz val="10"/>
            <color rgb="FF000000"/>
            <rFont val="Calibri"/>
            <family val="2"/>
            <scheme val="minor"/>
          </rPr>
          <t>Clemmys insculpta (Wood turtle)</t>
        </r>
      </text>
    </comment>
    <comment ref="A34" authorId="0" shapeId="0" xr:uid="{F509A297-B841-7840-9743-8B9A839983BC}">
      <text>
        <r>
          <rPr>
            <b/>
            <sz val="10"/>
            <color rgb="FF000000"/>
            <rFont val="Tahoma"/>
            <family val="2"/>
          </rPr>
          <t>George Glen:</t>
        </r>
        <r>
          <rPr>
            <sz val="10"/>
            <color rgb="FF000000"/>
            <rFont val="Tahoma"/>
            <family val="2"/>
          </rPr>
          <t xml:space="preserve">
</t>
        </r>
        <r>
          <rPr>
            <sz val="10"/>
            <color rgb="FF000000"/>
            <rFont val="Tahoma"/>
            <family val="2"/>
          </rPr>
          <t>Also know as Clemmys muhlenbergii (bog turtle)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Glen</author>
  </authors>
  <commentList>
    <comment ref="B1" authorId="0" shapeId="0" xr:uid="{7821FD16-4E44-8743-B63D-DB46517D6865}">
      <text>
        <r>
          <rPr>
            <b/>
            <sz val="10"/>
            <color rgb="FF000000"/>
            <rFont val="Tahoma"/>
            <family val="2"/>
          </rPr>
          <t>George Glen:</t>
        </r>
        <r>
          <rPr>
            <sz val="10"/>
            <color rgb="FF000000"/>
            <rFont val="Tahoma"/>
            <family val="2"/>
          </rPr>
          <t xml:space="preserve">
</t>
        </r>
        <r>
          <rPr>
            <sz val="10"/>
            <color rgb="FF000000"/>
            <rFont val="Tahoma"/>
            <family val="2"/>
          </rPr>
          <t>green indicates if we included the estimate of not. We removed survival &lt;0.70 and duplicates</t>
        </r>
      </text>
    </comment>
    <comment ref="D1" authorId="0" shapeId="0" xr:uid="{C1EEB26C-9C6F-0B46-8959-17FC3D450BF7}">
      <text>
        <r>
          <rPr>
            <b/>
            <sz val="10"/>
            <color rgb="FF000000"/>
            <rFont val="Tahoma"/>
            <family val="2"/>
          </rPr>
          <t>George Glen:</t>
        </r>
        <r>
          <rPr>
            <sz val="10"/>
            <color rgb="FF000000"/>
            <rFont val="Tahoma"/>
            <family val="2"/>
          </rPr>
          <t xml:space="preserve">
</t>
        </r>
        <r>
          <rPr>
            <sz val="10"/>
            <color rgb="FF000000"/>
            <rFont val="Calibri"/>
            <family val="2"/>
            <scheme val="minor"/>
          </rPr>
          <t>Study ID: unique modifier for each study (i.e., some studies have more than one estimate)</t>
        </r>
      </text>
    </comment>
    <comment ref="S1" authorId="0" shapeId="0" xr:uid="{2FE07A0E-BB65-3548-B4E7-A53E09CC7180}">
      <text>
        <r>
          <rPr>
            <b/>
            <sz val="10"/>
            <color rgb="FF000000"/>
            <rFont val="Tahoma"/>
            <family val="2"/>
          </rPr>
          <t>George Glen:</t>
        </r>
        <r>
          <rPr>
            <sz val="10"/>
            <color rgb="FF000000"/>
            <rFont val="Tahoma"/>
            <family val="2"/>
          </rPr>
          <t xml:space="preserve">
</t>
        </r>
        <r>
          <rPr>
            <sz val="10"/>
            <color rgb="FF000000"/>
            <rFont val="Tahoma"/>
            <family val="2"/>
          </rPr>
          <t xml:space="preserve">This is computed as the sample size you would need to get a se you estimate using the formula se = (uci-lci)/(2*1.96), where the standard formula to compute the se = x_bar +- 1.96*sigma/sqrt(n)
</t>
        </r>
        <r>
          <rPr>
            <sz val="10"/>
            <color rgb="FF000000"/>
            <rFont val="Tahoma"/>
            <family val="2"/>
          </rPr>
          <t xml:space="preserve">
</t>
        </r>
        <r>
          <rPr>
            <sz val="10"/>
            <color rgb="FF000000"/>
            <rFont val="Tahoma"/>
            <family val="2"/>
          </rPr>
          <t xml:space="preserve">Computed as </t>
        </r>
        <r>
          <rPr>
            <sz val="10"/>
            <color rgb="FF000000"/>
            <rFont val="Calibri"/>
            <family val="2"/>
          </rPr>
          <t xml:space="preserve">phi </t>
        </r>
        <r>
          <rPr>
            <sz val="10"/>
            <color rgb="FF000000"/>
            <rFont val="Tahoma"/>
            <family val="2"/>
          </rPr>
          <t>(1-</t>
        </r>
        <r>
          <rPr>
            <sz val="10"/>
            <color rgb="FF000000"/>
            <rFont val="Calibri"/>
            <family val="2"/>
          </rPr>
          <t xml:space="preserve">phi </t>
        </r>
        <r>
          <rPr>
            <sz val="10"/>
            <color rgb="FF000000"/>
            <rFont val="Tahoma"/>
            <family val="2"/>
          </rPr>
          <t>) * 1/se^2, where phi is the survival probability</t>
        </r>
      </text>
    </comment>
    <comment ref="AJ1" authorId="0" shapeId="0" xr:uid="{75A217EF-74FB-FD49-A6A4-1BF89C6F5F85}">
      <text>
        <r>
          <rPr>
            <b/>
            <sz val="10"/>
            <color rgb="FF000000"/>
            <rFont val="Tahoma"/>
            <family val="2"/>
          </rPr>
          <t>George Glen:</t>
        </r>
        <r>
          <rPr>
            <sz val="10"/>
            <color rgb="FF000000"/>
            <rFont val="Tahoma"/>
            <family val="2"/>
          </rPr>
          <t xml:space="preserve">
</t>
        </r>
        <r>
          <rPr>
            <sz val="10"/>
            <color rgb="FF000000"/>
            <rFont val="Tahoma"/>
            <family val="2"/>
          </rPr>
          <t xml:space="preserve">computed as se^2
</t>
        </r>
      </text>
    </comment>
    <comment ref="G2" authorId="0" shapeId="0" xr:uid="{57554BD4-4663-A048-A045-5D6B7D1BFEDC}">
      <text>
        <r>
          <rPr>
            <b/>
            <sz val="10"/>
            <color rgb="FF000000"/>
            <rFont val="Tahoma"/>
            <family val="2"/>
          </rPr>
          <t>George Glen:</t>
        </r>
        <r>
          <rPr>
            <sz val="10"/>
            <color rgb="FF000000"/>
            <rFont val="Tahoma"/>
            <family val="2"/>
          </rPr>
          <t xml:space="preserve">
</t>
        </r>
        <r>
          <rPr>
            <sz val="10"/>
            <color rgb="FF000000"/>
            <rFont val="Tahoma"/>
            <family val="2"/>
          </rPr>
          <t xml:space="preserve">Should be a journal!!!
</t>
        </r>
      </text>
    </comment>
    <comment ref="R5" authorId="0" shapeId="0" xr:uid="{DDFC575C-3061-114B-A9A1-A45E72B1C64F}">
      <text>
        <r>
          <rPr>
            <sz val="10"/>
            <color rgb="FF000000"/>
            <rFont val="Tahoma"/>
            <family val="2"/>
          </rPr>
          <t xml:space="preserve">George Glen:
</t>
        </r>
        <r>
          <rPr>
            <sz val="10"/>
            <color rgb="FF000000"/>
            <rFont val="Tahoma"/>
            <family val="2"/>
          </rPr>
          <t xml:space="preserve">could not find in </t>
        </r>
        <r>
          <rPr>
            <sz val="10"/>
            <color rgb="FF000000"/>
            <rFont val="Calibri"/>
            <family val="2"/>
          </rPr>
          <t xml:space="preserve">Monitoring of Coastal Sea Turtles: Gap Analysis 
</t>
        </r>
        <r>
          <rPr>
            <sz val="10"/>
            <color rgb="FF000000"/>
            <rFont val="Calibri"/>
            <family val="2"/>
          </rPr>
          <t xml:space="preserve">5. Flatback turtles, </t>
        </r>
        <r>
          <rPr>
            <i/>
            <sz val="10"/>
            <color rgb="FF000000"/>
            <rFont val="Calibri"/>
            <family val="2"/>
          </rPr>
          <t>Natator depressus</t>
        </r>
        <r>
          <rPr>
            <sz val="10"/>
            <color rgb="FF000000"/>
            <rFont val="Calibri"/>
            <family val="2"/>
          </rPr>
          <t xml:space="preserve">, in the Port Curtis and Port Alma region 
</t>
        </r>
      </text>
    </comment>
  </commentList>
</comments>
</file>

<file path=xl/sharedStrings.xml><?xml version="1.0" encoding="utf-8"?>
<sst xmlns="http://schemas.openxmlformats.org/spreadsheetml/2006/main" count="3333" uniqueCount="575">
  <si>
    <t>species</t>
  </si>
  <si>
    <t>class</t>
  </si>
  <si>
    <t>maxLong</t>
  </si>
  <si>
    <t>habitat</t>
  </si>
  <si>
    <t>hibernation</t>
  </si>
  <si>
    <t>afr</t>
  </si>
  <si>
    <t>Mean.EX.Female</t>
  </si>
  <si>
    <t>SD.EX.Female</t>
  </si>
  <si>
    <t>Lower.EX.Female</t>
  </si>
  <si>
    <t>Upper.EX.Female</t>
  </si>
  <si>
    <t>Mean.AR.Female</t>
  </si>
  <si>
    <t>SD.AR.Female</t>
  </si>
  <si>
    <t>Lower.AR.Female</t>
  </si>
  <si>
    <t>Upper.AR.Female</t>
  </si>
  <si>
    <t>Mauremys reevesii</t>
  </si>
  <si>
    <t>pop</t>
  </si>
  <si>
    <t>Aquatic</t>
  </si>
  <si>
    <t>Yes</t>
  </si>
  <si>
    <t>Cuora galbinifrons</t>
  </si>
  <si>
    <t>Terrestrial</t>
  </si>
  <si>
    <t>Cuora trifasciata</t>
  </si>
  <si>
    <t>Cuora amboinensis</t>
  </si>
  <si>
    <t>No</t>
  </si>
  <si>
    <t>Heosemys grandis</t>
  </si>
  <si>
    <t>Geoclemys hamiltonii</t>
  </si>
  <si>
    <t>Batagur borneoensis</t>
  </si>
  <si>
    <t>Siebenrockiella crassicollis</t>
  </si>
  <si>
    <t>Geoemyda spengleri</t>
  </si>
  <si>
    <t>Indotestudo forstenii</t>
  </si>
  <si>
    <t>Indotestudo elongata</t>
  </si>
  <si>
    <t>Malacochersus tornieri</t>
  </si>
  <si>
    <t>Testudo marginata</t>
  </si>
  <si>
    <t>Testudo kleinmanni</t>
  </si>
  <si>
    <t>Testudo graeca</t>
  </si>
  <si>
    <t>Testudo hermanni</t>
  </si>
  <si>
    <t>Testudo horsfieldii</t>
  </si>
  <si>
    <t>Kinixys homeana</t>
  </si>
  <si>
    <t>Kinixys belliana</t>
  </si>
  <si>
    <t>Geochelone elegans</t>
  </si>
  <si>
    <t>Chelonoidis niger</t>
  </si>
  <si>
    <t>Chelonoidis chilensis</t>
  </si>
  <si>
    <t>Stigmochelys pardalis</t>
  </si>
  <si>
    <t>Chersina angulata</t>
  </si>
  <si>
    <t>Pyxis arachnoides</t>
  </si>
  <si>
    <t>Pyxis planicauda</t>
  </si>
  <si>
    <t>Aldabrachelys gigantea</t>
  </si>
  <si>
    <t>Gopherus polyphemus</t>
  </si>
  <si>
    <t>Gopherus berlandieri</t>
  </si>
  <si>
    <t>Gopherus agassizii</t>
  </si>
  <si>
    <t>Glyptemys insculpta</t>
  </si>
  <si>
    <t>Glyptemys muhlenbergii</t>
  </si>
  <si>
    <t>Clemmys guttata</t>
  </si>
  <si>
    <t>Trachemys scripta</t>
  </si>
  <si>
    <t>Trachemys callirostris</t>
  </si>
  <si>
    <t>Graptemys pseudogeographica</t>
  </si>
  <si>
    <t>Graptemys flavimaculata</t>
  </si>
  <si>
    <t>Chrysemys picta</t>
  </si>
  <si>
    <t>Macrochelys temminckii</t>
  </si>
  <si>
    <t>Chelydra serpentina</t>
  </si>
  <si>
    <t>Sternotherus odoratus</t>
  </si>
  <si>
    <t>Kinosternon leucostomum</t>
  </si>
  <si>
    <t>Apalone spinifera</t>
  </si>
  <si>
    <t>Apalone ferox</t>
  </si>
  <si>
    <t>Pelodiscus sinensis</t>
  </si>
  <si>
    <t>Pelomedusa subrufa</t>
  </si>
  <si>
    <t>Pelusios castaneus</t>
  </si>
  <si>
    <t>Podocnemis unifilis</t>
  </si>
  <si>
    <t>Chelodina mccordi</t>
  </si>
  <si>
    <t>Chelodina longicollis</t>
  </si>
  <si>
    <t>Chelus fimbriatus</t>
  </si>
  <si>
    <t>Platemys platycephala</t>
  </si>
  <si>
    <t>Chelonia mydas</t>
  </si>
  <si>
    <t>1:OTN</t>
  </si>
  <si>
    <t>2:LF</t>
  </si>
  <si>
    <t>3:MF</t>
  </si>
  <si>
    <t>4:HF</t>
  </si>
  <si>
    <t>LreprFemales</t>
  </si>
  <si>
    <t>AreprFemales</t>
  </si>
  <si>
    <t>https://reptilesmagazine.com/the-vietnamese-black-breasted-leaf-turtle/</t>
  </si>
  <si>
    <t>clutchMass</t>
  </si>
  <si>
    <t>Species</t>
  </si>
  <si>
    <t>Parameter</t>
  </si>
  <si>
    <t>Annual reproductive output</t>
  </si>
  <si>
    <t>Egg mass</t>
  </si>
  <si>
    <t>Hatchling mass</t>
  </si>
  <si>
    <t>Source_1</t>
  </si>
  <si>
    <t>Source_2</t>
  </si>
  <si>
    <t>https://turtles.linnaeus.naturalis.nl/linnaeus_ng/app/views/species/taxon.php?id=8033</t>
  </si>
  <si>
    <t>TRAFFIC. "Inspection Manual for use in Commercial Reptile Breeding Facilities in Southeast Asia." (2013).</t>
  </si>
  <si>
    <t>IUCN (https://www.iucnredlist.org/species/5958/3078812)</t>
  </si>
  <si>
    <t>Galgon 1991, Captive bred hybrids between Chinemys reevesii (Gray, 1831) and Cuora amboinensis kamaroma Rummler &amp; Fritz</t>
  </si>
  <si>
    <t>Conde et a 2019, https://doi.org/10.1073/pnas.1816367116</t>
  </si>
  <si>
    <t>Myhrvold et al 2015, https://doi.org/10.1890/15-0846R.1</t>
  </si>
  <si>
    <t>Allen 2017, https://doi.org/10.1111/ele.12728</t>
  </si>
  <si>
    <t>Guisheng and Dayou, 2002. Study on the breeding ecology of Cuora trifasciata Ecologic Science;21(2):112-114.</t>
  </si>
  <si>
    <t>IUCN (https://www.iucnredlist.org/species/123768950/123769768)</t>
  </si>
  <si>
    <t>Espinoza, 2002. Body Size, Temperature, and the Evolution of Herbivory in Reptiles. PhD Thesis</t>
  </si>
  <si>
    <t>eggMass</t>
  </si>
  <si>
    <t>hatchlingMass</t>
  </si>
  <si>
    <t>hatchlingLength</t>
  </si>
  <si>
    <t>femaleMass</t>
  </si>
  <si>
    <t>Icsort</t>
  </si>
  <si>
    <t>Hatchling length</t>
  </si>
  <si>
    <t>Ye et al 2019, The embryos of turtles can influence their own sexual destinies. Current Biology 29.16: 2597-2603.</t>
  </si>
  <si>
    <t>Augustine and Haislip, 2019. Husbandry and reproduction of the Indochinese box turtle Cuora galbinifrons, Bourret's box turtle Cuora bourreti and Southern Vietnam box turtle Cuora picturata in North America. International Zoo Yearbook 53.1: 238-249.</t>
  </si>
  <si>
    <t>IUCN (https://www.iucnredlist.org/species/97357437/123816666#habitat-ecology)</t>
  </si>
  <si>
    <t>Goode and Ewert, 2006; Reproductive Trends in Captive Heosemys grandis (Geoemydidae)</t>
  </si>
  <si>
    <t>Rachmansah et al 2020, https://doi.org/10.1371/journal.pone.0229689</t>
  </si>
  <si>
    <t>Conde et al 2019, https://doi.org/10.1073/pnas.1816367116</t>
  </si>
  <si>
    <t>IUCN (https://www.iucnredlist.org/species/12696/508210#habitat-ecology)</t>
  </si>
  <si>
    <t>Swingland and Klemens 1989, The conservation biology of tortoises. Vol. 5. Iucn</t>
  </si>
  <si>
    <t>Turtles of the World (https://turtles.linnaeus.naturalis.nl/linnaeus_ng/app/views/species/taxon.php?id=8184)</t>
  </si>
  <si>
    <t>Turtles of the World (https://turtles.linnaeus.naturalis.nl/linnaeus_ng/app/views/species/taxon.php?id=8050</t>
  </si>
  <si>
    <t>Turtles of the World (https://turtles.linnaeus.naturalis.nl/linnaeus_ng/app/views/species/taxon.php?id=8033)</t>
  </si>
  <si>
    <t>Turtles of the World (https://turtles.linnaeus.naturalis.nl/linnaeus_ng/app/views/species/taxon.php?id=8151)</t>
  </si>
  <si>
    <t>Turtles of the World (https://turtles.linnaeus.naturalis.nl/linnaeus_ng/app/views/species/taxon.php?id=8181)</t>
  </si>
  <si>
    <t>Turtles of the World (https://turtles.linnaeus.naturalis.nl/linnaeus_ng/app/views/species/taxon.php?id=8180)</t>
  </si>
  <si>
    <t>Turtles of the World (https://turtles.linnaeus.naturalis.nl/linnaeus_ng/app/views/species/taxon.php?id=8177)</t>
  </si>
  <si>
    <t>Turtles of the World (https://turtles.linnaeus.naturalis.nl/linnaeus_ng/app/views/species/taxon.php?id=8178)</t>
  </si>
  <si>
    <t>Turtles of the World (https://turtles.linnaeus.naturalis.nl/linnaeus_ng/app/views/species/taxon.php?id=8179)</t>
  </si>
  <si>
    <t>Turtles of the World (https://turtles.linnaeus.naturalis.nl/linnaeus_ng/app/views/species/taxon.php?id=8136)</t>
  </si>
  <si>
    <t>Turtles of the World (https://turtles.linnaeus.naturalis.nl/linnaeus_ng/app/views/species/taxon.php?id=8153)</t>
  </si>
  <si>
    <t>Turtles of the World (https://turtles.linnaeus.naturalis.nl/linnaeus_ng/app/views/species/taxon.php?id=8140)</t>
  </si>
  <si>
    <t>Turtles of the World (https://turtles.linnaeus.naturalis.nl/linnaeus_ng/app/views/species/taxon.php?id=8186)</t>
  </si>
  <si>
    <t>Turtles of the World (https://turtles.linnaeus.naturalis.nl/linnaeus_ng/app/views/species/taxon.php?id=8185)</t>
  </si>
  <si>
    <t>Turtles of the World (https://turtles.linnaeus.naturalis.nl/linnaeus_ng/app/views/species/taxon.php?id=8094)</t>
  </si>
  <si>
    <t>Turtles of the World (https://turtles.linnaeus.naturalis.nl/linnaeus_ng/app/views/species/taxon.php?id=8093)</t>
  </si>
  <si>
    <t>Turtles of the World (https://turtles.linnaeus.naturalis.nl/linnaeus_ng/app/views/species/taxon.php?id=8092)</t>
  </si>
  <si>
    <t>IUCN (https://www.iucnredlist.org/species/22028/97429935#habitat-ecology)</t>
  </si>
  <si>
    <t>Turtles of the World (https://turtles.linnaeus.naturalis.nl/linnaeus_ng/app/views/species/taxon.php?id=8125)</t>
  </si>
  <si>
    <t>Turtles of the World (https://turtles.linnaeus.naturalis.nl/linnaeus_ng/app/views/species/taxon.php?id=8102)</t>
  </si>
  <si>
    <t>Turtles of the World (https://turtles.linnaeus.naturalis.nl/linnaeus_ng/app/views/species/taxon.php?id=7971)</t>
  </si>
  <si>
    <t>Turtles of the World (https://turtles.linnaeus.naturalis.nl/linnaeus_ng/app/views/species/taxon.php?id=7968)</t>
  </si>
  <si>
    <t>Blackwell 1968, Some observations on the hatching and growth of the African tortoise Kinixys homeana. British J. Herpetol. 4: 40.</t>
  </si>
  <si>
    <t>https://www.tortoisetrust.org/articles/kandb.htm</t>
  </si>
  <si>
    <t>Turtles of the World (https://turtles.linnaeus.naturalis.nl/linnaeus_ng/app/views/species/nsr_taxon.php?id=8008)</t>
  </si>
  <si>
    <t>Turtles of the World (https://turtles.linnaeus.naturalis.nl/linnaeus_ng/app/views/species/taxon.php?id=8016)</t>
  </si>
  <si>
    <t>Legler and Vogt, 2013. The tuertles of Mexico, land and freshwater forms. University of Claifornia press. California.</t>
  </si>
  <si>
    <t>Turtles of the World (https://turtles.linnaeus.naturalis.nl/linnaeus_ng/app/views/species/taxon.php?id=7998)</t>
  </si>
  <si>
    <t>Turtles of the World (https://turtles.linnaeus.naturalis.nl/linnaeus_ng/app/views/species/taxon.php?id=7983)</t>
  </si>
  <si>
    <t>Mahoney et al 2015, https://doi.org/10.1111/ddi.12240</t>
  </si>
  <si>
    <t>Turtles of the World (https://turtles.linnaeus.naturalis.nl/linnaeus_ng/app/views/species/taxon.php?id=7900)</t>
  </si>
  <si>
    <t>Turtles of the World (https://turtles.linnaeus.naturalis.nl/linnaeus_ng/app/views/species/taxon.php?id=7905)</t>
  </si>
  <si>
    <t>Turtles of the World (https://turtles.linnaeus.naturalis.nl/linnaeus_ng/app/views/species/taxon.php?id=7921)</t>
  </si>
  <si>
    <t>Jorgewich-Cohen et al 2020, 10.7717/peerj.13014</t>
  </si>
  <si>
    <t>Rachmansah 2015, LIFE HISTORY TRAITS, LATITUDE, AND SUSTAINABLE HARVESTING IN FRESHWATER TURTLES (Thesis)</t>
  </si>
  <si>
    <t>Espinoza 2002, Body Size, Temperature, and the Evolution of Herbivory in Reptiles (Thesis)</t>
  </si>
  <si>
    <t>Turtles of the World (https://turtles.linnaeus.naturalis.nl/linnaeus_ng/app/views/species/taxon.php?id=7925)</t>
  </si>
  <si>
    <t>Turtles of the World (https://turtles.linnaeus.naturalis.nl/linnaeus_ng/app/views/species/taxon.php?id=7962)</t>
  </si>
  <si>
    <t>Source</t>
  </si>
  <si>
    <t>Da Silva et al. 2022</t>
  </si>
  <si>
    <t>mortality.est.method</t>
  </si>
  <si>
    <t>CMR-BaSTA</t>
  </si>
  <si>
    <t>CMR-BaSTA.DC</t>
  </si>
  <si>
    <t>CMR-BaSTA.census</t>
  </si>
  <si>
    <t>Mauremys_reevesii</t>
  </si>
  <si>
    <t>Cuora_galbinifrons</t>
  </si>
  <si>
    <t>Cuora_trifasciata</t>
  </si>
  <si>
    <t>Cuora_amboinensis</t>
  </si>
  <si>
    <t>Heosemys_grandis</t>
  </si>
  <si>
    <t>Geoclemys_hamiltonii</t>
  </si>
  <si>
    <t>Batagur_borneoensis</t>
  </si>
  <si>
    <t>Siebenrockiella_crassicollis</t>
  </si>
  <si>
    <t>Geoemyda_spengleri</t>
  </si>
  <si>
    <t>Indotestudo_forstenii</t>
  </si>
  <si>
    <t>Indotestudo_elongata</t>
  </si>
  <si>
    <t>Malacochersus_tornieri</t>
  </si>
  <si>
    <t>Testudo_marginata</t>
  </si>
  <si>
    <t>Testudo_kleinmanni</t>
  </si>
  <si>
    <t>Testudo_graeca</t>
  </si>
  <si>
    <t>Testudo_horsfieldii</t>
  </si>
  <si>
    <t>Kinixys_homeana</t>
  </si>
  <si>
    <t>Kinixys_belliana</t>
  </si>
  <si>
    <t>Geochelone_elegans</t>
  </si>
  <si>
    <t>Chelonoidis_niger</t>
  </si>
  <si>
    <t>Chelonoidis_chilensis</t>
  </si>
  <si>
    <t>Stigmochelys_pardalis</t>
  </si>
  <si>
    <t>Chersina_angulata</t>
  </si>
  <si>
    <t>Pyxis_arachnoides</t>
  </si>
  <si>
    <t>Pyxis_planicauda</t>
  </si>
  <si>
    <t>Aldabrachelys_gigantea</t>
  </si>
  <si>
    <t>Gopherus_polyphemus</t>
  </si>
  <si>
    <t>Gopherus_berlandieri</t>
  </si>
  <si>
    <t>Gopherus_agassizii</t>
  </si>
  <si>
    <t>Glyptemys_insculpta</t>
  </si>
  <si>
    <t>Glyptemys_muhlenbergii</t>
  </si>
  <si>
    <t>Clemmys_guttata</t>
  </si>
  <si>
    <t>Trachemys_callirostris</t>
  </si>
  <si>
    <t>Graptemys_pseudogeographica</t>
  </si>
  <si>
    <t>Macrochelys_temminckii</t>
  </si>
  <si>
    <t>Sternotherus_odoratus</t>
  </si>
  <si>
    <t>Kinosternon_leucostomum</t>
  </si>
  <si>
    <t>Apalone_spinifera</t>
  </si>
  <si>
    <t>Apalone_ferox</t>
  </si>
  <si>
    <t>Pelodiscus_sinensis</t>
  </si>
  <si>
    <t>Pelomedusa_subrufa</t>
  </si>
  <si>
    <t>Pelusios_castaneus</t>
  </si>
  <si>
    <t>Podocnemis_unifilis</t>
  </si>
  <si>
    <t>Chelodina_mccordi</t>
  </si>
  <si>
    <t>Chelodina_longicollis</t>
  </si>
  <si>
    <t>Chelus_fimbriatus</t>
  </si>
  <si>
    <t>Platemys_platycephala</t>
  </si>
  <si>
    <t>Emydoidea_blandingii</t>
  </si>
  <si>
    <t>Chelonia_mydas</t>
  </si>
  <si>
    <t>Emys_orbicularis</t>
  </si>
  <si>
    <t>Emys_orbicularis1</t>
  </si>
  <si>
    <t>Emys_orbicularis2</t>
  </si>
  <si>
    <t>Graptemys_flavimaculata1</t>
  </si>
  <si>
    <t>Chrysemys_picta1</t>
  </si>
  <si>
    <t>Chrysemys_picta2</t>
  </si>
  <si>
    <t>Chelydra_serpentina1</t>
  </si>
  <si>
    <t>Graptemys_geographica</t>
  </si>
  <si>
    <t>Hydromedusa_maximiliani</t>
  </si>
  <si>
    <t>Kinosternon_flavescens</t>
  </si>
  <si>
    <t>Mauremys_rivulata</t>
  </si>
  <si>
    <t>Pseudemys_texana</t>
  </si>
  <si>
    <t>Terrapene_ornata</t>
  </si>
  <si>
    <t>Testudo_hermanni1</t>
  </si>
  <si>
    <t>Trachemys_scripta1</t>
  </si>
  <si>
    <t>Trachemys_scripta2</t>
  </si>
  <si>
    <t xml:space="preserve">Reinke et al. 2022 </t>
  </si>
  <si>
    <t>This study</t>
  </si>
  <si>
    <t>https://animaldiversity.org/accounts/Graptemys_flavimaculata/</t>
  </si>
  <si>
    <t>Natator_depressus</t>
  </si>
  <si>
    <t>Carette_caretta</t>
  </si>
  <si>
    <t>Eretmochelys_imbricata</t>
  </si>
  <si>
    <t>Dermochelys_coriacea</t>
  </si>
  <si>
    <t xml:space="preserve">CpG-density </t>
  </si>
  <si>
    <t>Mayne et al. 2020</t>
  </si>
  <si>
    <t>Turtles of the World (https://turtles.linnaeus.naturalis.nl/linnaeus_ng/app/views/species/taxon.php?id=8119)</t>
  </si>
  <si>
    <t>Turtles of the World (https://turtles.linnaeus.naturalis.nl/linnaeus_ng/app/views/species/taxon.php?id=8097)</t>
  </si>
  <si>
    <t>Turtles of the World (https://turtles.linnaeus.naturalis.nl/linnaeus_ng/app/views/species/taxon.php?id=8096)</t>
  </si>
  <si>
    <t xml:space="preserve"> Famelli et al. 2014, https://doi.org/10.2744/CCB-1005.1</t>
  </si>
  <si>
    <t>HYDROMEDUSA MAXIMILIANI (Brazilian Snake-necked Turtle). HATCHLING SIZE AND BODY MASS. Herpetological Review 39(3), 2008</t>
  </si>
  <si>
    <t>Turtles of the World (https://turtles.linnaeus.naturalis.nl/linnaeus_ng/app/views/species/taxon.php?id=8025)</t>
  </si>
  <si>
    <t>https://en.wikipedia.org/wiki/Balkan_terrapin</t>
  </si>
  <si>
    <t>Notes</t>
  </si>
  <si>
    <t>Trachemys_scripta</t>
  </si>
  <si>
    <t>Graptemys_flavimaculata</t>
  </si>
  <si>
    <t>Chrysemys_picta</t>
  </si>
  <si>
    <t>Chelydra_serpentina</t>
  </si>
  <si>
    <t>Testudo_hermanni</t>
  </si>
  <si>
    <t>Chelonia_mydas1</t>
  </si>
  <si>
    <t>Chelonia_mydas2</t>
  </si>
  <si>
    <t>Chelonia_mydas3</t>
  </si>
  <si>
    <t>Chelonia_mydas4</t>
  </si>
  <si>
    <t>Sternotherus_odoratus1</t>
  </si>
  <si>
    <t>https://life4mauremys.agr.hr/en/91/First+hatchlings+at+the+Zagreb+Zoo</t>
  </si>
  <si>
    <t>location</t>
  </si>
  <si>
    <t>taxonomy</t>
  </si>
  <si>
    <t>pop.size</t>
  </si>
  <si>
    <t>pop.trend</t>
  </si>
  <si>
    <t>field island</t>
  </si>
  <si>
    <t>nest</t>
  </si>
  <si>
    <t>flatback</t>
  </si>
  <si>
    <t>Chelonini</t>
  </si>
  <si>
    <t>small</t>
  </si>
  <si>
    <t>stable</t>
  </si>
  <si>
    <t>curtis island</t>
  </si>
  <si>
    <t>increasing</t>
  </si>
  <si>
    <t>wild duck island</t>
  </si>
  <si>
    <t>medium</t>
  </si>
  <si>
    <t>mapoon</t>
  </si>
  <si>
    <t>woongarra</t>
  </si>
  <si>
    <t>large</t>
  </si>
  <si>
    <t>peak island</t>
  </si>
  <si>
    <t>decreasing</t>
  </si>
  <si>
    <t>harvest.history</t>
  </si>
  <si>
    <t>no</t>
  </si>
  <si>
    <t>bycatch</t>
  </si>
  <si>
    <t>low</t>
  </si>
  <si>
    <t>high</t>
  </si>
  <si>
    <t>start.year</t>
  </si>
  <si>
    <t>duration</t>
  </si>
  <si>
    <t>CMR</t>
  </si>
  <si>
    <t>yes</t>
  </si>
  <si>
    <t>tags</t>
  </si>
  <si>
    <t>titanium</t>
  </si>
  <si>
    <t>mixed</t>
  </si>
  <si>
    <t>method</t>
  </si>
  <si>
    <t>model</t>
  </si>
  <si>
    <t>CJSRE</t>
  </si>
  <si>
    <t>CJS</t>
  </si>
  <si>
    <t>MSORD</t>
  </si>
  <si>
    <t>tag.loss</t>
  </si>
  <si>
    <t>temp.emigration</t>
  </si>
  <si>
    <t>detection</t>
  </si>
  <si>
    <t>transience</t>
  </si>
  <si>
    <t>phi</t>
  </si>
  <si>
    <t>lci</t>
  </si>
  <si>
    <t>uci</t>
  </si>
  <si>
    <t>se</t>
  </si>
  <si>
    <t>method.se</t>
  </si>
  <si>
    <t>given</t>
  </si>
  <si>
    <t>A</t>
  </si>
  <si>
    <t>exclusion</t>
  </si>
  <si>
    <t>green</t>
  </si>
  <si>
    <t>hawaii</t>
  </si>
  <si>
    <t>tortuguero</t>
  </si>
  <si>
    <t>inconel</t>
  </si>
  <si>
    <t>PIT</t>
  </si>
  <si>
    <t>MSCJS</t>
  </si>
  <si>
    <t>ORD</t>
  </si>
  <si>
    <t>BR</t>
  </si>
  <si>
    <t>aves island</t>
  </si>
  <si>
    <t>varanus island</t>
  </si>
  <si>
    <t>hawksbill</t>
  </si>
  <si>
    <t>Carettini</t>
  </si>
  <si>
    <t>unknown</t>
  </si>
  <si>
    <t>jumby bay</t>
  </si>
  <si>
    <t>loggerhead</t>
  </si>
  <si>
    <t>wassaw</t>
  </si>
  <si>
    <t>st joseph</t>
  </si>
  <si>
    <t>bald head</t>
  </si>
  <si>
    <t>AS</t>
  </si>
  <si>
    <t>quintana roo</t>
  </si>
  <si>
    <t>south africa</t>
  </si>
  <si>
    <t>D</t>
  </si>
  <si>
    <t>keewaydin</t>
  </si>
  <si>
    <t>melbourne</t>
  </si>
  <si>
    <t>french guiana</t>
  </si>
  <si>
    <t>leatherback</t>
  </si>
  <si>
    <t>Dermochelidae</t>
  </si>
  <si>
    <t>florida</t>
  </si>
  <si>
    <t>sandy point</t>
  </si>
  <si>
    <t>png</t>
  </si>
  <si>
    <t>playa grande</t>
  </si>
  <si>
    <t>Variable</t>
  </si>
  <si>
    <t>region</t>
  </si>
  <si>
    <t>northern australia</t>
  </si>
  <si>
    <t>southwest pacific</t>
  </si>
  <si>
    <t>southeast indian</t>
  </si>
  <si>
    <t>central pacific</t>
  </si>
  <si>
    <t>northwest atlantic</t>
  </si>
  <si>
    <t>southwest indian</t>
  </si>
  <si>
    <t>northeast pacific</t>
  </si>
  <si>
    <t>2017</t>
  </si>
  <si>
    <t>report</t>
  </si>
  <si>
    <t>2015</t>
  </si>
  <si>
    <t>2014</t>
  </si>
  <si>
    <t>2016</t>
  </si>
  <si>
    <t>journal</t>
  </si>
  <si>
    <t>2012</t>
  </si>
  <si>
    <t>2001</t>
  </si>
  <si>
    <t>na</t>
  </si>
  <si>
    <t>2013</t>
  </si>
  <si>
    <t>2011</t>
  </si>
  <si>
    <t>2005</t>
  </si>
  <si>
    <t>2007</t>
  </si>
  <si>
    <t>study</t>
  </si>
  <si>
    <t>research.group</t>
  </si>
  <si>
    <t>year</t>
  </si>
  <si>
    <t>publication</t>
  </si>
  <si>
    <t>malaysia</t>
  </si>
  <si>
    <t>juno</t>
  </si>
  <si>
    <t>longevity.est.method</t>
  </si>
  <si>
    <t>source.longevity</t>
  </si>
  <si>
    <t>estimate.id</t>
  </si>
  <si>
    <t>*citation.author</t>
  </si>
  <si>
    <t>**citation.year</t>
  </si>
  <si>
    <t>n.individuals</t>
  </si>
  <si>
    <t>n.computed.se</t>
  </si>
  <si>
    <t>longevity</t>
  </si>
  <si>
    <t>ci.longevity</t>
  </si>
  <si>
    <t>mort</t>
  </si>
  <si>
    <t>ci.mort</t>
  </si>
  <si>
    <t>var</t>
  </si>
  <si>
    <t>Groom et al</t>
  </si>
  <si>
    <t>Limpus et al</t>
  </si>
  <si>
    <t>(2013)c</t>
  </si>
  <si>
    <t>(2013)a</t>
  </si>
  <si>
    <t>(2013)e</t>
  </si>
  <si>
    <t>(2013)d</t>
  </si>
  <si>
    <t>(2013)b</t>
  </si>
  <si>
    <t>Campbell &amp; Lagueux</t>
  </si>
  <si>
    <t>(2005)b</t>
  </si>
  <si>
    <t>Garcia Cruz et al</t>
  </si>
  <si>
    <t>Piacenza et al</t>
  </si>
  <si>
    <t>Troeng &amp; Chaloupka</t>
  </si>
  <si>
    <t>(2007)b</t>
  </si>
  <si>
    <t>(2007)a</t>
  </si>
  <si>
    <t>Kendall &amp; Bjorkland</t>
  </si>
  <si>
    <t>Prince &amp; Chaloupka</t>
  </si>
  <si>
    <t>Chua</t>
  </si>
  <si>
    <t>1988</t>
  </si>
  <si>
    <t>monel</t>
  </si>
  <si>
    <t>J</t>
  </si>
  <si>
    <t>Dutton et al</t>
  </si>
  <si>
    <t>Pilcher &amp; Chaloupka</t>
  </si>
  <si>
    <t>Rivalan et al</t>
  </si>
  <si>
    <t>Stewart et al</t>
  </si>
  <si>
    <t>Thorson et al</t>
  </si>
  <si>
    <t>(2012)b</t>
  </si>
  <si>
    <t>Tomillo</t>
  </si>
  <si>
    <t>**Pfaller et al</t>
  </si>
  <si>
    <t>Lamont et al</t>
  </si>
  <si>
    <t>Monk et al</t>
  </si>
  <si>
    <t>Phillips et al</t>
  </si>
  <si>
    <t>Sasso et al</t>
  </si>
  <si>
    <t>(2011)a</t>
  </si>
  <si>
    <t>psat</t>
  </si>
  <si>
    <t>KF</t>
  </si>
  <si>
    <t>(2011)b</t>
  </si>
  <si>
    <t>TEWG</t>
  </si>
  <si>
    <t>(2009)c</t>
  </si>
  <si>
    <t>(2009)a</t>
  </si>
  <si>
    <t>(2009)b</t>
  </si>
  <si>
    <t>(2012)a</t>
  </si>
  <si>
    <t>citation</t>
  </si>
  <si>
    <t>femaleLength</t>
  </si>
  <si>
    <t>Trait</t>
  </si>
  <si>
    <r>
      <t>Limpus, C.J., Parmenter, C.J. and Chaloupka, M., 2013. Monitoring of Coastal Sea Turtles: GapAnalysis 5. Flatback turtles, Natator depressus, in the Port Curtis and Port Alma Region. </t>
    </r>
    <r>
      <rPr>
        <i/>
        <sz val="12"/>
        <color rgb="FF222222"/>
        <rFont val="Calibri"/>
        <family val="2"/>
      </rPr>
      <t>Report produced for the Ecosystem Research and Monitoring Program Advisory Panel as part of Gladstone Ports Corporation’s Ecosystem Research and Monitoring Program</t>
    </r>
    <r>
      <rPr>
        <sz val="12"/>
        <color rgb="FF222222"/>
        <rFont val="Calibri"/>
        <family val="2"/>
      </rPr>
      <t>.</t>
    </r>
  </si>
  <si>
    <t>Full Citations</t>
  </si>
  <si>
    <t>Limpus et al (2013)</t>
  </si>
  <si>
    <t>Limpus (2007)</t>
  </si>
  <si>
    <t>Limpus, C.J., 2007. A biological review of Australian marine turtle species. 5. Flatback turtle, Natator depressus (Garman)</t>
  </si>
  <si>
    <t>Balazs, G.H., Van Houtan, K.S., Hargrove, S.A., Brunson, S.M. and Murakawa, S.K., 2015. A review of the demographic features of Hawaiian green turtles (Chelonia mydas). Chelonian Conservation and Biology, 14(2), pp.119-129.</t>
  </si>
  <si>
    <t>femaleLength (ccl)</t>
  </si>
  <si>
    <t>Murakawa, S.K. and Snover, M.L., 2018. Impact of exceptional growth rates on estimations of life-stage duration in Hawaiian green sea turtles. Endangered Species Research, 35, pp.181-193.</t>
  </si>
  <si>
    <t>Murakawa et al (2018)</t>
  </si>
  <si>
    <t>Bruno, R.S., Restrepo Machado, J.A., Guzman, G.R.B., Loria, J.I.R. and Valverde, R.A., 2021. Biomarkers of reproduction in endangered green sea turtles (Chelonia mydas) nesting at Tortuguero, Costa Rica. Conservation Physiology, 9(1), p.coab072.</t>
  </si>
  <si>
    <t>Carr, A.F., Carr, M.H. and Meylan, A.B., 1978. The ecology and migrations of sea turtles. 7, The West Caribbean green turtle colony. Bulletin of the AMNH; v. 162, article 1.</t>
  </si>
  <si>
    <t>Balaz et al (2015); Bruno et al (2021)</t>
  </si>
  <si>
    <t>Hirth, H.F., 1988. Intrapopulation reproductive traits of green turtles (Chelonia mydas) at Tortuguero, Costa Rica. Biotropica, pp.322-325.</t>
  </si>
  <si>
    <t>Balaz et al (2015); Hirth (1988)</t>
  </si>
  <si>
    <t>Balaz et al (2015); Carr et al (1978)</t>
  </si>
  <si>
    <t>Levasseur, K.E., Stapleton, S.P. and Quattro, J.M., 2021. Precise natal homing and an estimate of age at sexual maturity in hawksbill turtles. Animal Conservation, 24(3), pp.523-535.</t>
  </si>
  <si>
    <t>Richardson, J.I., Bell, R. and Richardson, T.H., 1999. Population ecology and demographic implications drawn from an 11-year study of nesting hawksbill turtles, Eretmochelys imbricata, at Jumby Bay, Long Island, Antigua, West Indies. Chelonian Conservation and biology, 3(2), pp.244-250.</t>
  </si>
  <si>
    <t>Gulick, A.G., Ewen, K.A., Pollock, C.G. and Hillis-Starr, Z.M., 2022. Trends in abundance and reproductive success of the hawksbill turtle nesting population at Buck Island Reef National Monument, St. Croix, US Virgin Islands. Endangered Species Research, 48, pp.191-198.</t>
  </si>
  <si>
    <t>Reising, M., 2013. The hawksbill rookery at Antigua WI: Nest success, hatchling behavior, and hatchling survival during offshore migration. Florida Atlantic University.</t>
  </si>
  <si>
    <t>Santos, A.J., Freire, E.M., Bellini, C. and Corso, G., 2010. Body mass and the energy budget of gravid hawksbill turtles (Eretmochelys imbricata) during the nesting season. Journal of Herpetology, 44(3), pp.352-359.</t>
  </si>
  <si>
    <t>Myhrvold, N.P., Baldridge, E., Chan, B., Sivam, D., Freeman, D.L. and Ernest, S.M., 2015. An amniote life‐history database to perform comparative analyses with birds, mammals, and reptiles: Ecological Archives E096‐269. Ecology, 96(11), pp.3109-3109.</t>
  </si>
  <si>
    <t>Hoenner, X., Whiting, S.D., Enever, G., Lambert, K., Hindell, M.A. and McMahon, C.R., 2016. Nesting ecology of hawksbill turtles at a rookery of international significance in Australia’s Northern Territory. Wildlife Research, 43(6), pp.461-473.</t>
  </si>
  <si>
    <t>Richardson et al (1999); Hoenner et al (2013)</t>
  </si>
  <si>
    <t>Reising (2013); Hoenner et al (2013)</t>
  </si>
  <si>
    <t>Myhrvold et al (2015); Hoenner et al (2013)</t>
  </si>
  <si>
    <t>Gulick et al (2022); Hoenner et al (2013)</t>
  </si>
  <si>
    <t>Santos et al (2010); Hoenner et al (2013)</t>
  </si>
  <si>
    <t>Bell, I. and Pike, D.A., 2012. Somatic growth rates of hawksbill turtles Eretmochelys imbricata in a northern Great Barrier Reef foraging area. Marine Ecology Progress Series, 446, pp.275-283.</t>
  </si>
  <si>
    <t>Levasseur et al (2021); Bell and Pike (2012)</t>
  </si>
  <si>
    <t>Groom, R.A., Griffiths, A.D. and Chaloupka, M., 2017. Estimating long-term trends in abundance and survival for nesting flatback turtles in Kakadu National Park, Australia. Endangered Species Research, 32, pp.203-211.</t>
  </si>
  <si>
    <t>Groom et al (2017); Limpus (2007)</t>
  </si>
  <si>
    <t>Lontoh, D.N., 2014. Variation in tissue stable isotopes, body size, and reproduction of western Pacific leatherback turtles. San José State University.</t>
  </si>
  <si>
    <t>Plot, V., Jenkins, T., Robin, J.P., Fossette, S. and Georges, J.Y., 2013. Leatherback turtles are capital breeders: morphometric and physiological evidence from longitudinal monitoring. Physiological and Biochemical Zoology, 86(4), pp.385-397.</t>
  </si>
  <si>
    <t>Avens, L., Goshe, L.R., Zug, G.R., Balazs, G.H., Benson, S.R. and Harris, H., 2020. Regional comparison of leatherback sea turtle maturation attributes and reproductive longevity. Marine Biology, 167(1), p.4.</t>
  </si>
  <si>
    <t>Avens et al (2020)</t>
  </si>
  <si>
    <t>Garner, J.A., MacKenzie, D.S. and Gatlin, D., 2017. Reproductive biology of Atlantic leatherback sea turtles at Sandy Point, St. Croix: the first 30 years. Chelonian Conservation and Biology, 16(1), pp.29-43.</t>
  </si>
  <si>
    <t>Banerjee, S.M., Frey, A., Kurle, C.M., Perrault, J.R. and Stewart, K.R., 2020. Morphological variation in leatherback (Dermochelys coriacea) hatchlings at sandy point national wildlife refuge, US Virgin Islands. Endangered Species Research, 41, pp.361-372.</t>
  </si>
  <si>
    <t>Spotila, J.R. and Tomillo, P.S. eds., 2015. The leatherback turtle: biology and conservation. JHU Press.</t>
  </si>
  <si>
    <t>Lontoh (2014); Spotila and Tomillo (2015);</t>
  </si>
  <si>
    <t>Hirth, H.F., Kasu, J. and Mala, T., 1993. Observations on a leatherback turtle Dermochelys coriacea nesting population near Piguwa, Papua New Guinea. Biological Conservation, 65(1), pp.77-82.</t>
  </si>
  <si>
    <t>Lontoh (2014); Spotila and Tomillo (2015); Hirth et al (1993);</t>
  </si>
  <si>
    <t>Tapilatu, R.F., Dutton, P.H., Tiwari, M., Wibbels, T., Ferdinandus, H.V., Iwanggin, W.G. and Nugroho, B.H., 2013. Long‐term decline of the western Pacific leatherback, Dermochelys coriacea: a globally important sea turtle population. Ecosphere, 4(2), pp.1-15.</t>
  </si>
  <si>
    <t>Caut, S., Guirlet, E., Jouquet, P. and Girondot, M., 2006. Influence of nest location and yolkless eggs on the hatching success of leatherback turtle clutches in French Guiana. Canadian Journal of Zoology, 84(6), pp.908-915.</t>
  </si>
  <si>
    <t>Georges, J.Y. and Fossette, S., 2006. Estimating body mass in leatherback turtles Dermochelys coriacea. Marine Ecology Progress Series, 318, pp.255-262.</t>
  </si>
  <si>
    <t>Plot et al (2013); Spotila and Tomillo (2015); Georges and Fossette (2006);</t>
  </si>
  <si>
    <t>Briane, J.P., Rivalan, P. and Girondot, M., 2007. The inverse problem applied to the observed clutch frequency of leatherback turtles from Yalimapo Beach, French Guiana. Chelonian Conservation and Biology, 6(1), pp.63-69.</t>
  </si>
  <si>
    <t>https://myfwc.com/wildlifehabitats/profiles/reptiles/sea-turtles/leatherback-turtle/</t>
  </si>
  <si>
    <t>Stewart, K.R., Martin, K.J., Johnson, C., Desjardin, N., Eckert, S.A. and Crowder, L.B., 2014. Increased nesting, good survival and variable site fidelity for leatherback turtles in Florida, USA. Biological conservation, 176, pp.117-125.</t>
  </si>
  <si>
    <t>Perrault, J.R., Miller, D.L., Eads, E., Johnson, C., Merrill, A., Thompson, L.J. and Wyneken, J., 2012. Maternal health status correlates with nest success of leatherback sea turtles (Dermochelys coriacea) from Florida. PLoS One, 7(2), p.e31841.</t>
  </si>
  <si>
    <t>Lontoh (2014); Hirth et al (1993); Spotila and Tomillo (2015);</t>
  </si>
  <si>
    <t>Lontoh (2014); Spotila and Tomillo (2015); Perrault et al (2012);</t>
  </si>
  <si>
    <t>Tucek, J.B., 2014. Comparison of the population growth potential of South African loggerhead (Caretta caretta) and leatherback (Dermochelys coriacea) sea turtles (Doctoral dissertation, Nelson Mandela Metropolitan University).</t>
  </si>
  <si>
    <t>Pfaller, J.B., Weaver, S.M., Williams, K.L., Dodd, M.G., Godfrey, M.H., Griffin, D.B., Pate, S.M., Glen, C.G., Nairn, C.J. and Shamblin, B.M., 2022. One beach amongst many: how weak fidelity to a focal nesting site can bias demographic rates in marine turtles. Marine Biology, 169(1), p.8.</t>
  </si>
  <si>
    <t>Vander Zanden, H.B., Pfaller, J.B., Reich, K.J., Pajuelo, M., Bolten, A.B., Williams, K.L., Frick, M.G., Shamblin, B.M., Nairn, C.J. and Bjorndal, K.A., 2014. Foraging areas differentially affect reproductive output and interpretation of trends in abundance of loggerhead turtles. Marine Biology, 161, pp.585-598.</t>
  </si>
  <si>
    <t>LeBlanc, A.M., Rostal, D.C., Drake, K.K., Williams, K.L., Frick, M.G., Robinette, J. and Barnard-Keinath, D.E., 2014. The influence of maternal size on the eggs and hatchlings of loggerhead sea turtles. Southeastern Naturalist, 13(3), pp.587-599.</t>
  </si>
  <si>
    <t>Lamont, M.M., Fujisaki, I. and Carthy, R.R., 2014. Estimates of vital rates for a declining loggerhead turtle (Caretta caretta) subpopulation: implications for management. Marine Biology, 161, pp.2659-2668.</t>
  </si>
  <si>
    <t>Martins, S., Cardona, L., Abella, E., Silva, E., de Santos Loureiro, N., Roast, M. and Marco, A., 2022. Effect of body size on the long-term reproductive output of eastern Atlantic loggerhead turtles Caretta caretta. Endangered Species Research, 48, pp.175-189.</t>
  </si>
  <si>
    <t>Avens, L., Goshe, L.R., Coggins, L., Snover, M.L., Pajuelo, M., Bjorndal, K.A. and Bolten, A.B., 2015. Age and size at maturation-and adult-stage duration for loggerhead sea turtles in the western North Atlantic. Marine Biology, 162, pp.1749-1767.</t>
  </si>
  <si>
    <t>99.0 </t>
  </si>
  <si>
    <t>González, J.M., Anastácio, R., Lizárraga-Cubedo, H.A. and Pereira, M.J., 2020. Caretta caretta nesting activity on Akumal Beaches, Mexico. Scientific Reports, 10(1), p.3020.</t>
  </si>
  <si>
    <t>Phillips, K.F., Mansfield, K.L., Die, D.J. and Addison, D.S., 2014. Survival and remigration probabilities for loggerhead turtles (Caretta caretta) nesting in the eastern Gulf of Mexico. Marine biology, 161, pp.863-870.</t>
  </si>
  <si>
    <t>Pina, A., Martins, S., Abu-Raya, M. and Marco, A., 2020. Body condition of loggerhead turtles Caretta caretta nesting in Cabo Verde is independent of their reproductive output. Zool. Caboverdiana, 8, pp.23-31.</t>
  </si>
  <si>
    <t>Tucek, J., Nel, R., Girondot, M. and Hughes, G., 2014. Age-size relationship at reproduction of South African female loggerhead turtles Caretta caretta. Endangered Species Research, 23(2), pp.167-175.</t>
  </si>
  <si>
    <t>Bjorndal, K.A., Bolten, A.B., Koike, B., Schroeder, B.A., Shaver, D.J., Teas, W.G. and Witzell, W.N., 2001. Somatic growth function for immature loggerhead sea turtles, Caretta caretta, in southeastern US waters. Fishery Bulletin, 99(2), pp.240-240.</t>
  </si>
  <si>
    <t>Avens et al (2015); Tucek et al (2014); Bjorndal et al (2001);</t>
  </si>
  <si>
    <t>Martins et al (2022); Pina et al (2020)</t>
  </si>
  <si>
    <t>Vander Zanden et al (2014); Lamont et al (2014); González et al (2020); Pina et al (2020)</t>
  </si>
  <si>
    <t>LeBlanc et al (2014); Pina et al (2020)</t>
  </si>
  <si>
    <t>Pfaller et al (2022); Vander Zanden et al (2014); Phillips et al (2014); Pina et al (2020)</t>
  </si>
  <si>
    <t>Lontoh (2014); Garner et al (2017); Tapilatu et al (2013); Caut et al (2006); Briane et al (2007);
https://myfwc.com/wildlifehabitats/profiles/reptiles/sea-turtles/leatherback-turtle/; Stewart et al (2014); Tucek (2014);</t>
  </si>
  <si>
    <t>Natator_depressus1</t>
  </si>
  <si>
    <t>Natator_depressus2</t>
  </si>
  <si>
    <t>Natator_depressus3</t>
  </si>
  <si>
    <t>Natator_depressus4</t>
  </si>
  <si>
    <t>Natator_depressus5</t>
  </si>
  <si>
    <t>Chelonia_mydas5</t>
  </si>
  <si>
    <t>Chelonia_mydas6</t>
  </si>
  <si>
    <t>Eretmochelys_imbricata1</t>
  </si>
  <si>
    <t>Dermochelys_coriacea1</t>
  </si>
  <si>
    <t>Dermochelys_coriacea2</t>
  </si>
  <si>
    <t>Dermochelys_coriacea3</t>
  </si>
  <si>
    <t>Dermochelys_coriacea4</t>
  </si>
  <si>
    <t>Dermochelys_coriacea5</t>
  </si>
  <si>
    <t>enumeration</t>
  </si>
  <si>
    <t>Pfaller et al. (2020)</t>
  </si>
  <si>
    <t>Caretta_caretta</t>
  </si>
  <si>
    <t>Caretta_caretta1</t>
  </si>
  <si>
    <t>Caretta_caretta2</t>
  </si>
  <si>
    <t>Caretta_caretta3</t>
  </si>
  <si>
    <t>Caretta_caretta4</t>
  </si>
  <si>
    <t>Caretta_caretta5</t>
  </si>
  <si>
    <t>ci.AR</t>
  </si>
  <si>
    <t>ci.EX</t>
  </si>
  <si>
    <t>rep.allocation</t>
  </si>
  <si>
    <t>status</t>
  </si>
  <si>
    <t>wild</t>
  </si>
  <si>
    <t>captive</t>
  </si>
  <si>
    <t>da Silva et al. 2022</t>
  </si>
  <si>
    <t>sp</t>
  </si>
  <si>
    <t>type</t>
  </si>
  <si>
    <t>other_testudine</t>
  </si>
  <si>
    <t>sea_turtle</t>
  </si>
  <si>
    <t>class.old</t>
  </si>
  <si>
    <t>class.new</t>
  </si>
  <si>
    <t>ZIMS</t>
  </si>
  <si>
    <t>Mexico</t>
  </si>
  <si>
    <t>South Africa</t>
  </si>
  <si>
    <t>Malaysia</t>
  </si>
  <si>
    <t>Papua New Guinea</t>
  </si>
  <si>
    <t>French Guiana</t>
  </si>
  <si>
    <t>US Virgin Islands</t>
  </si>
  <si>
    <t>Australia</t>
  </si>
  <si>
    <t>Hawaii</t>
  </si>
  <si>
    <t>Costa Rica</t>
  </si>
  <si>
    <t>Antigua</t>
  </si>
  <si>
    <t>France</t>
  </si>
  <si>
    <t>Brazil</t>
  </si>
  <si>
    <t>Serbia</t>
  </si>
  <si>
    <t>Greece</t>
  </si>
  <si>
    <t>USA</t>
  </si>
  <si>
    <t>CTC POP</t>
  </si>
  <si>
    <t>CTC OTN</t>
  </si>
  <si>
    <t>CTC LF</t>
  </si>
  <si>
    <t>CTC MF</t>
  </si>
  <si>
    <t>CTC HF</t>
  </si>
  <si>
    <t>site</t>
  </si>
  <si>
    <t>Wassaw Island</t>
  </si>
  <si>
    <t>St Joseph Bay</t>
  </si>
  <si>
    <t>Bald Head Island</t>
  </si>
  <si>
    <t>Texas</t>
  </si>
  <si>
    <t>Wisconsin</t>
  </si>
  <si>
    <t>Michigan</t>
  </si>
  <si>
    <t>Florida</t>
  </si>
  <si>
    <t>Mississippi</t>
  </si>
  <si>
    <t>Indiana</t>
  </si>
  <si>
    <t>Nebraska</t>
  </si>
  <si>
    <t>Field Island</t>
  </si>
  <si>
    <t>Curtis Island</t>
  </si>
  <si>
    <t>Wild Duck Island</t>
  </si>
  <si>
    <t>Mapoon</t>
  </si>
  <si>
    <t>Woongarra</t>
  </si>
  <si>
    <t>Peak Island</t>
  </si>
  <si>
    <t>maximum observed longevity</t>
  </si>
  <si>
    <t xml:space="preserve">species name separated by an underscore for that dataset. Naming conventions follow that of the tree source. 
multiple populations of the same species are denoted with a number after the name. </t>
  </si>
  <si>
    <t>traits were estimated at the population level, "pop", or group level (for CTC green turtles)</t>
  </si>
  <si>
    <t>annual fecundity is the average number of offspring produced by an individual of that species per year</t>
  </si>
  <si>
    <t>hatchling mass in kilograms</t>
  </si>
  <si>
    <t>hatchling length in cm</t>
  </si>
  <si>
    <t>egg mass in kilograms</t>
  </si>
  <si>
    <t>body mass in kilograms</t>
  </si>
  <si>
    <t>age at first reproduction for that species</t>
  </si>
  <si>
    <t>method mortality rate was estimates.</t>
  </si>
  <si>
    <t>mean life expectancy</t>
  </si>
  <si>
    <t>sd for life expectancy</t>
  </si>
  <si>
    <t>mean aging rate</t>
  </si>
  <si>
    <t>sd for aging rate</t>
  </si>
  <si>
    <t>upper 95% CI for aging rate</t>
  </si>
  <si>
    <t>lower 95% CI for aging rate</t>
  </si>
  <si>
    <t>lower 95% CI for life expectancy</t>
  </si>
  <si>
    <t>upper 95% CI for life expectancy</t>
  </si>
  <si>
    <t>mean mass of eggs in one clutch</t>
  </si>
  <si>
    <t>habitat a species occurs in</t>
  </si>
  <si>
    <t>if the species undergoes hibrination or not</t>
  </si>
  <si>
    <t>source of the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</si>
</sst>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
    <numFmt numFmtId="167" formatCode="0.0000"/>
  </numFmts>
  <fonts count="3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i/>
      <sz val="10"/>
      <color rgb="FF000000"/>
      <name val="Calibri"/>
      <family val="2"/>
      <scheme val="minor"/>
    </font>
    <font>
      <i/>
      <sz val="10"/>
      <color rgb="FF000000"/>
      <name val="Calibri"/>
      <family val="2"/>
    </font>
    <font>
      <sz val="12"/>
      <color rgb="FF000000"/>
      <name val="Calibri"/>
      <family val="2"/>
      <scheme val="minor"/>
    </font>
    <font>
      <sz val="12"/>
      <name val="Calibri"/>
      <family val="2"/>
      <scheme val="minor"/>
    </font>
    <font>
      <sz val="8"/>
      <name val="Calibri"/>
      <family val="2"/>
      <scheme val="minor"/>
    </font>
    <font>
      <sz val="10"/>
      <color rgb="FF000000"/>
      <name val="Calibri"/>
      <family val="2"/>
      <scheme val="minor"/>
    </font>
    <font>
      <sz val="10"/>
      <color rgb="FF000000"/>
      <name val="Calibri"/>
      <family val="2"/>
    </font>
    <font>
      <sz val="12"/>
      <color rgb="FF000000"/>
      <name val="Calibri (Body)"/>
    </font>
    <font>
      <sz val="12"/>
      <color rgb="FF222222"/>
      <name val="Calibri"/>
      <family val="2"/>
    </font>
    <font>
      <i/>
      <sz val="12"/>
      <color rgb="FF222222"/>
      <name val="Calibri"/>
      <family val="2"/>
    </font>
    <font>
      <b/>
      <sz val="12"/>
      <color rgb="FF000000"/>
      <name val="Calibri"/>
      <family val="34"/>
    </font>
    <font>
      <sz val="12"/>
      <color rgb="FF000000"/>
      <name val="Calibri"/>
      <family val="34"/>
    </font>
    <font>
      <sz val="12"/>
      <color rgb="FFC9211E"/>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A9D08E"/>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11" fontId="0" fillId="0" borderId="0" xfId="0" applyNumberFormat="1"/>
    <xf numFmtId="0" fontId="0" fillId="33" borderId="0" xfId="0" applyFill="1"/>
    <xf numFmtId="0" fontId="0" fillId="0" borderId="0" xfId="0" applyAlignment="1">
      <alignment vertical="center"/>
    </xf>
    <xf numFmtId="0" fontId="0" fillId="0" borderId="0" xfId="0" applyAlignment="1">
      <alignment vertical="center" wrapText="1"/>
    </xf>
    <xf numFmtId="0" fontId="0" fillId="34" borderId="0" xfId="0" applyFill="1"/>
    <xf numFmtId="2" fontId="0" fillId="0" borderId="0" xfId="0" applyNumberFormat="1"/>
    <xf numFmtId="164" fontId="0" fillId="0" borderId="0" xfId="0" applyNumberFormat="1"/>
    <xf numFmtId="165" fontId="0" fillId="0" borderId="0" xfId="0" applyNumberFormat="1"/>
    <xf numFmtId="0" fontId="22" fillId="0" borderId="0" xfId="0" applyFont="1"/>
    <xf numFmtId="0" fontId="23" fillId="0" borderId="10" xfId="0" applyFont="1" applyBorder="1" applyAlignment="1">
      <alignment horizontal="right"/>
    </xf>
    <xf numFmtId="164" fontId="0" fillId="0" borderId="10" xfId="0" applyNumberFormat="1" applyBorder="1"/>
    <xf numFmtId="2" fontId="23" fillId="0" borderId="10" xfId="0" applyNumberFormat="1" applyFont="1" applyBorder="1" applyAlignment="1">
      <alignment horizontal="right"/>
    </xf>
    <xf numFmtId="164" fontId="23" fillId="0" borderId="10" xfId="0" applyNumberFormat="1" applyFont="1" applyBorder="1" applyAlignment="1">
      <alignment horizontal="right"/>
    </xf>
    <xf numFmtId="164" fontId="0" fillId="0" borderId="10" xfId="0" applyNumberFormat="1" applyBorder="1" applyAlignment="1">
      <alignment horizontal="right"/>
    </xf>
    <xf numFmtId="0" fontId="0" fillId="0" borderId="10" xfId="0" applyBorder="1" applyAlignment="1">
      <alignment horizontal="right"/>
    </xf>
    <xf numFmtId="0" fontId="0" fillId="0" borderId="0" xfId="0" applyAlignment="1">
      <alignment wrapText="1"/>
    </xf>
    <xf numFmtId="0" fontId="23" fillId="0" borderId="10" xfId="0" applyFont="1" applyBorder="1" applyAlignment="1">
      <alignment horizontal="center"/>
    </xf>
    <xf numFmtId="0" fontId="23" fillId="0" borderId="0" xfId="0" applyFont="1" applyAlignment="1">
      <alignment horizontal="center"/>
    </xf>
    <xf numFmtId="0" fontId="23" fillId="0" borderId="0" xfId="0" applyFont="1" applyAlignment="1">
      <alignment horizontal="right"/>
    </xf>
    <xf numFmtId="2" fontId="22" fillId="0" borderId="0" xfId="0" applyNumberFormat="1" applyFont="1"/>
    <xf numFmtId="164" fontId="23" fillId="0" borderId="10" xfId="0" applyNumberFormat="1" applyFont="1" applyBorder="1" applyAlignment="1">
      <alignment horizontal="center"/>
    </xf>
    <xf numFmtId="2" fontId="23" fillId="0" borderId="10" xfId="0" applyNumberFormat="1" applyFont="1" applyBorder="1" applyAlignment="1">
      <alignment horizontal="center"/>
    </xf>
    <xf numFmtId="166" fontId="23" fillId="0" borderId="10" xfId="0" applyNumberFormat="1" applyFont="1" applyBorder="1" applyAlignment="1">
      <alignment horizontal="center"/>
    </xf>
    <xf numFmtId="166" fontId="0" fillId="0" borderId="10" xfId="0" applyNumberFormat="1" applyBorder="1" applyAlignment="1">
      <alignment horizontal="right"/>
    </xf>
    <xf numFmtId="0" fontId="23" fillId="33" borderId="10" xfId="0" applyFont="1" applyFill="1" applyBorder="1" applyAlignment="1">
      <alignment horizontal="right"/>
    </xf>
    <xf numFmtId="0" fontId="23" fillId="0" borderId="11" xfId="0" applyFont="1" applyBorder="1" applyAlignment="1">
      <alignment horizontal="right"/>
    </xf>
    <xf numFmtId="164" fontId="23" fillId="0" borderId="0" xfId="0" applyNumberFormat="1" applyFont="1" applyAlignment="1">
      <alignment horizontal="right"/>
    </xf>
    <xf numFmtId="164" fontId="22" fillId="0" borderId="0" xfId="0" applyNumberFormat="1" applyFont="1" applyAlignment="1">
      <alignment horizontal="right"/>
    </xf>
    <xf numFmtId="164" fontId="22" fillId="0" borderId="0" xfId="0" applyNumberFormat="1" applyFont="1"/>
    <xf numFmtId="0" fontId="27" fillId="0" borderId="0" xfId="0" applyFont="1" applyAlignment="1">
      <alignment vertical="center"/>
    </xf>
    <xf numFmtId="0" fontId="23" fillId="0" borderId="0" xfId="0" applyFont="1" applyAlignment="1">
      <alignment horizontal="left"/>
    </xf>
    <xf numFmtId="0" fontId="0" fillId="0" borderId="0" xfId="0" quotePrefix="1"/>
    <xf numFmtId="167" fontId="0" fillId="0" borderId="0" xfId="0" applyNumberFormat="1"/>
    <xf numFmtId="0" fontId="23" fillId="35" borderId="10" xfId="0" applyFont="1" applyFill="1" applyBorder="1" applyAlignment="1">
      <alignment horizontal="right"/>
    </xf>
    <xf numFmtId="0" fontId="0" fillId="0" borderId="0" xfId="0" applyAlignment="1">
      <alignment horizontal="right"/>
    </xf>
    <xf numFmtId="0" fontId="27" fillId="35" borderId="0" xfId="0" applyFont="1" applyFill="1" applyAlignment="1">
      <alignment vertical="center"/>
    </xf>
    <xf numFmtId="0" fontId="0" fillId="35" borderId="0" xfId="0" applyFill="1" applyAlignment="1">
      <alignment vertical="center"/>
    </xf>
    <xf numFmtId="0" fontId="28" fillId="35" borderId="0" xfId="0" applyFont="1" applyFill="1" applyAlignment="1">
      <alignment vertical="center"/>
    </xf>
    <xf numFmtId="0" fontId="28" fillId="35" borderId="0" xfId="0" applyFont="1" applyFill="1" applyAlignment="1">
      <alignment wrapText="1"/>
    </xf>
    <xf numFmtId="0" fontId="27" fillId="36" borderId="0" xfId="0" applyFont="1" applyFill="1"/>
    <xf numFmtId="0" fontId="0" fillId="36" borderId="0" xfId="0" applyFill="1" applyAlignment="1">
      <alignment vertical="center"/>
    </xf>
    <xf numFmtId="0" fontId="22" fillId="37" borderId="0" xfId="0" applyFont="1" applyFill="1"/>
    <xf numFmtId="0" fontId="0" fillId="37" borderId="0" xfId="0" applyFill="1" applyAlignment="1">
      <alignment vertical="center"/>
    </xf>
    <xf numFmtId="0" fontId="0" fillId="38" borderId="0" xfId="0" applyFill="1" applyAlignment="1">
      <alignment vertical="center"/>
    </xf>
    <xf numFmtId="0" fontId="0" fillId="38" borderId="0" xfId="0" applyFill="1"/>
    <xf numFmtId="0" fontId="22" fillId="38" borderId="0" xfId="0" applyFont="1" applyFill="1"/>
    <xf numFmtId="0" fontId="22" fillId="39" borderId="0" xfId="0" applyFont="1" applyFill="1"/>
    <xf numFmtId="0" fontId="0" fillId="39" borderId="0" xfId="0" applyFill="1" applyAlignment="1">
      <alignment vertical="center"/>
    </xf>
    <xf numFmtId="165" fontId="22" fillId="0" borderId="0" xfId="0" applyNumberFormat="1" applyFont="1"/>
    <xf numFmtId="0" fontId="22" fillId="0" borderId="0" xfId="0" applyFont="1" applyAlignment="1">
      <alignment horizontal="center"/>
    </xf>
    <xf numFmtId="0" fontId="22" fillId="40" borderId="0" xfId="0" applyFont="1" applyFill="1"/>
    <xf numFmtId="0" fontId="3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C6E0B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12700</xdr:rowOff>
    </xdr:from>
    <xdr:to>
      <xdr:col>10</xdr:col>
      <xdr:colOff>406400</xdr:colOff>
      <xdr:row>14</xdr:row>
      <xdr:rowOff>50800</xdr:rowOff>
    </xdr:to>
    <xdr:sp macro="" textlink="">
      <xdr:nvSpPr>
        <xdr:cNvPr id="2" name="TextBox 1">
          <a:extLst>
            <a:ext uri="{FF2B5EF4-FFF2-40B4-BE49-F238E27FC236}">
              <a16:creationId xmlns:a16="http://schemas.microsoft.com/office/drawing/2014/main" id="{0CF86A53-D76F-E54C-7F5B-0C45DAE23CED}"/>
            </a:ext>
          </a:extLst>
        </xdr:cNvPr>
        <xdr:cNvSpPr txBox="1"/>
      </xdr:nvSpPr>
      <xdr:spPr>
        <a:xfrm>
          <a:off x="825500" y="215900"/>
          <a:ext cx="7835900" cy="267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only included survival estimates from Pfaller et al. 2018</a:t>
          </a:r>
          <a:r>
            <a:rPr lang="en-US" sz="1100" baseline="0"/>
            <a:t> based on the following criteria </a:t>
          </a:r>
        </a:p>
        <a:p>
          <a:r>
            <a:rPr lang="en-US" sz="1100" baseline="0"/>
            <a:t>- survival estimates for nesting population to ensure survival only included females</a:t>
          </a:r>
        </a:p>
        <a:p>
          <a:r>
            <a:rPr lang="en-US" sz="1100" baseline="0"/>
            <a:t>- did not use monel tags since they have high levels of corrosion</a:t>
          </a:r>
        </a:p>
        <a:p>
          <a:r>
            <a:rPr lang="en-US" sz="1100" baseline="0"/>
            <a:t>- estimates were based on a statistical model, i.e., MSORD, CJSRE, CJS, BR, ORD</a:t>
          </a:r>
        </a:p>
        <a:p>
          <a:endParaRPr lang="en-US" sz="1100" baseline="0"/>
        </a:p>
        <a:p>
          <a:r>
            <a:rPr lang="en-US" sz="1100" baseline="0"/>
            <a:t>Mortality rates were computed from survival as -log(S) and longevity was estimated as 1/-log(S) </a:t>
          </a:r>
        </a:p>
        <a:p>
          <a:r>
            <a:rPr lang="en-US" sz="1100" baseline="0"/>
            <a:t>95% confidence intervales around east estimate were computed using the delta method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9A2EB-D236-E846-A102-9418E2CCEC5D}">
  <dimension ref="A1:AB98"/>
  <sheetViews>
    <sheetView workbookViewId="0">
      <pane ySplit="1" topLeftCell="A2" activePane="bottomLeft" state="frozen"/>
      <selection pane="bottomLeft" activeCell="E94" sqref="E94"/>
    </sheetView>
  </sheetViews>
  <sheetFormatPr baseColWidth="10" defaultRowHeight="16" x14ac:dyDescent="0.2"/>
  <cols>
    <col min="1" max="1" width="27.5" bestFit="1" customWidth="1"/>
    <col min="2" max="2" width="8.6640625" bestFit="1" customWidth="1"/>
    <col min="3" max="3" width="24" bestFit="1" customWidth="1"/>
    <col min="4" max="4" width="24" customWidth="1"/>
    <col min="5" max="5" width="10.6640625" bestFit="1" customWidth="1"/>
    <col min="6" max="6" width="11.6640625" bestFit="1" customWidth="1"/>
    <col min="7" max="7" width="14.1640625" bestFit="1" customWidth="1"/>
    <col min="8" max="8" width="12.1640625" bestFit="1" customWidth="1"/>
    <col min="9" max="9" width="9.6640625" bestFit="1" customWidth="1"/>
    <col min="10" max="10" width="13" bestFit="1" customWidth="1"/>
    <col min="11" max="11" width="14.83203125" bestFit="1" customWidth="1"/>
    <col min="12" max="12" width="15.1640625" bestFit="1" customWidth="1"/>
    <col min="13" max="13" width="12.83203125" bestFit="1" customWidth="1"/>
    <col min="14" max="14" width="15.5" bestFit="1" customWidth="1"/>
    <col min="15" max="15" width="16.6640625" bestFit="1" customWidth="1"/>
    <col min="16" max="16" width="11" bestFit="1" customWidth="1"/>
    <col min="17" max="17" width="13.83203125" bestFit="1" customWidth="1"/>
    <col min="18" max="18" width="6.1640625" customWidth="1"/>
    <col min="19" max="19" width="21.1640625" bestFit="1" customWidth="1"/>
    <col min="20" max="20" width="17.5" bestFit="1" customWidth="1"/>
    <col min="21" max="21" width="15" bestFit="1" customWidth="1"/>
    <col min="22" max="24" width="17.83203125" bestFit="1" customWidth="1"/>
    <col min="25" max="25" width="15.33203125" bestFit="1" customWidth="1"/>
    <col min="26" max="27" width="18.1640625" bestFit="1" customWidth="1"/>
    <col min="28" max="28" width="17.1640625" bestFit="1" customWidth="1"/>
  </cols>
  <sheetData>
    <row r="1" spans="1:28" x14ac:dyDescent="0.2">
      <c r="A1" t="s">
        <v>0</v>
      </c>
      <c r="B1" t="s">
        <v>505</v>
      </c>
      <c r="C1" t="s">
        <v>248</v>
      </c>
      <c r="D1" t="s">
        <v>536</v>
      </c>
      <c r="E1" t="s">
        <v>513</v>
      </c>
      <c r="F1" t="s">
        <v>514</v>
      </c>
      <c r="G1" t="s">
        <v>510</v>
      </c>
      <c r="H1" t="s">
        <v>2</v>
      </c>
      <c r="I1" t="s">
        <v>3</v>
      </c>
      <c r="J1" t="s">
        <v>4</v>
      </c>
      <c r="K1" t="s">
        <v>504</v>
      </c>
      <c r="L1" t="s">
        <v>77</v>
      </c>
      <c r="M1" t="s">
        <v>79</v>
      </c>
      <c r="N1" t="s">
        <v>98</v>
      </c>
      <c r="O1" t="s">
        <v>99</v>
      </c>
      <c r="P1" t="s">
        <v>97</v>
      </c>
      <c r="Q1" t="s">
        <v>100</v>
      </c>
      <c r="R1" t="s">
        <v>5</v>
      </c>
      <c r="S1" t="s">
        <v>151</v>
      </c>
      <c r="T1" t="s">
        <v>6</v>
      </c>
      <c r="U1" t="s">
        <v>7</v>
      </c>
      <c r="V1" t="s">
        <v>8</v>
      </c>
      <c r="W1" t="s">
        <v>9</v>
      </c>
      <c r="X1" t="s">
        <v>10</v>
      </c>
      <c r="Y1" t="s">
        <v>11</v>
      </c>
      <c r="Z1" t="s">
        <v>12</v>
      </c>
      <c r="AA1" t="s">
        <v>13</v>
      </c>
      <c r="AB1" t="s">
        <v>149</v>
      </c>
    </row>
    <row r="2" spans="1:28" x14ac:dyDescent="0.2">
      <c r="A2" t="s">
        <v>180</v>
      </c>
      <c r="B2" t="s">
        <v>507</v>
      </c>
      <c r="C2" t="s">
        <v>515</v>
      </c>
      <c r="E2" t="s">
        <v>15</v>
      </c>
      <c r="F2" t="s">
        <v>509</v>
      </c>
      <c r="G2" t="s">
        <v>511</v>
      </c>
      <c r="H2">
        <v>152</v>
      </c>
      <c r="I2" t="s">
        <v>19</v>
      </c>
      <c r="J2" t="s">
        <v>22</v>
      </c>
      <c r="K2">
        <f t="shared" ref="K2:K24" si="0">(L2*P2)/Q2</f>
        <v>2.1467152228800562E-2</v>
      </c>
      <c r="L2">
        <f>13.5*2</f>
        <v>27</v>
      </c>
      <c r="M2" s="7">
        <f t="shared" ref="M2:M24" si="1">L2*P2</f>
        <v>2.1816</v>
      </c>
      <c r="N2">
        <f>45*0.001</f>
        <v>4.4999999999999998E-2</v>
      </c>
      <c r="P2">
        <f>80.8*0.001</f>
        <v>8.0799999999999997E-2</v>
      </c>
      <c r="Q2">
        <v>101.62503049999999</v>
      </c>
      <c r="R2" s="8">
        <v>25</v>
      </c>
      <c r="S2" t="s">
        <v>154</v>
      </c>
      <c r="T2">
        <v>47.745771509999997</v>
      </c>
      <c r="U2">
        <v>6.7445737020000003</v>
      </c>
      <c r="V2">
        <v>37.992947919999999</v>
      </c>
      <c r="W2">
        <v>64.256017259999993</v>
      </c>
      <c r="X2">
        <v>3.1689499999999998E-4</v>
      </c>
      <c r="Y2">
        <v>3.461305E-3</v>
      </c>
      <c r="Z2">
        <v>-4.2706990000000002E-3</v>
      </c>
      <c r="AA2">
        <v>9.3282680000000007E-3</v>
      </c>
      <c r="AB2" t="s">
        <v>508</v>
      </c>
    </row>
    <row r="3" spans="1:28" x14ac:dyDescent="0.2">
      <c r="A3" t="s">
        <v>193</v>
      </c>
      <c r="B3" t="s">
        <v>507</v>
      </c>
      <c r="C3" t="s">
        <v>515</v>
      </c>
      <c r="E3" t="s">
        <v>15</v>
      </c>
      <c r="F3" t="s">
        <v>509</v>
      </c>
      <c r="G3" t="s">
        <v>511</v>
      </c>
      <c r="H3">
        <v>26.2</v>
      </c>
      <c r="I3" t="s">
        <v>16</v>
      </c>
      <c r="J3" t="s">
        <v>17</v>
      </c>
      <c r="K3">
        <f t="shared" si="0"/>
        <v>5.4905263157894735E-2</v>
      </c>
      <c r="L3">
        <f>22+6</f>
        <v>28</v>
      </c>
      <c r="M3" s="7">
        <f t="shared" si="1"/>
        <v>0.36512</v>
      </c>
      <c r="N3">
        <f>9.7*0.001</f>
        <v>9.7000000000000003E-3</v>
      </c>
      <c r="O3">
        <f>((36.2+44.3)/2)*0.1</f>
        <v>4.0250000000000004</v>
      </c>
      <c r="P3">
        <f>13.04*0.001</f>
        <v>1.304E-2</v>
      </c>
      <c r="Q3">
        <v>6.65</v>
      </c>
      <c r="R3" s="8">
        <v>9</v>
      </c>
      <c r="S3" t="s">
        <v>154</v>
      </c>
      <c r="T3">
        <v>9.866557555</v>
      </c>
      <c r="U3">
        <v>1.3369513399999999</v>
      </c>
      <c r="V3">
        <v>7.4100456469999996</v>
      </c>
      <c r="W3">
        <v>12.66630118</v>
      </c>
      <c r="X3">
        <v>5.7991212E-2</v>
      </c>
      <c r="Y3">
        <v>5.1592391000000001E-2</v>
      </c>
      <c r="Z3">
        <v>-4.624151E-3</v>
      </c>
      <c r="AA3">
        <v>0.18586507699999999</v>
      </c>
      <c r="AB3" t="s">
        <v>508</v>
      </c>
    </row>
    <row r="4" spans="1:28" x14ac:dyDescent="0.2">
      <c r="A4" t="s">
        <v>192</v>
      </c>
      <c r="B4" t="s">
        <v>507</v>
      </c>
      <c r="C4" t="s">
        <v>515</v>
      </c>
      <c r="E4" t="s">
        <v>15</v>
      </c>
      <c r="F4" t="s">
        <v>509</v>
      </c>
      <c r="G4" t="s">
        <v>511</v>
      </c>
      <c r="H4">
        <v>25.2</v>
      </c>
      <c r="I4" t="s">
        <v>16</v>
      </c>
      <c r="J4" t="s">
        <v>17</v>
      </c>
      <c r="K4">
        <f t="shared" si="0"/>
        <v>9.5515949758463156E-2</v>
      </c>
      <c r="L4">
        <f>18*1.5</f>
        <v>27</v>
      </c>
      <c r="M4" s="7">
        <f t="shared" si="1"/>
        <v>0.25555499999999998</v>
      </c>
      <c r="O4">
        <f>43.8*0.1</f>
        <v>4.38</v>
      </c>
      <c r="P4">
        <f>9.465*0.001</f>
        <v>9.4649999999999995E-3</v>
      </c>
      <c r="Q4">
        <v>2.6755217390000001</v>
      </c>
      <c r="R4" s="8">
        <v>9</v>
      </c>
      <c r="S4" t="s">
        <v>154</v>
      </c>
      <c r="T4">
        <v>8.5976257280000006</v>
      </c>
      <c r="U4">
        <v>1.151088831</v>
      </c>
      <c r="V4">
        <v>6.5617497470000004</v>
      </c>
      <c r="W4">
        <v>11.07902842</v>
      </c>
      <c r="X4">
        <v>4.0683944E-2</v>
      </c>
      <c r="Y4">
        <v>3.3434380999999999E-2</v>
      </c>
      <c r="Z4">
        <v>-4.2523170000000002E-3</v>
      </c>
      <c r="AA4">
        <v>0.120176554</v>
      </c>
      <c r="AB4" t="s">
        <v>508</v>
      </c>
    </row>
    <row r="5" spans="1:28" x14ac:dyDescent="0.2">
      <c r="A5" t="s">
        <v>161</v>
      </c>
      <c r="B5" t="s">
        <v>507</v>
      </c>
      <c r="C5" t="s">
        <v>515</v>
      </c>
      <c r="E5" t="s">
        <v>15</v>
      </c>
      <c r="F5" s="52" t="s">
        <v>509</v>
      </c>
      <c r="G5" t="s">
        <v>511</v>
      </c>
      <c r="H5">
        <v>50</v>
      </c>
      <c r="I5" t="s">
        <v>16</v>
      </c>
      <c r="J5" t="s">
        <v>17</v>
      </c>
      <c r="K5">
        <f t="shared" si="0"/>
        <v>0.17775530811531315</v>
      </c>
      <c r="L5">
        <v>24</v>
      </c>
      <c r="M5" s="7">
        <f t="shared" si="1"/>
        <v>1.6896</v>
      </c>
      <c r="N5">
        <f>35.2*0.001</f>
        <v>3.5200000000000002E-2</v>
      </c>
      <c r="P5">
        <f>70.4*0.001</f>
        <v>7.0400000000000004E-2</v>
      </c>
      <c r="Q5">
        <v>9.5052013800000008</v>
      </c>
      <c r="R5" s="8">
        <v>7</v>
      </c>
      <c r="S5" t="s">
        <v>154</v>
      </c>
      <c r="AB5" t="s">
        <v>508</v>
      </c>
    </row>
    <row r="6" spans="1:28" x14ac:dyDescent="0.2">
      <c r="A6" s="9" t="s">
        <v>496</v>
      </c>
      <c r="B6" s="9" t="s">
        <v>506</v>
      </c>
      <c r="C6" s="53" t="s">
        <v>530</v>
      </c>
      <c r="D6" s="53" t="s">
        <v>537</v>
      </c>
      <c r="E6" t="s">
        <v>15</v>
      </c>
      <c r="F6" t="s">
        <v>15</v>
      </c>
      <c r="G6" t="s">
        <v>512</v>
      </c>
      <c r="H6" s="8">
        <v>62.761082756819988</v>
      </c>
      <c r="I6" t="s">
        <v>16</v>
      </c>
      <c r="J6" t="s">
        <v>22</v>
      </c>
      <c r="K6">
        <f t="shared" si="0"/>
        <v>0.17212804503582399</v>
      </c>
      <c r="L6" s="6">
        <v>430.1</v>
      </c>
      <c r="M6" s="7">
        <f t="shared" si="1"/>
        <v>16.816910000000004</v>
      </c>
      <c r="N6">
        <f>18.7*0.001</f>
        <v>1.8700000000000001E-2</v>
      </c>
      <c r="O6">
        <f>44.3*0.1</f>
        <v>4.43</v>
      </c>
      <c r="P6">
        <f>39.1*0.001</f>
        <v>3.9100000000000003E-2</v>
      </c>
      <c r="Q6">
        <v>97.7</v>
      </c>
      <c r="R6">
        <v>26.5</v>
      </c>
      <c r="S6" t="s">
        <v>494</v>
      </c>
      <c r="T6" s="27">
        <f>seaturtles.metadata!T18</f>
        <v>7.1807062694623047</v>
      </c>
      <c r="V6" s="28">
        <f>seaturtles.metadata!AA18</f>
        <v>5.6705757135761408</v>
      </c>
      <c r="W6" s="28">
        <f>seaturtles.metadata!AB18</f>
        <v>8.6908368253484696</v>
      </c>
      <c r="X6" s="27">
        <f>seaturtles.metadata!V18</f>
        <v>0.13926206733350766</v>
      </c>
      <c r="Z6" s="29">
        <f>seaturtles.metadata!AD18</f>
        <v>0.10997471101166859</v>
      </c>
      <c r="AA6" s="29">
        <f>seaturtles.metadata!AE18</f>
        <v>0.16854942365534673</v>
      </c>
      <c r="AB6" t="s">
        <v>495</v>
      </c>
    </row>
    <row r="7" spans="1:28" x14ac:dyDescent="0.2">
      <c r="A7" s="9" t="s">
        <v>497</v>
      </c>
      <c r="B7" s="9" t="s">
        <v>506</v>
      </c>
      <c r="C7" s="53" t="s">
        <v>530</v>
      </c>
      <c r="D7" s="53" t="s">
        <v>538</v>
      </c>
      <c r="E7" t="s">
        <v>15</v>
      </c>
      <c r="F7" t="s">
        <v>15</v>
      </c>
      <c r="G7" t="s">
        <v>512</v>
      </c>
      <c r="H7" s="8">
        <v>62.761082756819988</v>
      </c>
      <c r="I7" t="s">
        <v>16</v>
      </c>
      <c r="J7" t="s">
        <v>22</v>
      </c>
      <c r="K7">
        <f t="shared" si="0"/>
        <v>0.17212804503582399</v>
      </c>
      <c r="L7" s="6">
        <v>430.1</v>
      </c>
      <c r="M7" s="7">
        <f t="shared" si="1"/>
        <v>16.816910000000004</v>
      </c>
      <c r="N7">
        <f>18.7*0.001</f>
        <v>1.8700000000000001E-2</v>
      </c>
      <c r="O7">
        <f>44.3*0.1</f>
        <v>4.43</v>
      </c>
      <c r="P7">
        <f>39.1*0.001</f>
        <v>3.9100000000000003E-2</v>
      </c>
      <c r="Q7">
        <v>97.7</v>
      </c>
      <c r="R7">
        <v>26.5</v>
      </c>
      <c r="S7" t="s">
        <v>494</v>
      </c>
      <c r="T7" s="27">
        <f>seaturtles.metadata!T19</f>
        <v>6.6302933312031627</v>
      </c>
      <c r="V7" s="28">
        <f>seaturtles.metadata!AA19</f>
        <v>2.0215668247531751</v>
      </c>
      <c r="W7" s="28">
        <f>seaturtles.metadata!AB19</f>
        <v>11.239019837653149</v>
      </c>
      <c r="X7" s="27">
        <f>seaturtles.metadata!V19</f>
        <v>0.15082288973458366</v>
      </c>
      <c r="Z7" s="29">
        <f>seaturtles.metadata!AD19</f>
        <v>4.5985680432258078E-2</v>
      </c>
      <c r="AA7" s="29">
        <f>seaturtles.metadata!AE19</f>
        <v>0.25566009903690923</v>
      </c>
      <c r="AB7" t="s">
        <v>495</v>
      </c>
    </row>
    <row r="8" spans="1:28" x14ac:dyDescent="0.2">
      <c r="A8" s="9" t="s">
        <v>498</v>
      </c>
      <c r="B8" s="9" t="s">
        <v>506</v>
      </c>
      <c r="C8" s="53" t="s">
        <v>530</v>
      </c>
      <c r="D8" s="53" t="s">
        <v>539</v>
      </c>
      <c r="E8" t="s">
        <v>15</v>
      </c>
      <c r="F8" t="s">
        <v>15</v>
      </c>
      <c r="G8" t="s">
        <v>512</v>
      </c>
      <c r="H8" s="8">
        <v>62.761082756819988</v>
      </c>
      <c r="I8" t="s">
        <v>16</v>
      </c>
      <c r="J8" t="s">
        <v>22</v>
      </c>
      <c r="K8">
        <f t="shared" si="0"/>
        <v>0.17212804503582399</v>
      </c>
      <c r="L8" s="6">
        <v>430.1</v>
      </c>
      <c r="M8" s="7">
        <f t="shared" si="1"/>
        <v>16.816910000000004</v>
      </c>
      <c r="N8">
        <f>18.7*0.001</f>
        <v>1.8700000000000001E-2</v>
      </c>
      <c r="O8">
        <f>44.3*0.1</f>
        <v>4.43</v>
      </c>
      <c r="P8">
        <f>39.1*0.001</f>
        <v>3.9100000000000003E-2</v>
      </c>
      <c r="Q8">
        <v>97.7</v>
      </c>
      <c r="R8">
        <v>26.5</v>
      </c>
      <c r="S8" t="s">
        <v>494</v>
      </c>
      <c r="T8" s="27">
        <f>seaturtles.metadata!T20</f>
        <v>6.1531293806220342</v>
      </c>
      <c r="V8" s="28">
        <f>seaturtles.metadata!AA20</f>
        <v>2.8356148306341202</v>
      </c>
      <c r="W8" s="28">
        <f>seaturtles.metadata!AB20</f>
        <v>9.470643930609949</v>
      </c>
      <c r="X8" s="27">
        <f>seaturtles.metadata!V20</f>
        <v>0.16251892949777494</v>
      </c>
      <c r="Z8" s="29">
        <f>seaturtles.metadata!AD20</f>
        <v>7.4895400086010228E-2</v>
      </c>
      <c r="AA8" s="29">
        <f>seaturtles.metadata!AE20</f>
        <v>0.25014245890953968</v>
      </c>
      <c r="AB8" t="s">
        <v>495</v>
      </c>
    </row>
    <row r="9" spans="1:28" x14ac:dyDescent="0.2">
      <c r="A9" s="9" t="s">
        <v>499</v>
      </c>
      <c r="B9" s="9" t="s">
        <v>506</v>
      </c>
      <c r="C9" s="53" t="s">
        <v>516</v>
      </c>
      <c r="D9" s="53"/>
      <c r="E9" t="s">
        <v>15</v>
      </c>
      <c r="F9" t="s">
        <v>15</v>
      </c>
      <c r="G9" t="s">
        <v>512</v>
      </c>
      <c r="H9" s="8">
        <v>62.761082756819988</v>
      </c>
      <c r="I9" t="s">
        <v>16</v>
      </c>
      <c r="J9" t="s">
        <v>22</v>
      </c>
      <c r="K9">
        <f t="shared" si="0"/>
        <v>0.17384892528147391</v>
      </c>
      <c r="L9" s="6">
        <v>434.4</v>
      </c>
      <c r="M9" s="7">
        <f t="shared" si="1"/>
        <v>16.985040000000001</v>
      </c>
      <c r="N9">
        <f>18.7*0.001</f>
        <v>1.8700000000000001E-2</v>
      </c>
      <c r="O9">
        <f>44.3*0.1</f>
        <v>4.43</v>
      </c>
      <c r="P9">
        <f>39.1*0.001</f>
        <v>3.9100000000000003E-2</v>
      </c>
      <c r="Q9">
        <v>97.7</v>
      </c>
      <c r="R9">
        <v>22.75</v>
      </c>
      <c r="S9" t="s">
        <v>494</v>
      </c>
      <c r="T9" s="27">
        <f>seaturtles.metadata!T21</f>
        <v>6.1531293806220342</v>
      </c>
      <c r="V9" s="28">
        <f>seaturtles.metadata!AA21</f>
        <v>4.5816751201014432</v>
      </c>
      <c r="W9" s="28">
        <f>seaturtles.metadata!AB21</f>
        <v>7.7245836411426252</v>
      </c>
      <c r="X9" s="27">
        <f>seaturtles.metadata!V21</f>
        <v>0.16251892949777494</v>
      </c>
      <c r="Z9" s="29">
        <f>seaturtles.metadata!AD21</f>
        <v>0.12101304714483377</v>
      </c>
      <c r="AA9" s="29">
        <f>seaturtles.metadata!AE21</f>
        <v>0.20402481185071611</v>
      </c>
      <c r="AB9" t="s">
        <v>495</v>
      </c>
    </row>
    <row r="10" spans="1:28" x14ac:dyDescent="0.2">
      <c r="A10" s="9" t="s">
        <v>500</v>
      </c>
      <c r="B10" s="9" t="s">
        <v>506</v>
      </c>
      <c r="C10" s="53" t="s">
        <v>530</v>
      </c>
      <c r="D10" s="53" t="s">
        <v>537</v>
      </c>
      <c r="E10" t="s">
        <v>15</v>
      </c>
      <c r="F10" t="s">
        <v>15</v>
      </c>
      <c r="G10" t="s">
        <v>512</v>
      </c>
      <c r="H10" s="8">
        <v>62.761082756819988</v>
      </c>
      <c r="I10" t="s">
        <v>16</v>
      </c>
      <c r="J10" t="s">
        <v>22</v>
      </c>
      <c r="K10">
        <f t="shared" si="0"/>
        <v>0.17212804503582399</v>
      </c>
      <c r="L10" s="6">
        <v>430.1</v>
      </c>
      <c r="M10" s="7">
        <f t="shared" si="1"/>
        <v>16.816910000000004</v>
      </c>
      <c r="N10">
        <f>18.7*0.001</f>
        <v>1.8700000000000001E-2</v>
      </c>
      <c r="O10">
        <f>44.3*0.1</f>
        <v>4.43</v>
      </c>
      <c r="P10">
        <f>39.1*0.001</f>
        <v>3.9100000000000003E-2</v>
      </c>
      <c r="Q10">
        <v>97.7</v>
      </c>
      <c r="R10">
        <v>22.75</v>
      </c>
      <c r="S10" t="s">
        <v>494</v>
      </c>
      <c r="T10" s="27">
        <f>seaturtles.metadata!T22</f>
        <v>4.7456107905149532</v>
      </c>
      <c r="V10" s="28">
        <f>seaturtles.metadata!AA22</f>
        <v>3.7647038865349125</v>
      </c>
      <c r="W10" s="28">
        <f>seaturtles.metadata!AB22</f>
        <v>5.7265176944949934</v>
      </c>
      <c r="X10" s="27">
        <f>seaturtles.metadata!V22</f>
        <v>0.21072103131565253</v>
      </c>
      <c r="Z10" s="29">
        <f>seaturtles.metadata!AD22</f>
        <v>0.16716547576009699</v>
      </c>
      <c r="AA10" s="29">
        <f>seaturtles.metadata!AE22</f>
        <v>0.25427658687120808</v>
      </c>
      <c r="AB10" t="s">
        <v>495</v>
      </c>
    </row>
    <row r="11" spans="1:28" x14ac:dyDescent="0.2">
      <c r="A11" s="9" t="s">
        <v>501</v>
      </c>
      <c r="B11" s="9" t="s">
        <v>506</v>
      </c>
      <c r="C11" s="53" t="s">
        <v>517</v>
      </c>
      <c r="D11" s="53"/>
      <c r="E11" t="s">
        <v>15</v>
      </c>
      <c r="F11" t="s">
        <v>15</v>
      </c>
      <c r="G11" t="s">
        <v>512</v>
      </c>
      <c r="H11" s="8">
        <v>62.761082756819988</v>
      </c>
      <c r="I11" t="s">
        <v>16</v>
      </c>
      <c r="J11" t="s">
        <v>22</v>
      </c>
      <c r="K11">
        <f t="shared" si="0"/>
        <v>0.16806501864139023</v>
      </c>
      <c r="L11" s="6">
        <v>322.18400000000003</v>
      </c>
      <c r="M11" s="7">
        <f t="shared" si="1"/>
        <v>10.638515680000001</v>
      </c>
      <c r="N11">
        <f>17.51*0.001</f>
        <v>1.7510000000000001E-2</v>
      </c>
      <c r="O11">
        <f>42.62*0.1</f>
        <v>4.2619999999999996</v>
      </c>
      <c r="P11">
        <f>33.02*0.001</f>
        <v>3.3020000000000001E-2</v>
      </c>
      <c r="Q11">
        <v>63.3</v>
      </c>
      <c r="R11" s="9">
        <v>36.200000000000003</v>
      </c>
      <c r="S11" t="s">
        <v>494</v>
      </c>
      <c r="T11" s="27">
        <f>seaturtles.metadata!T23</f>
        <v>4.481420117724551</v>
      </c>
      <c r="V11" s="28">
        <f>seaturtles.metadata!AA23</f>
        <v>2.0212371494601258</v>
      </c>
      <c r="W11" s="28">
        <f>seaturtles.metadata!AB23</f>
        <v>6.9416030859889766</v>
      </c>
      <c r="X11" s="27">
        <f>seaturtles.metadata!V23</f>
        <v>0.22314355131420971</v>
      </c>
      <c r="Z11" s="29">
        <f>seaturtles.metadata!AD23</f>
        <v>0.10064355131420971</v>
      </c>
      <c r="AA11" s="29">
        <f>seaturtles.metadata!AE23</f>
        <v>0.34564355131420971</v>
      </c>
      <c r="AB11" t="s">
        <v>495</v>
      </c>
    </row>
    <row r="12" spans="1:28" x14ac:dyDescent="0.2">
      <c r="A12" t="s">
        <v>199</v>
      </c>
      <c r="B12" t="s">
        <v>507</v>
      </c>
      <c r="C12" t="s">
        <v>515</v>
      </c>
      <c r="E12" t="s">
        <v>15</v>
      </c>
      <c r="F12" t="s">
        <v>509</v>
      </c>
      <c r="G12" t="s">
        <v>511</v>
      </c>
      <c r="H12">
        <v>37</v>
      </c>
      <c r="I12" t="s">
        <v>16</v>
      </c>
      <c r="J12" t="s">
        <v>17</v>
      </c>
      <c r="K12">
        <f t="shared" si="0"/>
        <v>0.22232026868155713</v>
      </c>
      <c r="L12">
        <f>13.9*1.5</f>
        <v>20.85</v>
      </c>
      <c r="M12" s="7">
        <f t="shared" si="1"/>
        <v>0.15387300000000001</v>
      </c>
      <c r="N12">
        <f>3.7*0.01</f>
        <v>3.7000000000000005E-2</v>
      </c>
      <c r="O12">
        <f>((25+30)/2)*0.1</f>
        <v>2.75</v>
      </c>
      <c r="P12">
        <f>7.38*0.001</f>
        <v>7.3800000000000003E-3</v>
      </c>
      <c r="Q12">
        <v>0.69212312899999995</v>
      </c>
      <c r="R12" s="8">
        <v>10</v>
      </c>
      <c r="S12" t="s">
        <v>154</v>
      </c>
      <c r="T12">
        <v>21.07124147</v>
      </c>
      <c r="U12">
        <v>2.6912268469999998</v>
      </c>
      <c r="V12">
        <v>16.89328944</v>
      </c>
      <c r="W12">
        <v>27.327295960000001</v>
      </c>
      <c r="X12">
        <v>8.1182000000000008E-3</v>
      </c>
      <c r="Y12">
        <v>1.1812736000000001E-2</v>
      </c>
      <c r="Z12">
        <v>-5.7850200000000001E-3</v>
      </c>
      <c r="AA12">
        <v>3.8819200999999998E-2</v>
      </c>
      <c r="AB12" t="s">
        <v>508</v>
      </c>
    </row>
    <row r="13" spans="1:28" x14ac:dyDescent="0.2">
      <c r="A13" t="s">
        <v>198</v>
      </c>
      <c r="B13" t="s">
        <v>507</v>
      </c>
      <c r="C13" t="s">
        <v>515</v>
      </c>
      <c r="E13" t="s">
        <v>15</v>
      </c>
      <c r="F13" t="s">
        <v>509</v>
      </c>
      <c r="G13" t="s">
        <v>511</v>
      </c>
      <c r="H13">
        <v>35</v>
      </c>
      <c r="I13" t="s">
        <v>16</v>
      </c>
      <c r="J13" t="s">
        <v>17</v>
      </c>
      <c r="K13">
        <f t="shared" si="0"/>
        <v>0.20724088382689274</v>
      </c>
      <c r="L13">
        <f>6.5*2</f>
        <v>13</v>
      </c>
      <c r="M13" s="7">
        <f t="shared" si="1"/>
        <v>0.17549999999999999</v>
      </c>
      <c r="P13">
        <f>13.5*0.001</f>
        <v>1.35E-2</v>
      </c>
      <c r="Q13">
        <v>0.84684062699999996</v>
      </c>
      <c r="R13" s="8">
        <v>7</v>
      </c>
      <c r="S13" t="s">
        <v>154</v>
      </c>
      <c r="T13">
        <v>14.19721019</v>
      </c>
      <c r="U13">
        <v>2.5879863360000002</v>
      </c>
      <c r="V13">
        <v>10.46182554</v>
      </c>
      <c r="W13">
        <v>19.674915129999999</v>
      </c>
      <c r="X13">
        <v>6.6380349999999996E-3</v>
      </c>
      <c r="Y13">
        <v>3.4459814999999998E-2</v>
      </c>
      <c r="Z13">
        <v>-2.262315E-3</v>
      </c>
      <c r="AA13">
        <v>9.1463183000000003E-2</v>
      </c>
      <c r="AB13" t="s">
        <v>508</v>
      </c>
    </row>
    <row r="14" spans="1:28" x14ac:dyDescent="0.2">
      <c r="A14" t="s">
        <v>203</v>
      </c>
      <c r="B14" t="s">
        <v>507</v>
      </c>
      <c r="C14" t="s">
        <v>531</v>
      </c>
      <c r="E14" t="s">
        <v>15</v>
      </c>
      <c r="F14" t="s">
        <v>15</v>
      </c>
      <c r="G14" t="s">
        <v>512</v>
      </c>
      <c r="H14">
        <v>45</v>
      </c>
      <c r="I14" t="s">
        <v>16</v>
      </c>
      <c r="J14" t="s">
        <v>22</v>
      </c>
      <c r="K14">
        <f t="shared" si="0"/>
        <v>0.17603634394647624</v>
      </c>
      <c r="L14" s="6">
        <v>383.50850000000003</v>
      </c>
      <c r="M14" s="7">
        <f t="shared" si="1"/>
        <v>17.98654865</v>
      </c>
      <c r="N14">
        <f>24*0.001</f>
        <v>2.4E-2</v>
      </c>
      <c r="P14">
        <f>46.9*0.001</f>
        <v>4.6899999999999997E-2</v>
      </c>
      <c r="Q14">
        <v>102.1752</v>
      </c>
      <c r="R14" s="8">
        <v>9</v>
      </c>
      <c r="S14" t="s">
        <v>153</v>
      </c>
      <c r="T14">
        <v>16.731838199999999</v>
      </c>
      <c r="U14">
        <v>0.77190820999999998</v>
      </c>
      <c r="V14">
        <v>15.2363927</v>
      </c>
      <c r="W14">
        <v>18.2803702</v>
      </c>
      <c r="X14">
        <v>8.4807880000000002E-2</v>
      </c>
      <c r="Y14">
        <v>1.0063681E-2</v>
      </c>
      <c r="Z14">
        <v>6.5083429999999998E-2</v>
      </c>
      <c r="AA14">
        <v>0.10453229999999999</v>
      </c>
      <c r="AB14" t="s">
        <v>221</v>
      </c>
    </row>
    <row r="15" spans="1:28" x14ac:dyDescent="0.2">
      <c r="A15" t="s">
        <v>242</v>
      </c>
      <c r="B15" t="s">
        <v>507</v>
      </c>
      <c r="C15" t="s">
        <v>532</v>
      </c>
      <c r="E15" t="s">
        <v>72</v>
      </c>
      <c r="F15" t="s">
        <v>15</v>
      </c>
      <c r="G15" t="s">
        <v>512</v>
      </c>
      <c r="H15">
        <v>32</v>
      </c>
      <c r="I15" t="s">
        <v>16</v>
      </c>
      <c r="J15" t="s">
        <v>22</v>
      </c>
      <c r="K15">
        <f t="shared" si="0"/>
        <v>8.6340391817351175E-2</v>
      </c>
      <c r="L15" s="6">
        <v>195.84209999999999</v>
      </c>
      <c r="M15" s="7">
        <f t="shared" si="1"/>
        <v>9.1849944899999993</v>
      </c>
      <c r="N15">
        <f>24*0.001</f>
        <v>2.4E-2</v>
      </c>
      <c r="P15">
        <f>46.9*0.001</f>
        <v>4.6899999999999997E-2</v>
      </c>
      <c r="Q15">
        <v>106.38120000000001</v>
      </c>
      <c r="R15" s="8">
        <v>9</v>
      </c>
      <c r="S15" t="s">
        <v>153</v>
      </c>
      <c r="T15">
        <v>9.6423448</v>
      </c>
      <c r="U15">
        <v>0.99387764999999995</v>
      </c>
      <c r="V15">
        <v>7.8049264000000003</v>
      </c>
      <c r="W15">
        <v>11.719288499999999</v>
      </c>
      <c r="X15">
        <v>9.0974280000000005E-2</v>
      </c>
      <c r="Y15">
        <v>2.374807E-2</v>
      </c>
      <c r="Z15">
        <v>4.4428919999999997E-2</v>
      </c>
      <c r="AA15">
        <v>0.13751959999999999</v>
      </c>
      <c r="AB15" t="s">
        <v>221</v>
      </c>
    </row>
    <row r="16" spans="1:28" x14ac:dyDescent="0.2">
      <c r="A16" t="s">
        <v>243</v>
      </c>
      <c r="B16" t="s">
        <v>507</v>
      </c>
      <c r="C16" t="s">
        <v>533</v>
      </c>
      <c r="E16" t="s">
        <v>73</v>
      </c>
      <c r="F16" t="s">
        <v>15</v>
      </c>
      <c r="G16" t="s">
        <v>512</v>
      </c>
      <c r="H16">
        <v>43</v>
      </c>
      <c r="I16" t="s">
        <v>16</v>
      </c>
      <c r="J16" t="s">
        <v>22</v>
      </c>
      <c r="K16">
        <f t="shared" si="0"/>
        <v>0.10604330755954434</v>
      </c>
      <c r="L16" s="6">
        <v>229.2593</v>
      </c>
      <c r="M16" s="7">
        <f t="shared" si="1"/>
        <v>10.752261169999999</v>
      </c>
      <c r="N16">
        <f>24*0.001</f>
        <v>2.4E-2</v>
      </c>
      <c r="P16">
        <f>46.9*0.001</f>
        <v>4.6899999999999997E-2</v>
      </c>
      <c r="Q16">
        <v>101.395</v>
      </c>
      <c r="R16" s="8">
        <v>12</v>
      </c>
      <c r="S16" t="s">
        <v>153</v>
      </c>
      <c r="T16">
        <v>18.015764300000001</v>
      </c>
      <c r="U16">
        <v>1.2659450699999999</v>
      </c>
      <c r="V16">
        <v>15.6098737</v>
      </c>
      <c r="W16">
        <v>20.554613700000001</v>
      </c>
      <c r="X16">
        <v>9.0536259999999993E-2</v>
      </c>
      <c r="Y16">
        <v>1.6089630000000001E-2</v>
      </c>
      <c r="Z16">
        <v>5.900118E-2</v>
      </c>
      <c r="AA16">
        <v>0.1220714</v>
      </c>
      <c r="AB16" t="s">
        <v>221</v>
      </c>
    </row>
    <row r="17" spans="1:28" x14ac:dyDescent="0.2">
      <c r="A17" t="s">
        <v>244</v>
      </c>
      <c r="B17" t="s">
        <v>507</v>
      </c>
      <c r="C17" t="s">
        <v>534</v>
      </c>
      <c r="E17" t="s">
        <v>74</v>
      </c>
      <c r="F17" t="s">
        <v>15</v>
      </c>
      <c r="G17" t="s">
        <v>512</v>
      </c>
      <c r="H17">
        <v>37</v>
      </c>
      <c r="I17" t="s">
        <v>16</v>
      </c>
      <c r="J17" t="s">
        <v>22</v>
      </c>
      <c r="K17">
        <f t="shared" si="0"/>
        <v>0.18549748478761452</v>
      </c>
      <c r="L17" s="6">
        <v>403.64490000000001</v>
      </c>
      <c r="M17" s="7">
        <f t="shared" si="1"/>
        <v>18.930945810000001</v>
      </c>
      <c r="N17">
        <f>24*0.001</f>
        <v>2.4E-2</v>
      </c>
      <c r="P17">
        <f>46.9*0.001</f>
        <v>4.6899999999999997E-2</v>
      </c>
      <c r="Q17">
        <v>102.05500000000001</v>
      </c>
      <c r="R17" s="8">
        <v>12</v>
      </c>
      <c r="S17" t="s">
        <v>153</v>
      </c>
      <c r="T17">
        <v>19.737048000000001</v>
      </c>
      <c r="U17">
        <v>1.3072029700000001</v>
      </c>
      <c r="V17">
        <v>16.993928700000001</v>
      </c>
      <c r="W17">
        <v>22.184849</v>
      </c>
      <c r="X17">
        <v>0.15996160000000001</v>
      </c>
      <c r="Y17">
        <v>2.9198519999999999E-2</v>
      </c>
      <c r="Z17">
        <v>0.10273355000000001</v>
      </c>
      <c r="AA17">
        <v>0.21718960000000001</v>
      </c>
      <c r="AB17" t="s">
        <v>221</v>
      </c>
    </row>
    <row r="18" spans="1:28" x14ac:dyDescent="0.2">
      <c r="A18" t="s">
        <v>245</v>
      </c>
      <c r="B18" t="s">
        <v>507</v>
      </c>
      <c r="C18" t="s">
        <v>535</v>
      </c>
      <c r="E18" t="s">
        <v>75</v>
      </c>
      <c r="F18" t="s">
        <v>15</v>
      </c>
      <c r="G18" t="s">
        <v>512</v>
      </c>
      <c r="H18">
        <v>45</v>
      </c>
      <c r="I18" t="s">
        <v>16</v>
      </c>
      <c r="J18" t="s">
        <v>22</v>
      </c>
      <c r="K18">
        <f t="shared" si="0"/>
        <v>0.2766944973039383</v>
      </c>
      <c r="L18" s="6">
        <v>605.05240000000003</v>
      </c>
      <c r="M18" s="7">
        <f t="shared" si="1"/>
        <v>28.376957560000001</v>
      </c>
      <c r="N18">
        <f>24*0.001</f>
        <v>2.4E-2</v>
      </c>
      <c r="P18">
        <f>46.9*0.001</f>
        <v>4.6899999999999997E-2</v>
      </c>
      <c r="Q18">
        <v>102.557</v>
      </c>
      <c r="R18" s="8">
        <v>9</v>
      </c>
      <c r="S18" t="s">
        <v>153</v>
      </c>
      <c r="T18">
        <v>19.441658400000001</v>
      </c>
      <c r="U18">
        <v>2.37383152</v>
      </c>
      <c r="V18">
        <v>14.4877787</v>
      </c>
      <c r="W18">
        <v>23.864614499999998</v>
      </c>
      <c r="X18">
        <v>9.265959E-2</v>
      </c>
      <c r="Y18">
        <v>2.606611E-2</v>
      </c>
      <c r="Z18">
        <v>4.1570950000000002E-2</v>
      </c>
      <c r="AA18">
        <v>0.14374819999999999</v>
      </c>
      <c r="AB18" t="s">
        <v>221</v>
      </c>
    </row>
    <row r="19" spans="1:28" x14ac:dyDescent="0.2">
      <c r="A19" s="9" t="s">
        <v>486</v>
      </c>
      <c r="B19" s="9" t="s">
        <v>506</v>
      </c>
      <c r="C19" s="53" t="s">
        <v>523</v>
      </c>
      <c r="D19" s="53"/>
      <c r="E19" t="s">
        <v>15</v>
      </c>
      <c r="F19" t="s">
        <v>15</v>
      </c>
      <c r="G19" t="s">
        <v>512</v>
      </c>
      <c r="H19" s="8">
        <v>74.851972660942081</v>
      </c>
      <c r="I19" t="s">
        <v>16</v>
      </c>
      <c r="J19" t="s">
        <v>22</v>
      </c>
      <c r="K19">
        <f t="shared" si="0"/>
        <v>0.13629253736192334</v>
      </c>
      <c r="L19" s="6">
        <v>273.38444444444445</v>
      </c>
      <c r="M19" s="7">
        <f t="shared" si="1"/>
        <v>13.983614333333334</v>
      </c>
      <c r="N19" s="33">
        <f>AVERAGE(31,29)*0.001</f>
        <v>0.03</v>
      </c>
      <c r="O19" s="6">
        <f>AVERAGE(53,51.1)*0.1</f>
        <v>5.2050000000000001</v>
      </c>
      <c r="P19" s="9">
        <f>AVERAGE(50,52.3)*0.001</f>
        <v>5.1150000000000001E-2</v>
      </c>
      <c r="Q19">
        <v>102.6</v>
      </c>
      <c r="R19" s="9">
        <v>27.3</v>
      </c>
      <c r="S19" t="s">
        <v>494</v>
      </c>
      <c r="T19" s="27">
        <f>seaturtles.metadata!T8</f>
        <v>13.578370385286</v>
      </c>
      <c r="V19" s="28">
        <f>seaturtles.metadata!AA8</f>
        <v>12.800395360641817</v>
      </c>
      <c r="W19" s="28">
        <f>seaturtles.metadata!AB8</f>
        <v>14.356345409930183</v>
      </c>
      <c r="X19" s="27">
        <f>seaturtles.metadata!V8</f>
        <v>7.3646540168298483E-2</v>
      </c>
      <c r="Z19" s="29">
        <f>seaturtles.metadata!AD8</f>
        <v>6.9426949210279101E-2</v>
      </c>
      <c r="AA19" s="29">
        <f>seaturtles.metadata!AE8</f>
        <v>7.7866131126317864E-2</v>
      </c>
      <c r="AB19" t="s">
        <v>495</v>
      </c>
    </row>
    <row r="20" spans="1:28" x14ac:dyDescent="0.2">
      <c r="A20" s="9" t="s">
        <v>487</v>
      </c>
      <c r="B20" s="9" t="s">
        <v>506</v>
      </c>
      <c r="C20" s="53" t="s">
        <v>524</v>
      </c>
      <c r="D20" s="53"/>
      <c r="E20" t="s">
        <v>15</v>
      </c>
      <c r="F20" t="s">
        <v>15</v>
      </c>
      <c r="G20" t="s">
        <v>512</v>
      </c>
      <c r="H20" s="8">
        <v>74.851972660942081</v>
      </c>
      <c r="I20" t="s">
        <v>16</v>
      </c>
      <c r="J20" t="s">
        <v>22</v>
      </c>
      <c r="K20">
        <f t="shared" si="0"/>
        <v>0.18143302369668249</v>
      </c>
      <c r="L20" s="6">
        <v>397.12</v>
      </c>
      <c r="M20" s="7">
        <f t="shared" si="1"/>
        <v>19.141184000000003</v>
      </c>
      <c r="N20">
        <f>25.87*0.001</f>
        <v>2.5870000000000001E-2</v>
      </c>
      <c r="O20" s="6">
        <f>51.52*0.1</f>
        <v>5.152000000000001</v>
      </c>
      <c r="P20">
        <f>48.2*0.001</f>
        <v>4.8200000000000007E-2</v>
      </c>
      <c r="Q20">
        <v>105.5</v>
      </c>
      <c r="R20" s="9">
        <v>27.3</v>
      </c>
      <c r="S20" t="s">
        <v>494</v>
      </c>
      <c r="T20" s="27">
        <f>seaturtles.metadata!T9</f>
        <v>6.1531293806220342</v>
      </c>
      <c r="V20" s="28">
        <f>seaturtles.metadata!AA9</f>
        <v>4.843584163521542</v>
      </c>
      <c r="W20" s="28">
        <f>seaturtles.metadata!AB9</f>
        <v>7.4626745977225264</v>
      </c>
      <c r="X20" s="27">
        <f>seaturtles.metadata!V9</f>
        <v>0.16251892949777494</v>
      </c>
      <c r="Z20" s="29">
        <f>seaturtles.metadata!AD9</f>
        <v>0.1279306942036573</v>
      </c>
      <c r="AA20" s="29">
        <f>seaturtles.metadata!AE9</f>
        <v>0.19710716479189258</v>
      </c>
      <c r="AB20" t="s">
        <v>495</v>
      </c>
    </row>
    <row r="21" spans="1:28" x14ac:dyDescent="0.2">
      <c r="A21" t="s">
        <v>175</v>
      </c>
      <c r="B21" t="s">
        <v>507</v>
      </c>
      <c r="C21" t="s">
        <v>515</v>
      </c>
      <c r="E21" t="s">
        <v>15</v>
      </c>
      <c r="F21" t="s">
        <v>509</v>
      </c>
      <c r="G21" t="s">
        <v>511</v>
      </c>
      <c r="H21">
        <v>20</v>
      </c>
      <c r="I21" t="s">
        <v>19</v>
      </c>
      <c r="J21" t="s">
        <v>17</v>
      </c>
      <c r="K21">
        <f t="shared" si="0"/>
        <v>0.16018680677174546</v>
      </c>
      <c r="L21">
        <f>3*2</f>
        <v>6</v>
      </c>
      <c r="M21" s="7">
        <f t="shared" si="1"/>
        <v>0.20579999999999998</v>
      </c>
      <c r="P21">
        <f>34.3*0.001</f>
        <v>3.4299999999999997E-2</v>
      </c>
      <c r="Q21">
        <v>1.2847500000000001</v>
      </c>
      <c r="R21" s="8">
        <v>12</v>
      </c>
      <c r="S21" t="s">
        <v>154</v>
      </c>
      <c r="T21">
        <v>15.33354551</v>
      </c>
      <c r="U21">
        <v>2.7747788280000001</v>
      </c>
      <c r="V21">
        <v>11.48453043</v>
      </c>
      <c r="W21">
        <v>21.963991910000001</v>
      </c>
      <c r="X21">
        <v>6.602279E-3</v>
      </c>
      <c r="Y21">
        <v>1.7838942E-2</v>
      </c>
      <c r="Z21">
        <v>-1.4244155999999999E-2</v>
      </c>
      <c r="AA21">
        <v>5.5127423000000002E-2</v>
      </c>
      <c r="AB21" t="s">
        <v>508</v>
      </c>
    </row>
    <row r="22" spans="1:28" x14ac:dyDescent="0.2">
      <c r="A22" t="s">
        <v>174</v>
      </c>
      <c r="B22" t="s">
        <v>507</v>
      </c>
      <c r="C22" t="s">
        <v>515</v>
      </c>
      <c r="E22" t="s">
        <v>15</v>
      </c>
      <c r="F22" s="52" t="s">
        <v>509</v>
      </c>
      <c r="G22" t="s">
        <v>511</v>
      </c>
      <c r="H22">
        <v>177</v>
      </c>
      <c r="I22" t="s">
        <v>19</v>
      </c>
      <c r="J22" t="s">
        <v>22</v>
      </c>
      <c r="K22">
        <f t="shared" si="0"/>
        <v>3.5000152186879824E-2</v>
      </c>
      <c r="L22" s="6">
        <f>10*3.333382148</f>
        <v>33.333821479999997</v>
      </c>
      <c r="M22" s="7">
        <f t="shared" si="1"/>
        <v>3.9917251222300001</v>
      </c>
      <c r="P22">
        <f>119.75*0.001</f>
        <v>0.11975000000000001</v>
      </c>
      <c r="Q22">
        <v>114.0487933</v>
      </c>
      <c r="R22" s="8">
        <v>20</v>
      </c>
      <c r="S22" t="s">
        <v>154</v>
      </c>
      <c r="AB22" t="s">
        <v>508</v>
      </c>
    </row>
    <row r="23" spans="1:28" x14ac:dyDescent="0.2">
      <c r="A23" t="s">
        <v>200</v>
      </c>
      <c r="B23" t="s">
        <v>507</v>
      </c>
      <c r="C23" t="s">
        <v>515</v>
      </c>
      <c r="E23" t="s">
        <v>15</v>
      </c>
      <c r="F23" t="s">
        <v>509</v>
      </c>
      <c r="G23" t="s">
        <v>511</v>
      </c>
      <c r="H23">
        <v>35.799999999999997</v>
      </c>
      <c r="I23" t="s">
        <v>16</v>
      </c>
      <c r="J23" t="s">
        <v>22</v>
      </c>
      <c r="K23">
        <f t="shared" si="0"/>
        <v>6.2472184810472738E-2</v>
      </c>
      <c r="L23">
        <v>12</v>
      </c>
      <c r="M23" s="7">
        <f t="shared" si="1"/>
        <v>0.34573199999999998</v>
      </c>
      <c r="P23">
        <f>28.811*0.001</f>
        <v>2.8811E-2</v>
      </c>
      <c r="Q23">
        <v>5.5341749460000003</v>
      </c>
      <c r="R23" s="8">
        <v>5</v>
      </c>
      <c r="S23" t="s">
        <v>154</v>
      </c>
      <c r="T23">
        <v>15.98806933</v>
      </c>
      <c r="U23">
        <v>1.4335841229999999</v>
      </c>
      <c r="V23">
        <v>13.32962208</v>
      </c>
      <c r="W23">
        <v>19.015534760000001</v>
      </c>
      <c r="X23">
        <v>7.3939569999999996E-3</v>
      </c>
      <c r="Y23">
        <v>1.1450856000000001E-2</v>
      </c>
      <c r="Z23">
        <v>-8.3423579999999994E-3</v>
      </c>
      <c r="AA23">
        <v>3.6158703E-2</v>
      </c>
      <c r="AB23" t="s">
        <v>508</v>
      </c>
    </row>
    <row r="24" spans="1:28" x14ac:dyDescent="0.2">
      <c r="A24" t="s">
        <v>240</v>
      </c>
      <c r="B24" t="s">
        <v>507</v>
      </c>
      <c r="C24" t="s">
        <v>515</v>
      </c>
      <c r="E24" t="s">
        <v>15</v>
      </c>
      <c r="F24" t="s">
        <v>15</v>
      </c>
      <c r="G24" t="s">
        <v>511</v>
      </c>
      <c r="H24">
        <v>47</v>
      </c>
      <c r="I24" t="s">
        <v>16</v>
      </c>
      <c r="J24" t="s">
        <v>17</v>
      </c>
      <c r="K24">
        <f t="shared" si="0"/>
        <v>2.8072069912391581E-2</v>
      </c>
      <c r="L24">
        <v>26.45</v>
      </c>
      <c r="M24" s="7">
        <f t="shared" si="1"/>
        <v>0.32202875000000003</v>
      </c>
      <c r="O24">
        <f>((24+31)/2)*0.1</f>
        <v>2.75</v>
      </c>
      <c r="P24">
        <f>12.175*0.001</f>
        <v>1.2175000000000002E-2</v>
      </c>
      <c r="Q24">
        <v>11.471500000000001</v>
      </c>
      <c r="R24" s="8">
        <v>11</v>
      </c>
      <c r="S24" t="s">
        <v>154</v>
      </c>
      <c r="T24">
        <v>11.94667544</v>
      </c>
      <c r="U24">
        <v>1.241180092</v>
      </c>
      <c r="V24">
        <v>9.7923337359999998</v>
      </c>
      <c r="W24">
        <v>14.65554468</v>
      </c>
      <c r="X24">
        <v>8.9034260000000007E-3</v>
      </c>
      <c r="Y24">
        <v>1.6320823000000002E-2</v>
      </c>
      <c r="Z24">
        <v>-1.1843677E-2</v>
      </c>
      <c r="AA24">
        <v>5.2753873E-2</v>
      </c>
      <c r="AB24" t="s">
        <v>508</v>
      </c>
    </row>
    <row r="25" spans="1:28" x14ac:dyDescent="0.2">
      <c r="A25" s="9" t="s">
        <v>210</v>
      </c>
      <c r="B25" s="9" t="s">
        <v>506</v>
      </c>
      <c r="C25" s="9" t="s">
        <v>530</v>
      </c>
      <c r="D25" s="9" t="s">
        <v>540</v>
      </c>
      <c r="E25" s="9" t="s">
        <v>15</v>
      </c>
      <c r="F25" t="s">
        <v>15</v>
      </c>
      <c r="G25" t="s">
        <v>511</v>
      </c>
      <c r="H25" s="9">
        <v>47</v>
      </c>
      <c r="I25" s="9" t="s">
        <v>16</v>
      </c>
      <c r="J25" s="9" t="s">
        <v>17</v>
      </c>
      <c r="K25" s="9">
        <v>6.2713025000000006E-2</v>
      </c>
      <c r="L25" s="29">
        <v>26.631</v>
      </c>
      <c r="M25" s="29">
        <v>0.32400000000000001</v>
      </c>
      <c r="N25" s="9"/>
      <c r="O25" s="9">
        <v>2.75</v>
      </c>
      <c r="P25" s="9">
        <v>1.2175E-2</v>
      </c>
      <c r="Q25" s="9">
        <v>5.17</v>
      </c>
      <c r="R25" s="49">
        <v>12.2</v>
      </c>
      <c r="S25" s="9" t="s">
        <v>152</v>
      </c>
      <c r="T25" s="9">
        <v>21.5427514</v>
      </c>
      <c r="U25" s="9"/>
      <c r="V25" s="9"/>
      <c r="W25" s="9"/>
      <c r="X25">
        <v>7.0440699999999999E-4</v>
      </c>
      <c r="Y25" s="9"/>
      <c r="Z25" s="9"/>
      <c r="AA25" s="9"/>
      <c r="AB25" s="9" t="s">
        <v>220</v>
      </c>
    </row>
    <row r="26" spans="1:28" x14ac:dyDescent="0.2">
      <c r="A26" t="s">
        <v>177</v>
      </c>
      <c r="B26" t="s">
        <v>507</v>
      </c>
      <c r="C26" t="s">
        <v>515</v>
      </c>
      <c r="E26" t="s">
        <v>15</v>
      </c>
      <c r="F26" t="s">
        <v>509</v>
      </c>
      <c r="G26" t="s">
        <v>511</v>
      </c>
      <c r="H26">
        <v>32</v>
      </c>
      <c r="I26" t="s">
        <v>19</v>
      </c>
      <c r="J26" t="s">
        <v>22</v>
      </c>
      <c r="K26">
        <f>(L26*P26)/Q26</f>
        <v>0.11968743378461538</v>
      </c>
      <c r="L26" s="6">
        <v>3.0838383839999999</v>
      </c>
      <c r="M26" s="7">
        <f>L26*P26</f>
        <v>8.5576515155999996E-2</v>
      </c>
      <c r="N26">
        <f>13.75*0.001</f>
        <v>1.375E-2</v>
      </c>
      <c r="O26">
        <f>((30+39)/2)*0.1</f>
        <v>3.45</v>
      </c>
      <c r="P26">
        <f>27.75*0.001</f>
        <v>2.775E-2</v>
      </c>
      <c r="Q26" s="2">
        <f>715*0.001</f>
        <v>0.71499999999999997</v>
      </c>
      <c r="R26" s="8">
        <v>10</v>
      </c>
      <c r="S26" t="s">
        <v>154</v>
      </c>
      <c r="T26">
        <v>3.332190314</v>
      </c>
      <c r="U26">
        <v>0.63579150100000004</v>
      </c>
      <c r="V26">
        <v>2.2156509529999999</v>
      </c>
      <c r="W26">
        <v>4.7133197659999997</v>
      </c>
      <c r="X26">
        <v>-1.4052801E-2</v>
      </c>
      <c r="Y26">
        <v>4.143355E-2</v>
      </c>
      <c r="Z26">
        <v>-0.12389151700000001</v>
      </c>
      <c r="AA26">
        <v>4.5454977000000001E-2</v>
      </c>
      <c r="AB26" t="s">
        <v>508</v>
      </c>
    </row>
    <row r="27" spans="1:28" x14ac:dyDescent="0.2">
      <c r="A27" t="s">
        <v>239</v>
      </c>
      <c r="B27" t="s">
        <v>507</v>
      </c>
      <c r="C27" t="s">
        <v>515</v>
      </c>
      <c r="E27" t="s">
        <v>15</v>
      </c>
      <c r="F27" t="s">
        <v>15</v>
      </c>
      <c r="G27" t="s">
        <v>511</v>
      </c>
      <c r="H27">
        <v>61</v>
      </c>
      <c r="I27" t="s">
        <v>16</v>
      </c>
      <c r="J27" t="s">
        <v>17</v>
      </c>
      <c r="K27">
        <f>(L27*P27)/Q27</f>
        <v>0.13124280360480481</v>
      </c>
      <c r="L27">
        <f>6*2</f>
        <v>12</v>
      </c>
      <c r="M27" s="7">
        <f>L27*P27</f>
        <v>6.3539999999999999E-2</v>
      </c>
      <c r="O27">
        <f>((24+30)/2)*0.1</f>
        <v>2.7</v>
      </c>
      <c r="P27">
        <f>5.295*0.001</f>
        <v>5.2950000000000002E-3</v>
      </c>
      <c r="Q27">
        <v>0.48414083099999999</v>
      </c>
      <c r="R27" s="8">
        <v>6</v>
      </c>
      <c r="S27" t="s">
        <v>154</v>
      </c>
      <c r="T27">
        <v>11.122526710000001</v>
      </c>
      <c r="U27">
        <v>0.56062112399999997</v>
      </c>
      <c r="V27">
        <v>10.06003417</v>
      </c>
      <c r="W27">
        <v>12.236503770000001</v>
      </c>
      <c r="X27">
        <v>0.101735179</v>
      </c>
      <c r="Y27">
        <v>3.4496236E-2</v>
      </c>
      <c r="Z27">
        <v>3.7697672000000002E-2</v>
      </c>
      <c r="AA27">
        <v>0.17374189700000001</v>
      </c>
      <c r="AB27" t="s">
        <v>508</v>
      </c>
    </row>
    <row r="28" spans="1:28" x14ac:dyDescent="0.2">
      <c r="A28" s="9" t="s">
        <v>208</v>
      </c>
      <c r="B28" s="9" t="s">
        <v>506</v>
      </c>
      <c r="C28" s="9" t="s">
        <v>530</v>
      </c>
      <c r="D28" s="9" t="s">
        <v>541</v>
      </c>
      <c r="E28" s="9" t="s">
        <v>15</v>
      </c>
      <c r="F28" t="s">
        <v>15</v>
      </c>
      <c r="G28" t="s">
        <v>511</v>
      </c>
      <c r="H28" s="9">
        <v>61</v>
      </c>
      <c r="I28" s="9" t="s">
        <v>16</v>
      </c>
      <c r="J28" s="9" t="s">
        <v>17</v>
      </c>
      <c r="K28" s="9">
        <v>0.17601107999999999</v>
      </c>
      <c r="L28" s="9">
        <v>12</v>
      </c>
      <c r="M28" s="29">
        <v>6.4000000000000001E-2</v>
      </c>
      <c r="N28" s="9"/>
      <c r="O28" s="9">
        <v>2.7</v>
      </c>
      <c r="P28" s="9">
        <v>5.2950000000000002E-3</v>
      </c>
      <c r="Q28" s="9">
        <v>0.36099999999999999</v>
      </c>
      <c r="R28" s="9">
        <v>6</v>
      </c>
      <c r="S28" s="9" t="s">
        <v>152</v>
      </c>
      <c r="T28" s="9">
        <v>31.942227110000001</v>
      </c>
      <c r="U28" s="9"/>
      <c r="V28" s="9"/>
      <c r="W28" s="9"/>
      <c r="X28">
        <v>3.6369290999999998E-2</v>
      </c>
      <c r="Y28" s="9"/>
      <c r="Z28" s="9"/>
      <c r="AA28" s="9"/>
      <c r="AB28" s="9" t="s">
        <v>220</v>
      </c>
    </row>
    <row r="29" spans="1:28" x14ac:dyDescent="0.2">
      <c r="A29" s="9" t="s">
        <v>209</v>
      </c>
      <c r="B29" s="9" t="s">
        <v>506</v>
      </c>
      <c r="C29" s="9" t="s">
        <v>530</v>
      </c>
      <c r="D29" s="9" t="s">
        <v>542</v>
      </c>
      <c r="E29" s="9" t="s">
        <v>15</v>
      </c>
      <c r="F29" t="s">
        <v>15</v>
      </c>
      <c r="G29" t="s">
        <v>511</v>
      </c>
      <c r="H29" s="9">
        <v>61</v>
      </c>
      <c r="I29" s="9" t="s">
        <v>16</v>
      </c>
      <c r="J29" s="9" t="s">
        <v>17</v>
      </c>
      <c r="K29" s="9">
        <v>0.17601107999999999</v>
      </c>
      <c r="L29" s="9">
        <v>12</v>
      </c>
      <c r="M29" s="29">
        <v>6.4000000000000001E-2</v>
      </c>
      <c r="N29" s="9"/>
      <c r="O29" s="9">
        <v>2.7</v>
      </c>
      <c r="P29" s="9">
        <v>5.2950000000000002E-3</v>
      </c>
      <c r="Q29" s="9">
        <v>0.36099999999999999</v>
      </c>
      <c r="R29" s="9">
        <v>5</v>
      </c>
      <c r="S29" s="9" t="s">
        <v>152</v>
      </c>
      <c r="T29" s="9">
        <v>6.606940163</v>
      </c>
      <c r="U29" s="9"/>
      <c r="V29" s="9"/>
      <c r="W29" s="9"/>
      <c r="X29">
        <v>1.3579212E-2</v>
      </c>
      <c r="Y29" s="9"/>
      <c r="Z29" s="9"/>
      <c r="AA29" s="9"/>
      <c r="AB29" s="9" t="s">
        <v>220</v>
      </c>
    </row>
    <row r="30" spans="1:28" x14ac:dyDescent="0.2">
      <c r="A30" t="s">
        <v>186</v>
      </c>
      <c r="B30" t="s">
        <v>507</v>
      </c>
      <c r="C30" t="s">
        <v>515</v>
      </c>
      <c r="E30" t="s">
        <v>15</v>
      </c>
      <c r="F30" t="s">
        <v>509</v>
      </c>
      <c r="G30" t="s">
        <v>511</v>
      </c>
      <c r="H30">
        <v>30</v>
      </c>
      <c r="I30" t="s">
        <v>16</v>
      </c>
      <c r="J30" t="s">
        <v>17</v>
      </c>
      <c r="K30">
        <f t="shared" ref="K30:K39" si="2">(L30*P30)/Q30</f>
        <v>0.20107241461736941</v>
      </c>
      <c r="L30">
        <f>4.29*1.2</f>
        <v>5.1479999999999997</v>
      </c>
      <c r="M30" s="7">
        <f t="shared" ref="M30:M39" si="3">L30*P30</f>
        <v>3.3976799999999995E-2</v>
      </c>
      <c r="O30">
        <f>((28+31.2)/2)*0.1</f>
        <v>2.9600000000000004</v>
      </c>
      <c r="P30">
        <f>6.6*0.001</f>
        <v>6.6E-3</v>
      </c>
      <c r="Q30">
        <v>0.168977928</v>
      </c>
      <c r="R30" s="8">
        <v>8</v>
      </c>
      <c r="S30" t="s">
        <v>154</v>
      </c>
      <c r="T30">
        <v>16.191798309999999</v>
      </c>
      <c r="U30">
        <v>1.153393109</v>
      </c>
      <c r="V30">
        <v>14.1712159</v>
      </c>
      <c r="W30">
        <v>18.695421360000001</v>
      </c>
      <c r="X30">
        <v>4.0099506E-2</v>
      </c>
      <c r="Y30">
        <v>2.1405594999999999E-2</v>
      </c>
      <c r="Z30">
        <v>5.9405600000000001E-3</v>
      </c>
      <c r="AA30">
        <v>8.6710834000000001E-2</v>
      </c>
      <c r="AB30" t="s">
        <v>508</v>
      </c>
    </row>
    <row r="31" spans="1:28" x14ac:dyDescent="0.2">
      <c r="A31" t="s">
        <v>158</v>
      </c>
      <c r="B31" t="s">
        <v>507</v>
      </c>
      <c r="C31" t="s">
        <v>515</v>
      </c>
      <c r="E31" t="s">
        <v>15</v>
      </c>
      <c r="F31" t="s">
        <v>509</v>
      </c>
      <c r="G31" t="s">
        <v>511</v>
      </c>
      <c r="H31">
        <v>38.200000000000003</v>
      </c>
      <c r="I31" t="s">
        <v>16</v>
      </c>
      <c r="J31" t="s">
        <v>22</v>
      </c>
      <c r="K31">
        <f t="shared" si="2"/>
        <v>2.2357257509745473E-2</v>
      </c>
      <c r="L31">
        <v>1</v>
      </c>
      <c r="M31" s="7">
        <f t="shared" si="3"/>
        <v>1.95E-2</v>
      </c>
      <c r="N31">
        <f>69*0.001</f>
        <v>6.9000000000000006E-2</v>
      </c>
      <c r="P31">
        <f>19.5*0.001</f>
        <v>1.95E-2</v>
      </c>
      <c r="Q31">
        <v>0.87219999999999998</v>
      </c>
      <c r="R31" s="8">
        <v>4</v>
      </c>
      <c r="S31" t="s">
        <v>154</v>
      </c>
      <c r="T31">
        <v>12.37932078</v>
      </c>
      <c r="U31">
        <v>0.76086926899999996</v>
      </c>
      <c r="V31">
        <v>10.92185538</v>
      </c>
      <c r="W31">
        <v>13.913411549999999</v>
      </c>
      <c r="X31">
        <v>1.7793297E-2</v>
      </c>
      <c r="Y31">
        <v>1.2289803E-2</v>
      </c>
      <c r="Z31">
        <v>-3.6133200000000002E-4</v>
      </c>
      <c r="AA31">
        <v>4.6577314000000002E-2</v>
      </c>
      <c r="AB31" t="s">
        <v>508</v>
      </c>
    </row>
    <row r="32" spans="1:28" x14ac:dyDescent="0.2">
      <c r="A32" t="s">
        <v>156</v>
      </c>
      <c r="B32" t="s">
        <v>507</v>
      </c>
      <c r="C32" t="s">
        <v>515</v>
      </c>
      <c r="E32" t="s">
        <v>15</v>
      </c>
      <c r="F32" t="s">
        <v>509</v>
      </c>
      <c r="G32" t="s">
        <v>511</v>
      </c>
      <c r="H32">
        <v>30</v>
      </c>
      <c r="I32" t="s">
        <v>19</v>
      </c>
      <c r="J32" t="s">
        <v>17</v>
      </c>
      <c r="K32">
        <f t="shared" si="2"/>
        <v>8.3915016963050051E-2</v>
      </c>
      <c r="L32">
        <f>(1+3)/2</f>
        <v>2</v>
      </c>
      <c r="M32" s="7">
        <f t="shared" si="3"/>
        <v>0.06</v>
      </c>
      <c r="N32">
        <f>( (15+24)/2 ) *0.001</f>
        <v>1.95E-2</v>
      </c>
      <c r="O32">
        <f>((45+50)/2)*0.1</f>
        <v>4.75</v>
      </c>
      <c r="P32">
        <f>((25+35)/2)*0.001</f>
        <v>0.03</v>
      </c>
      <c r="Q32">
        <v>0.71500909099999999</v>
      </c>
      <c r="R32" s="8">
        <v>5</v>
      </c>
      <c r="S32" t="s">
        <v>154</v>
      </c>
      <c r="T32">
        <v>16.291821370000001</v>
      </c>
      <c r="U32">
        <v>2.5707561490000002</v>
      </c>
      <c r="V32">
        <v>11.94996989</v>
      </c>
      <c r="W32">
        <v>21.958753640000001</v>
      </c>
      <c r="X32">
        <v>-3.2538700000000001E-4</v>
      </c>
      <c r="Y32">
        <v>1.0939255E-2</v>
      </c>
      <c r="Z32">
        <v>-1.8143250999999999E-2</v>
      </c>
      <c r="AA32">
        <v>2.7329780000000001E-2</v>
      </c>
      <c r="AB32" t="s">
        <v>508</v>
      </c>
    </row>
    <row r="33" spans="1:28" x14ac:dyDescent="0.2">
      <c r="A33" t="s">
        <v>157</v>
      </c>
      <c r="B33" t="s">
        <v>507</v>
      </c>
      <c r="C33" t="s">
        <v>515</v>
      </c>
      <c r="E33" t="s">
        <v>15</v>
      </c>
      <c r="F33" s="52" t="s">
        <v>509</v>
      </c>
      <c r="G33" t="s">
        <v>511</v>
      </c>
      <c r="H33">
        <v>31.8</v>
      </c>
      <c r="I33" t="s">
        <v>16</v>
      </c>
      <c r="J33" t="s">
        <v>17</v>
      </c>
      <c r="K33">
        <f t="shared" si="2"/>
        <v>6.2634345378115894E-2</v>
      </c>
      <c r="L33">
        <v>4</v>
      </c>
      <c r="M33" s="7">
        <f t="shared" si="3"/>
        <v>9.5560000000000006E-2</v>
      </c>
      <c r="N33">
        <f>15*0.001</f>
        <v>1.4999999999999999E-2</v>
      </c>
      <c r="O33">
        <f>40*0.1</f>
        <v>4</v>
      </c>
      <c r="P33">
        <f>23.89*0.001</f>
        <v>2.3890000000000002E-2</v>
      </c>
      <c r="Q33">
        <v>1.5256805099999999</v>
      </c>
      <c r="R33" s="8">
        <v>8</v>
      </c>
      <c r="S33" t="s">
        <v>154</v>
      </c>
      <c r="AB33" t="s">
        <v>508</v>
      </c>
    </row>
    <row r="34" spans="1:28" x14ac:dyDescent="0.2">
      <c r="A34" s="9" t="s">
        <v>226</v>
      </c>
      <c r="B34" s="9" t="s">
        <v>506</v>
      </c>
      <c r="C34" s="53" t="s">
        <v>518</v>
      </c>
      <c r="D34" s="53"/>
      <c r="E34" t="s">
        <v>15</v>
      </c>
      <c r="F34" t="s">
        <v>15</v>
      </c>
      <c r="G34" t="s">
        <v>512</v>
      </c>
      <c r="H34" s="8">
        <v>90.316855101657794</v>
      </c>
      <c r="I34" t="s">
        <v>16</v>
      </c>
      <c r="J34" t="s">
        <v>22</v>
      </c>
      <c r="K34">
        <f t="shared" si="2"/>
        <v>8.7803618581907078E-2</v>
      </c>
      <c r="L34" s="6">
        <v>467.59999999999997</v>
      </c>
      <c r="M34" s="7">
        <f t="shared" si="3"/>
        <v>35.911679999999997</v>
      </c>
      <c r="N34">
        <f>42.1*0.001</f>
        <v>4.2100000000000005E-2</v>
      </c>
      <c r="O34">
        <f>56.66*0.1</f>
        <v>5.6660000000000004</v>
      </c>
      <c r="P34">
        <f>76.8*0.001</f>
        <v>7.6799999999999993E-2</v>
      </c>
      <c r="Q34">
        <v>409</v>
      </c>
      <c r="R34">
        <v>17</v>
      </c>
      <c r="S34" t="s">
        <v>494</v>
      </c>
      <c r="T34" s="27">
        <f>seaturtles.metadata!T12</f>
        <v>8.5812001368223356</v>
      </c>
      <c r="V34" s="28">
        <f>seaturtles.metadata!AA12</f>
        <v>0</v>
      </c>
      <c r="W34" s="28">
        <f>seaturtles.metadata!AB12</f>
        <v>22.365383842793197</v>
      </c>
      <c r="X34" s="27">
        <f>seaturtles.metadata!V12</f>
        <v>0.11653381625595151</v>
      </c>
      <c r="Z34" s="29">
        <f>seaturtles.metadata!AD12</f>
        <v>-7.0657194980003571E-2</v>
      </c>
      <c r="AA34" s="29">
        <f>seaturtles.metadata!AE12</f>
        <v>0.3037248274919066</v>
      </c>
      <c r="AB34" t="s">
        <v>495</v>
      </c>
    </row>
    <row r="35" spans="1:28" x14ac:dyDescent="0.2">
      <c r="A35" s="9" t="s">
        <v>489</v>
      </c>
      <c r="B35" s="9" t="s">
        <v>506</v>
      </c>
      <c r="C35" s="53" t="s">
        <v>521</v>
      </c>
      <c r="D35" s="53"/>
      <c r="E35" t="s">
        <v>15</v>
      </c>
      <c r="F35" t="s">
        <v>15</v>
      </c>
      <c r="G35" t="s">
        <v>512</v>
      </c>
      <c r="H35" s="8">
        <v>90.316855101657794</v>
      </c>
      <c r="I35" t="s">
        <v>16</v>
      </c>
      <c r="J35" t="s">
        <v>22</v>
      </c>
      <c r="K35">
        <f t="shared" si="2"/>
        <v>0.12310363677950595</v>
      </c>
      <c r="L35" s="6">
        <v>509.02499999999998</v>
      </c>
      <c r="M35" s="7">
        <f t="shared" si="3"/>
        <v>40.365682499999998</v>
      </c>
      <c r="N35">
        <f>45.2*0.001</f>
        <v>4.5200000000000004E-2</v>
      </c>
      <c r="O35">
        <f>59.2*0.1</f>
        <v>5.9200000000000008</v>
      </c>
      <c r="P35">
        <f>79.3*0.001</f>
        <v>7.9299999999999995E-2</v>
      </c>
      <c r="Q35">
        <v>327.9</v>
      </c>
      <c r="R35">
        <v>19</v>
      </c>
      <c r="S35" t="s">
        <v>494</v>
      </c>
      <c r="T35" s="27">
        <f>seaturtles.metadata!T13</f>
        <v>8.5812001368223356</v>
      </c>
      <c r="V35" s="28">
        <f>seaturtles.metadata!AA13</f>
        <v>6.4730308641444392</v>
      </c>
      <c r="W35" s="28">
        <f>seaturtles.metadata!AB13</f>
        <v>10.689369409500232</v>
      </c>
      <c r="X35" s="27">
        <f>seaturtles.metadata!V13</f>
        <v>0.11653381625595151</v>
      </c>
      <c r="Z35" s="29">
        <f>seaturtles.metadata!AD13</f>
        <v>8.7904602772805443E-2</v>
      </c>
      <c r="AA35" s="29">
        <f>seaturtles.metadata!AE13</f>
        <v>0.14516302973909759</v>
      </c>
      <c r="AB35" t="s">
        <v>495</v>
      </c>
    </row>
    <row r="36" spans="1:28" x14ac:dyDescent="0.2">
      <c r="A36" s="9" t="s">
        <v>490</v>
      </c>
      <c r="B36" s="9" t="s">
        <v>506</v>
      </c>
      <c r="C36" s="53" t="s">
        <v>519</v>
      </c>
      <c r="D36" s="53"/>
      <c r="E36" t="s">
        <v>15</v>
      </c>
      <c r="F36" t="s">
        <v>15</v>
      </c>
      <c r="G36" t="s">
        <v>512</v>
      </c>
      <c r="H36" s="8">
        <v>90.316855101657794</v>
      </c>
      <c r="I36" t="s">
        <v>16</v>
      </c>
      <c r="J36" t="s">
        <v>22</v>
      </c>
      <c r="K36">
        <f t="shared" si="2"/>
        <v>9.6130452322738383E-2</v>
      </c>
      <c r="L36" s="6">
        <v>485.1</v>
      </c>
      <c r="M36" s="7">
        <f t="shared" si="3"/>
        <v>39.317354999999999</v>
      </c>
      <c r="N36">
        <f>44.4*0.001</f>
        <v>4.4400000000000002E-2</v>
      </c>
      <c r="O36">
        <f>56.66*0.1</f>
        <v>5.6660000000000004</v>
      </c>
      <c r="P36">
        <f>81.05*0.001</f>
        <v>8.1049999999999997E-2</v>
      </c>
      <c r="Q36">
        <v>409</v>
      </c>
      <c r="R36">
        <v>17</v>
      </c>
      <c r="S36" t="s">
        <v>494</v>
      </c>
      <c r="T36" s="27">
        <f>seaturtles.metadata!T14</f>
        <v>6.1531293806220342</v>
      </c>
      <c r="V36" s="28">
        <f>seaturtles.metadata!AA14</f>
        <v>0</v>
      </c>
      <c r="W36" s="28">
        <f>seaturtles.metadata!AB14</f>
        <v>12.613552451651129</v>
      </c>
      <c r="X36" s="27">
        <f>seaturtles.metadata!V14</f>
        <v>0.16251892949777494</v>
      </c>
      <c r="Z36" s="29">
        <f>seaturtles.metadata!AD14</f>
        <v>-8.1163646198721129E-3</v>
      </c>
      <c r="AA36" s="29">
        <f>seaturtles.metadata!AE14</f>
        <v>0.33315422361542202</v>
      </c>
      <c r="AB36" t="s">
        <v>495</v>
      </c>
    </row>
    <row r="37" spans="1:28" x14ac:dyDescent="0.2">
      <c r="A37" s="9" t="s">
        <v>491</v>
      </c>
      <c r="B37" s="9" t="s">
        <v>506</v>
      </c>
      <c r="C37" s="53" t="s">
        <v>520</v>
      </c>
      <c r="D37" s="53"/>
      <c r="E37" t="s">
        <v>15</v>
      </c>
      <c r="F37" t="s">
        <v>15</v>
      </c>
      <c r="G37" t="s">
        <v>512</v>
      </c>
      <c r="H37" s="8">
        <v>90.316855101657794</v>
      </c>
      <c r="I37" t="s">
        <v>16</v>
      </c>
      <c r="J37" t="s">
        <v>22</v>
      </c>
      <c r="K37">
        <f t="shared" si="2"/>
        <v>0.12642102768929181</v>
      </c>
      <c r="L37" s="6">
        <v>650.59799999999996</v>
      </c>
      <c r="M37" s="7">
        <f t="shared" si="3"/>
        <v>51.592421399999992</v>
      </c>
      <c r="N37">
        <f>44.4*0.001</f>
        <v>4.4400000000000002E-2</v>
      </c>
      <c r="O37">
        <f>59.2*0.1</f>
        <v>5.9200000000000008</v>
      </c>
      <c r="P37">
        <f>79.3*0.001</f>
        <v>7.9299999999999995E-2</v>
      </c>
      <c r="Q37">
        <v>408.1</v>
      </c>
      <c r="R37">
        <v>19</v>
      </c>
      <c r="S37" t="s">
        <v>494</v>
      </c>
      <c r="T37" s="27">
        <f>seaturtles.metadata!T15</f>
        <v>10.603253052640087</v>
      </c>
      <c r="V37" s="28">
        <f>seaturtles.metadata!AA15</f>
        <v>0</v>
      </c>
      <c r="W37" s="28">
        <f>seaturtles.metadata!AB15</f>
        <v>24.163917150160692</v>
      </c>
      <c r="X37" s="27">
        <f>seaturtles.metadata!V15</f>
        <v>9.431067947124129E-2</v>
      </c>
      <c r="Z37" s="29">
        <f>seaturtles.metadata!AD15</f>
        <v>-2.630470514414332E-2</v>
      </c>
      <c r="AA37" s="29">
        <f>seaturtles.metadata!AE15</f>
        <v>0.2149260640866259</v>
      </c>
      <c r="AB37" t="s">
        <v>495</v>
      </c>
    </row>
    <row r="38" spans="1:28" x14ac:dyDescent="0.2">
      <c r="A38" s="9" t="s">
        <v>492</v>
      </c>
      <c r="B38" s="9" t="s">
        <v>506</v>
      </c>
      <c r="C38" s="53" t="s">
        <v>530</v>
      </c>
      <c r="D38" s="53" t="s">
        <v>543</v>
      </c>
      <c r="E38" t="s">
        <v>15</v>
      </c>
      <c r="F38" t="s">
        <v>15</v>
      </c>
      <c r="G38" t="s">
        <v>512</v>
      </c>
      <c r="H38" s="8">
        <v>90.316855101657794</v>
      </c>
      <c r="I38" t="s">
        <v>16</v>
      </c>
      <c r="J38" t="s">
        <v>22</v>
      </c>
      <c r="K38">
        <f t="shared" si="2"/>
        <v>5.9577015437392793E-2</v>
      </c>
      <c r="L38" s="6">
        <v>306.60000000000002</v>
      </c>
      <c r="M38" s="7">
        <f t="shared" si="3"/>
        <v>24.313379999999999</v>
      </c>
      <c r="N38">
        <f>42.8*0.001</f>
        <v>4.2799999999999998E-2</v>
      </c>
      <c r="O38">
        <f>58.3*0.1</f>
        <v>5.83</v>
      </c>
      <c r="P38">
        <f>79.3*0.001</f>
        <v>7.9299999999999995E-2</v>
      </c>
      <c r="Q38">
        <v>408.1</v>
      </c>
      <c r="R38">
        <v>19</v>
      </c>
      <c r="S38" t="s">
        <v>494</v>
      </c>
      <c r="T38" s="27">
        <f>seaturtles.metadata!T16</f>
        <v>8.5812001368223356</v>
      </c>
      <c r="V38" s="28">
        <f>seaturtles.metadata!AA16</f>
        <v>6.6351977312735082</v>
      </c>
      <c r="W38" s="28">
        <f>seaturtles.metadata!AB16</f>
        <v>10.527202542371164</v>
      </c>
      <c r="X38" s="27">
        <f>seaturtles.metadata!V16</f>
        <v>0.11653381625595151</v>
      </c>
      <c r="Z38" s="29">
        <f>seaturtles.metadata!AD16</f>
        <v>9.0106849963816682E-2</v>
      </c>
      <c r="AA38" s="29">
        <f>seaturtles.metadata!AE16</f>
        <v>0.14296078254808633</v>
      </c>
      <c r="AB38" t="s">
        <v>495</v>
      </c>
    </row>
    <row r="39" spans="1:28" x14ac:dyDescent="0.2">
      <c r="A39" s="9" t="s">
        <v>493</v>
      </c>
      <c r="B39" s="9" t="s">
        <v>506</v>
      </c>
      <c r="C39" s="53" t="s">
        <v>517</v>
      </c>
      <c r="D39" s="53"/>
      <c r="E39" t="s">
        <v>15</v>
      </c>
      <c r="F39" t="s">
        <v>15</v>
      </c>
      <c r="G39" t="s">
        <v>512</v>
      </c>
      <c r="H39" s="8">
        <v>90.316855101657794</v>
      </c>
      <c r="I39" t="s">
        <v>16</v>
      </c>
      <c r="J39" t="s">
        <v>22</v>
      </c>
      <c r="K39">
        <f t="shared" si="2"/>
        <v>0.13602058319039451</v>
      </c>
      <c r="L39" s="6">
        <v>700</v>
      </c>
      <c r="M39" s="7">
        <f t="shared" si="3"/>
        <v>55.51</v>
      </c>
      <c r="N39">
        <f>42.8*0.001</f>
        <v>4.2799999999999998E-2</v>
      </c>
      <c r="O39">
        <f>58.3*0.1</f>
        <v>5.83</v>
      </c>
      <c r="P39">
        <f>79.3*0.001</f>
        <v>7.9299999999999995E-2</v>
      </c>
      <c r="Q39">
        <v>408.1</v>
      </c>
      <c r="R39">
        <v>17</v>
      </c>
      <c r="S39" t="s">
        <v>494</v>
      </c>
      <c r="T39" s="27">
        <f>seaturtles.metadata!T17</f>
        <v>5.0390288220888015</v>
      </c>
      <c r="V39" s="28">
        <f>seaturtles.metadata!AA17</f>
        <v>1.3974714698285831</v>
      </c>
      <c r="W39" s="28">
        <f>seaturtles.metadata!AB17</f>
        <v>8.6805861743490205</v>
      </c>
      <c r="X39" s="27">
        <f>seaturtles.metadata!V17</f>
        <v>0.19845093872383832</v>
      </c>
      <c r="Z39" s="29">
        <f>seaturtles.metadata!AD17</f>
        <v>5.5036304577496864E-2</v>
      </c>
      <c r="AA39" s="29">
        <f>seaturtles.metadata!AE17</f>
        <v>0.34186557287017977</v>
      </c>
      <c r="AB39" t="s">
        <v>495</v>
      </c>
    </row>
    <row r="40" spans="1:28" x14ac:dyDescent="0.2">
      <c r="A40" s="9" t="s">
        <v>202</v>
      </c>
      <c r="B40" s="9" t="s">
        <v>506</v>
      </c>
      <c r="C40" s="9" t="s">
        <v>530</v>
      </c>
      <c r="D40" s="9"/>
      <c r="E40" s="9" t="s">
        <v>15</v>
      </c>
      <c r="F40" t="s">
        <v>509</v>
      </c>
      <c r="G40" t="s">
        <v>511</v>
      </c>
      <c r="H40" s="9">
        <v>77</v>
      </c>
      <c r="I40" s="9" t="s">
        <v>16</v>
      </c>
      <c r="J40" s="9" t="s">
        <v>17</v>
      </c>
      <c r="K40" s="9">
        <v>0.151187608</v>
      </c>
      <c r="L40" s="9">
        <v>14.4</v>
      </c>
      <c r="M40" s="29">
        <v>0.17599999999999999</v>
      </c>
      <c r="N40" s="9">
        <v>6.1000000000000004E-3</v>
      </c>
      <c r="O40" s="9">
        <v>3.39</v>
      </c>
      <c r="P40" s="9">
        <v>1.2200000000000001E-2</v>
      </c>
      <c r="Q40" s="9">
        <v>1.1619999999999999</v>
      </c>
      <c r="R40" s="49">
        <v>17.8</v>
      </c>
      <c r="S40" s="9" t="s">
        <v>152</v>
      </c>
      <c r="T40" s="9">
        <v>19.394699710000001</v>
      </c>
      <c r="U40" s="9"/>
      <c r="V40" s="9"/>
      <c r="W40" s="9"/>
      <c r="X40">
        <v>1.5766504000000001E-2</v>
      </c>
      <c r="Y40" s="9"/>
      <c r="Z40" s="9"/>
      <c r="AA40" s="9"/>
      <c r="AB40" s="9" t="s">
        <v>220</v>
      </c>
    </row>
    <row r="41" spans="1:28" x14ac:dyDescent="0.2">
      <c r="A41" s="9" t="s">
        <v>204</v>
      </c>
      <c r="B41" s="9" t="s">
        <v>506</v>
      </c>
      <c r="C41" s="9" t="s">
        <v>529</v>
      </c>
      <c r="D41" s="9"/>
      <c r="E41" s="9" t="s">
        <v>15</v>
      </c>
      <c r="F41" t="s">
        <v>15</v>
      </c>
      <c r="G41" t="s">
        <v>511</v>
      </c>
      <c r="H41" s="9">
        <v>120</v>
      </c>
      <c r="I41" s="9" t="s">
        <v>16</v>
      </c>
      <c r="J41" s="9" t="s">
        <v>17</v>
      </c>
      <c r="K41" s="9">
        <v>0.13784679</v>
      </c>
      <c r="L41" s="9">
        <v>18.66</v>
      </c>
      <c r="M41" s="29">
        <v>0.151</v>
      </c>
      <c r="N41" s="9"/>
      <c r="O41" s="9">
        <v>2.25</v>
      </c>
      <c r="P41" s="9">
        <v>8.0999999999999996E-3</v>
      </c>
      <c r="Q41" s="29">
        <v>1.0960000000000001</v>
      </c>
      <c r="R41" s="49">
        <v>13.5</v>
      </c>
      <c r="S41" s="9" t="s">
        <v>152</v>
      </c>
      <c r="T41" s="9">
        <v>14.24115027</v>
      </c>
      <c r="U41" s="9"/>
      <c r="V41" s="9"/>
      <c r="W41" s="9"/>
      <c r="X41">
        <v>3.3307675000000002E-2</v>
      </c>
      <c r="Y41" s="9"/>
      <c r="Z41" s="9"/>
      <c r="AA41" s="9"/>
      <c r="AB41" s="9" t="s">
        <v>220</v>
      </c>
    </row>
    <row r="42" spans="1:28" x14ac:dyDescent="0.2">
      <c r="A42" s="9" t="s">
        <v>205</v>
      </c>
      <c r="B42" s="9" t="s">
        <v>506</v>
      </c>
      <c r="C42" s="9" t="s">
        <v>526</v>
      </c>
      <c r="D42" s="9"/>
      <c r="E42" s="9" t="s">
        <v>15</v>
      </c>
      <c r="F42" t="s">
        <v>15</v>
      </c>
      <c r="G42" t="s">
        <v>511</v>
      </c>
      <c r="H42" s="9">
        <v>120</v>
      </c>
      <c r="I42" s="9" t="s">
        <v>16</v>
      </c>
      <c r="J42" s="9" t="s">
        <v>17</v>
      </c>
      <c r="K42" s="9">
        <v>0.13784679</v>
      </c>
      <c r="L42" s="9">
        <v>18.66</v>
      </c>
      <c r="M42" s="29">
        <v>0.151</v>
      </c>
      <c r="N42" s="9"/>
      <c r="O42" s="9">
        <v>2.25</v>
      </c>
      <c r="P42" s="9">
        <v>8.0999999999999996E-3</v>
      </c>
      <c r="Q42" s="29">
        <v>1.0960000000000001</v>
      </c>
      <c r="R42" s="49">
        <v>13.5</v>
      </c>
      <c r="S42" s="9" t="s">
        <v>152</v>
      </c>
      <c r="T42" s="9">
        <v>9.4199324989999997</v>
      </c>
      <c r="U42" s="9"/>
      <c r="V42" s="9"/>
      <c r="W42" s="9"/>
      <c r="X42">
        <v>1.8589939999999999E-2</v>
      </c>
      <c r="Y42" s="9"/>
      <c r="Z42" s="9"/>
      <c r="AA42" s="9"/>
      <c r="AB42" s="9" t="s">
        <v>220</v>
      </c>
    </row>
    <row r="43" spans="1:28" x14ac:dyDescent="0.2">
      <c r="A43" s="9" t="s">
        <v>206</v>
      </c>
      <c r="B43" s="9" t="s">
        <v>506</v>
      </c>
      <c r="C43" s="9" t="s">
        <v>526</v>
      </c>
      <c r="D43" s="9"/>
      <c r="E43" s="9" t="s">
        <v>15</v>
      </c>
      <c r="F43" t="s">
        <v>15</v>
      </c>
      <c r="G43" t="s">
        <v>511</v>
      </c>
      <c r="H43" s="9">
        <v>120</v>
      </c>
      <c r="I43" s="9" t="s">
        <v>16</v>
      </c>
      <c r="J43" s="9" t="s">
        <v>17</v>
      </c>
      <c r="K43" s="9">
        <v>0.13784679</v>
      </c>
      <c r="L43" s="9">
        <v>18.66</v>
      </c>
      <c r="M43" s="29">
        <v>0.151</v>
      </c>
      <c r="N43" s="9"/>
      <c r="O43" s="9">
        <v>2.25</v>
      </c>
      <c r="P43" s="9">
        <v>8.0999999999999996E-3</v>
      </c>
      <c r="Q43" s="29">
        <v>1.0960000000000001</v>
      </c>
      <c r="R43" s="49">
        <v>13.5</v>
      </c>
      <c r="S43" s="9" t="s">
        <v>152</v>
      </c>
      <c r="T43" s="9">
        <v>34.848454029999999</v>
      </c>
      <c r="U43" s="9"/>
      <c r="V43" s="9"/>
      <c r="W43" s="9"/>
      <c r="X43">
        <v>-1.2318419999999999E-3</v>
      </c>
      <c r="Y43" s="9"/>
      <c r="Z43" s="9"/>
      <c r="AA43" s="9"/>
      <c r="AB43" s="9" t="s">
        <v>220</v>
      </c>
    </row>
    <row r="44" spans="1:28" x14ac:dyDescent="0.2">
      <c r="A44" s="9" t="s">
        <v>225</v>
      </c>
      <c r="B44" s="9" t="s">
        <v>506</v>
      </c>
      <c r="C44" s="53" t="s">
        <v>525</v>
      </c>
      <c r="D44" s="53"/>
      <c r="E44" t="s">
        <v>15</v>
      </c>
      <c r="F44" t="s">
        <v>15</v>
      </c>
      <c r="G44" t="s">
        <v>512</v>
      </c>
      <c r="H44" s="8">
        <v>53.150642540497749</v>
      </c>
      <c r="I44" t="s">
        <v>16</v>
      </c>
      <c r="J44" t="s">
        <v>22</v>
      </c>
      <c r="K44">
        <f t="shared" ref="K44:K54" si="4">(L44*P44)/Q44</f>
        <v>0.29459064327485379</v>
      </c>
      <c r="L44" s="6">
        <v>775</v>
      </c>
      <c r="M44" s="7">
        <f t="shared" ref="M44:M54" si="5">L44*P44</f>
        <v>20.150000000000002</v>
      </c>
      <c r="N44">
        <f>14.5*0.001</f>
        <v>1.4500000000000001E-2</v>
      </c>
      <c r="O44">
        <f>40.7*0.1</f>
        <v>4.07</v>
      </c>
      <c r="P44">
        <f>26*0.001</f>
        <v>2.6000000000000002E-2</v>
      </c>
      <c r="Q44">
        <v>68.400000000000006</v>
      </c>
      <c r="R44" s="9">
        <v>14</v>
      </c>
      <c r="S44" t="s">
        <v>494</v>
      </c>
      <c r="T44" s="27">
        <f>seaturtles.metadata!T10</f>
        <v>19.495725746223673</v>
      </c>
      <c r="V44" s="28">
        <f>seaturtles.metadata!AA10</f>
        <v>9.3014909524997176</v>
      </c>
      <c r="W44" s="28">
        <f>seaturtles.metadata!AB10</f>
        <v>29.689960539947627</v>
      </c>
      <c r="X44" s="27">
        <f>seaturtles.metadata!V10</f>
        <v>5.1293294387550578E-2</v>
      </c>
      <c r="Z44" s="29">
        <f>seaturtles.metadata!AD10</f>
        <v>2.4472241755971635E-2</v>
      </c>
      <c r="AA44" s="29">
        <f>seaturtles.metadata!AE10</f>
        <v>7.8114347019129518E-2</v>
      </c>
      <c r="AB44" t="s">
        <v>495</v>
      </c>
    </row>
    <row r="45" spans="1:28" x14ac:dyDescent="0.2">
      <c r="A45" s="9" t="s">
        <v>488</v>
      </c>
      <c r="B45" s="9" t="s">
        <v>506</v>
      </c>
      <c r="C45" s="53" t="s">
        <v>522</v>
      </c>
      <c r="D45" s="53"/>
      <c r="E45" t="s">
        <v>15</v>
      </c>
      <c r="F45" t="s">
        <v>15</v>
      </c>
      <c r="G45" t="s">
        <v>512</v>
      </c>
      <c r="H45" s="8">
        <v>53.150642540497749</v>
      </c>
      <c r="I45" t="s">
        <v>16</v>
      </c>
      <c r="J45" t="s">
        <v>22</v>
      </c>
      <c r="K45">
        <f t="shared" si="4"/>
        <v>0.1893634927234927</v>
      </c>
      <c r="L45" s="6">
        <v>384.32</v>
      </c>
      <c r="M45" s="7">
        <f t="shared" si="5"/>
        <v>9.1083839999999991</v>
      </c>
      <c r="N45">
        <f>12.8*0.001</f>
        <v>1.2800000000000001E-2</v>
      </c>
      <c r="O45">
        <f>38.7*0.1</f>
        <v>3.8700000000000006</v>
      </c>
      <c r="P45">
        <f>23.7*0.001</f>
        <v>2.3699999999999999E-2</v>
      </c>
      <c r="Q45">
        <v>48.1</v>
      </c>
      <c r="R45">
        <f>AVERAGE(20,40)</f>
        <v>30</v>
      </c>
      <c r="S45" t="s">
        <v>494</v>
      </c>
      <c r="T45" s="27">
        <f>seaturtles.metadata!T11</f>
        <v>19.495725746223673</v>
      </c>
      <c r="V45" s="28">
        <f>seaturtles.metadata!AA11</f>
        <v>7.7331471380806462</v>
      </c>
      <c r="W45" s="28">
        <f>seaturtles.metadata!AB11</f>
        <v>31.2583043543667</v>
      </c>
      <c r="X45" s="27">
        <f>seaturtles.metadata!V11</f>
        <v>5.1293294387550578E-2</v>
      </c>
      <c r="Z45" s="29">
        <f>seaturtles.metadata!AD11</f>
        <v>2.0345925966497945E-2</v>
      </c>
      <c r="AA45" s="29">
        <f>seaturtles.metadata!AE11</f>
        <v>8.2240662808603204E-2</v>
      </c>
      <c r="AB45" t="s">
        <v>495</v>
      </c>
    </row>
    <row r="46" spans="1:28" x14ac:dyDescent="0.2">
      <c r="A46" t="s">
        <v>173</v>
      </c>
      <c r="B46" t="s">
        <v>507</v>
      </c>
      <c r="C46" t="s">
        <v>515</v>
      </c>
      <c r="E46" t="s">
        <v>15</v>
      </c>
      <c r="F46" t="s">
        <v>509</v>
      </c>
      <c r="G46" t="s">
        <v>511</v>
      </c>
      <c r="H46">
        <v>24.3</v>
      </c>
      <c r="I46" t="s">
        <v>19</v>
      </c>
      <c r="J46" t="s">
        <v>17</v>
      </c>
      <c r="K46">
        <f t="shared" si="4"/>
        <v>0.1436893955862408</v>
      </c>
      <c r="L46" s="6">
        <f>5.290357143*2.209685368</f>
        <v>11.690024770381383</v>
      </c>
      <c r="M46" s="7">
        <f t="shared" si="5"/>
        <v>0.32732069357067872</v>
      </c>
      <c r="N46">
        <f>18.7*0.001</f>
        <v>1.8700000000000001E-2</v>
      </c>
      <c r="O46">
        <f>((35+40)/2)*0.1</f>
        <v>3.75</v>
      </c>
      <c r="P46">
        <f>28*0.001</f>
        <v>2.8000000000000001E-2</v>
      </c>
      <c r="Q46">
        <v>2.2779739050000001</v>
      </c>
      <c r="R46" s="8">
        <v>6</v>
      </c>
      <c r="S46" t="s">
        <v>154</v>
      </c>
      <c r="T46">
        <v>15.54621184</v>
      </c>
      <c r="U46">
        <v>1.516903017</v>
      </c>
      <c r="V46">
        <v>13.33039057</v>
      </c>
      <c r="W46">
        <v>19.075065200000001</v>
      </c>
      <c r="X46">
        <v>2.5365677E-2</v>
      </c>
      <c r="Y46">
        <v>3.8372154999999998E-2</v>
      </c>
      <c r="Z46">
        <v>-8.2550950000000005E-3</v>
      </c>
      <c r="AA46">
        <v>0.12775426000000001</v>
      </c>
      <c r="AB46" t="s">
        <v>508</v>
      </c>
    </row>
    <row r="47" spans="1:28" x14ac:dyDescent="0.2">
      <c r="A47" t="s">
        <v>160</v>
      </c>
      <c r="B47" t="s">
        <v>507</v>
      </c>
      <c r="C47" t="s">
        <v>515</v>
      </c>
      <c r="E47" t="s">
        <v>15</v>
      </c>
      <c r="F47" t="s">
        <v>509</v>
      </c>
      <c r="G47" t="s">
        <v>511</v>
      </c>
      <c r="H47">
        <v>19.2</v>
      </c>
      <c r="I47" t="s">
        <v>16</v>
      </c>
      <c r="J47" t="s">
        <v>17</v>
      </c>
      <c r="K47">
        <f t="shared" si="4"/>
        <v>0.16540617948049338</v>
      </c>
      <c r="L47">
        <f>2*15.5</f>
        <v>31</v>
      </c>
      <c r="M47" s="7">
        <f t="shared" si="5"/>
        <v>0.35649999999999998</v>
      </c>
      <c r="O47">
        <f>AVERAGE(35,37)*0.1</f>
        <v>3.6</v>
      </c>
      <c r="P47">
        <f>11.5*0.001</f>
        <v>1.15E-2</v>
      </c>
      <c r="Q47">
        <v>2.155300371</v>
      </c>
      <c r="R47" s="8">
        <v>6</v>
      </c>
      <c r="S47" t="s">
        <v>154</v>
      </c>
      <c r="T47">
        <v>19.06127905</v>
      </c>
      <c r="U47">
        <v>1.7077028780000001</v>
      </c>
      <c r="V47">
        <v>16.01909934</v>
      </c>
      <c r="W47">
        <v>22.722474439999999</v>
      </c>
      <c r="X47">
        <v>6.0630101999999998E-2</v>
      </c>
      <c r="Y47">
        <v>3.3212281000000003E-2</v>
      </c>
      <c r="Z47">
        <v>8.5745479999999995E-3</v>
      </c>
      <c r="AA47">
        <v>0.131880201</v>
      </c>
      <c r="AB47" t="s">
        <v>508</v>
      </c>
    </row>
    <row r="48" spans="1:28" x14ac:dyDescent="0.2">
      <c r="A48" t="s">
        <v>163</v>
      </c>
      <c r="B48" t="s">
        <v>507</v>
      </c>
      <c r="C48" t="s">
        <v>515</v>
      </c>
      <c r="E48" t="s">
        <v>15</v>
      </c>
      <c r="F48" t="s">
        <v>509</v>
      </c>
      <c r="G48" t="s">
        <v>511</v>
      </c>
      <c r="H48">
        <v>20</v>
      </c>
      <c r="I48" t="s">
        <v>16</v>
      </c>
      <c r="J48" t="s">
        <v>17</v>
      </c>
      <c r="K48">
        <f t="shared" si="4"/>
        <v>0.15570282778551392</v>
      </c>
      <c r="L48">
        <v>3</v>
      </c>
      <c r="M48" s="7">
        <f t="shared" si="5"/>
        <v>2.4599999999999997E-2</v>
      </c>
      <c r="N48">
        <f>((6+7.5)/2)*0.001</f>
        <v>6.7499999999999999E-3</v>
      </c>
      <c r="P48">
        <f>8.2*0.001</f>
        <v>8.199999999999999E-3</v>
      </c>
      <c r="Q48">
        <v>0.15799327699999999</v>
      </c>
      <c r="R48" s="8">
        <v>3</v>
      </c>
      <c r="S48" t="s">
        <v>154</v>
      </c>
      <c r="T48">
        <v>15.15321408</v>
      </c>
      <c r="U48">
        <v>1.4591458100000001</v>
      </c>
      <c r="V48">
        <v>12.69906763</v>
      </c>
      <c r="W48">
        <v>18.3831624</v>
      </c>
      <c r="X48">
        <v>9.1227470000000005E-3</v>
      </c>
      <c r="Y48">
        <v>1.5731755E-2</v>
      </c>
      <c r="Z48">
        <v>-8.9896980000000008E-3</v>
      </c>
      <c r="AA48">
        <v>5.2462921000000003E-2</v>
      </c>
      <c r="AB48" t="s">
        <v>508</v>
      </c>
    </row>
    <row r="49" spans="1:28" x14ac:dyDescent="0.2">
      <c r="A49" t="s">
        <v>184</v>
      </c>
      <c r="B49" t="s">
        <v>507</v>
      </c>
      <c r="C49" t="s">
        <v>515</v>
      </c>
      <c r="E49" t="s">
        <v>15</v>
      </c>
      <c r="F49" t="s">
        <v>509</v>
      </c>
      <c r="G49" t="s">
        <v>511</v>
      </c>
      <c r="H49">
        <v>60</v>
      </c>
      <c r="I49" t="s">
        <v>16</v>
      </c>
      <c r="J49" t="s">
        <v>17</v>
      </c>
      <c r="K49">
        <f t="shared" si="4"/>
        <v>0.17759210370478387</v>
      </c>
      <c r="L49">
        <f>8*1.5</f>
        <v>12</v>
      </c>
      <c r="M49" s="7">
        <f t="shared" si="5"/>
        <v>0.16188</v>
      </c>
      <c r="O49">
        <f>((28+27.9)/2)*0.1</f>
        <v>2.7949999999999999</v>
      </c>
      <c r="P49">
        <f>13.49*0.001</f>
        <v>1.349E-2</v>
      </c>
      <c r="Q49">
        <v>0.91152701400000002</v>
      </c>
      <c r="R49" s="8">
        <v>17</v>
      </c>
      <c r="S49" t="s">
        <v>154</v>
      </c>
      <c r="T49">
        <v>11.49412798</v>
      </c>
      <c r="U49">
        <v>1.483654832</v>
      </c>
      <c r="V49">
        <v>8.9575042699999994</v>
      </c>
      <c r="W49">
        <v>14.731491760000001</v>
      </c>
      <c r="X49">
        <v>4.8285280999999999E-2</v>
      </c>
      <c r="Y49">
        <v>3.9146872999999999E-2</v>
      </c>
      <c r="Z49">
        <v>-2.110776E-3</v>
      </c>
      <c r="AA49">
        <v>0.143477824</v>
      </c>
      <c r="AB49" t="s">
        <v>508</v>
      </c>
    </row>
    <row r="50" spans="1:28" x14ac:dyDescent="0.2">
      <c r="A50" t="s">
        <v>185</v>
      </c>
      <c r="B50" t="s">
        <v>507</v>
      </c>
      <c r="C50" t="s">
        <v>515</v>
      </c>
      <c r="E50" t="s">
        <v>15</v>
      </c>
      <c r="F50" t="s">
        <v>509</v>
      </c>
      <c r="G50" t="s">
        <v>511</v>
      </c>
      <c r="H50">
        <v>40</v>
      </c>
      <c r="I50" t="s">
        <v>16</v>
      </c>
      <c r="J50" t="s">
        <v>17</v>
      </c>
      <c r="K50">
        <f t="shared" si="4"/>
        <v>9.0913531493613114E-2</v>
      </c>
      <c r="L50">
        <v>3</v>
      </c>
      <c r="M50" s="7">
        <f t="shared" si="5"/>
        <v>1.392E-2</v>
      </c>
      <c r="O50">
        <f>((21.1+30.1)/2)*0.1</f>
        <v>2.5600000000000005</v>
      </c>
      <c r="P50">
        <f>4.64*0.001</f>
        <v>4.64E-3</v>
      </c>
      <c r="Q50">
        <v>0.153112521</v>
      </c>
      <c r="R50" s="8">
        <v>7</v>
      </c>
      <c r="S50" t="s">
        <v>154</v>
      </c>
      <c r="T50">
        <v>11.666152439999999</v>
      </c>
      <c r="U50">
        <v>1.422777497</v>
      </c>
      <c r="V50">
        <v>9.1721486789999993</v>
      </c>
      <c r="W50">
        <v>14.704396239999999</v>
      </c>
      <c r="X50">
        <v>1.8837890999999999E-2</v>
      </c>
      <c r="Y50">
        <v>2.1333343000000001E-2</v>
      </c>
      <c r="Z50">
        <v>-8.1178069999999995E-3</v>
      </c>
      <c r="AA50">
        <v>7.2600002999999996E-2</v>
      </c>
      <c r="AB50" t="s">
        <v>508</v>
      </c>
    </row>
    <row r="51" spans="1:28" x14ac:dyDescent="0.2">
      <c r="A51" t="s">
        <v>183</v>
      </c>
      <c r="B51" t="s">
        <v>507</v>
      </c>
      <c r="C51" t="s">
        <v>515</v>
      </c>
      <c r="E51" t="s">
        <v>15</v>
      </c>
      <c r="F51" t="s">
        <v>509</v>
      </c>
      <c r="G51" t="s">
        <v>511</v>
      </c>
      <c r="H51">
        <v>62.8</v>
      </c>
      <c r="I51" t="s">
        <v>19</v>
      </c>
      <c r="J51" t="s">
        <v>17</v>
      </c>
      <c r="K51">
        <f t="shared" si="4"/>
        <v>0.11395280871616643</v>
      </c>
      <c r="L51" s="6">
        <f>5.892097265*2</f>
        <v>11.784194530000001</v>
      </c>
      <c r="M51" s="7">
        <f t="shared" si="5"/>
        <v>0.42364179335350005</v>
      </c>
      <c r="N51">
        <f>32.9*0.001</f>
        <v>3.2899999999999999E-2</v>
      </c>
      <c r="O51">
        <f>((36+48)/2)*0.1</f>
        <v>4.2</v>
      </c>
      <c r="P51">
        <f>35.95*0.001</f>
        <v>3.5950000000000003E-2</v>
      </c>
      <c r="Q51">
        <v>3.717695054</v>
      </c>
      <c r="R51" s="8">
        <v>15</v>
      </c>
      <c r="S51" t="s">
        <v>154</v>
      </c>
      <c r="T51">
        <v>15.45389119</v>
      </c>
      <c r="U51">
        <v>1.614845197</v>
      </c>
      <c r="V51">
        <v>12.568650549999999</v>
      </c>
      <c r="W51">
        <v>18.869545089999999</v>
      </c>
      <c r="X51">
        <v>8.0291389999999994E-3</v>
      </c>
      <c r="Y51">
        <v>9.8427329999999993E-3</v>
      </c>
      <c r="Z51">
        <v>-6.1389169999999998E-3</v>
      </c>
      <c r="AA51">
        <v>3.230508E-2</v>
      </c>
      <c r="AB51" t="s">
        <v>508</v>
      </c>
    </row>
    <row r="52" spans="1:28" x14ac:dyDescent="0.2">
      <c r="A52" t="s">
        <v>182</v>
      </c>
      <c r="B52" t="s">
        <v>507</v>
      </c>
      <c r="C52" t="s">
        <v>515</v>
      </c>
      <c r="E52" t="s">
        <v>15</v>
      </c>
      <c r="F52" s="52" t="s">
        <v>509</v>
      </c>
      <c r="G52" t="s">
        <v>511</v>
      </c>
      <c r="H52">
        <v>30.7</v>
      </c>
      <c r="I52" t="s">
        <v>19</v>
      </c>
      <c r="J52" t="s">
        <v>17</v>
      </c>
      <c r="K52">
        <f t="shared" si="4"/>
        <v>5.3470784570535293E-2</v>
      </c>
      <c r="L52">
        <v>2.8</v>
      </c>
      <c r="M52" s="7">
        <f t="shared" si="5"/>
        <v>9.491999999999999E-2</v>
      </c>
      <c r="N52">
        <f>32.9*0.001</f>
        <v>3.2899999999999999E-2</v>
      </c>
      <c r="O52">
        <f>((40+50)/2)*0.1</f>
        <v>4.5</v>
      </c>
      <c r="P52">
        <f>33.9*0.001</f>
        <v>3.39E-2</v>
      </c>
      <c r="Q52">
        <v>1.7751749999999999</v>
      </c>
      <c r="R52" s="8">
        <v>13</v>
      </c>
      <c r="S52" t="s">
        <v>154</v>
      </c>
      <c r="AB52" t="s">
        <v>508</v>
      </c>
    </row>
    <row r="53" spans="1:28" x14ac:dyDescent="0.2">
      <c r="A53" t="s">
        <v>181</v>
      </c>
      <c r="B53" t="s">
        <v>507</v>
      </c>
      <c r="C53" t="s">
        <v>515</v>
      </c>
      <c r="E53" t="s">
        <v>15</v>
      </c>
      <c r="F53" t="s">
        <v>509</v>
      </c>
      <c r="G53" t="s">
        <v>511</v>
      </c>
      <c r="H53">
        <v>25</v>
      </c>
      <c r="I53" t="s">
        <v>19</v>
      </c>
      <c r="J53" t="s">
        <v>17</v>
      </c>
      <c r="K53">
        <f t="shared" si="4"/>
        <v>6.0089865758252745E-2</v>
      </c>
      <c r="L53" s="6">
        <v>6.6</v>
      </c>
      <c r="M53" s="7">
        <f t="shared" si="5"/>
        <v>0.27027000000000001</v>
      </c>
      <c r="N53">
        <f>32.9*0.001</f>
        <v>3.2899999999999999E-2</v>
      </c>
      <c r="O53">
        <f>((32+51.8)/2)*0.1</f>
        <v>4.1900000000000004</v>
      </c>
      <c r="P53">
        <f>40.95*0.001</f>
        <v>4.095E-2</v>
      </c>
      <c r="Q53">
        <v>4.4977634179999999</v>
      </c>
      <c r="R53" s="8">
        <v>13</v>
      </c>
      <c r="S53" t="s">
        <v>154</v>
      </c>
      <c r="T53">
        <v>12.85135893</v>
      </c>
      <c r="U53">
        <v>1.5331409359999999</v>
      </c>
      <c r="V53">
        <v>10.12733869</v>
      </c>
      <c r="W53">
        <v>16.18284478</v>
      </c>
      <c r="X53">
        <v>1.1460402999999999E-2</v>
      </c>
      <c r="Y53">
        <v>1.6750823000000001E-2</v>
      </c>
      <c r="Z53">
        <v>-1.1417946999999999E-2</v>
      </c>
      <c r="AA53">
        <v>5.4445923E-2</v>
      </c>
      <c r="AB53" t="s">
        <v>508</v>
      </c>
    </row>
    <row r="54" spans="1:28" x14ac:dyDescent="0.2">
      <c r="A54" t="s">
        <v>238</v>
      </c>
      <c r="B54" t="s">
        <v>507</v>
      </c>
      <c r="C54" t="s">
        <v>515</v>
      </c>
      <c r="E54" t="s">
        <v>15</v>
      </c>
      <c r="F54" t="s">
        <v>15</v>
      </c>
      <c r="G54" t="s">
        <v>511</v>
      </c>
      <c r="H54" s="2">
        <v>36.941666669999996</v>
      </c>
      <c r="I54" t="s">
        <v>19</v>
      </c>
      <c r="J54" t="s">
        <v>17</v>
      </c>
      <c r="K54">
        <f t="shared" si="4"/>
        <v>0.21152944861347969</v>
      </c>
      <c r="L54">
        <f>6*2</f>
        <v>12</v>
      </c>
      <c r="M54" s="7">
        <f t="shared" si="5"/>
        <v>0.12215999999999999</v>
      </c>
      <c r="N54">
        <f>((45+12.5)/2)*0.001</f>
        <v>2.8750000000000001E-2</v>
      </c>
      <c r="O54">
        <f>((29.9+34.3)/2)*0.001</f>
        <v>3.2099999999999997E-2</v>
      </c>
      <c r="P54">
        <f>10.18*0.001</f>
        <v>1.018E-2</v>
      </c>
      <c r="Q54">
        <v>0.57750824199999995</v>
      </c>
      <c r="R54" s="8">
        <v>7</v>
      </c>
      <c r="S54" t="s">
        <v>154</v>
      </c>
      <c r="T54">
        <v>14.440339099999999</v>
      </c>
      <c r="U54">
        <v>1.335676291</v>
      </c>
      <c r="V54">
        <v>11.94970086</v>
      </c>
      <c r="W54">
        <v>17.17203147</v>
      </c>
      <c r="X54">
        <v>6.6076847999999994E-2</v>
      </c>
      <c r="Y54">
        <v>3.2921871999999998E-2</v>
      </c>
      <c r="Z54">
        <v>1.2545598999999999E-2</v>
      </c>
      <c r="AA54">
        <v>0.13726659299999999</v>
      </c>
      <c r="AB54" t="s">
        <v>508</v>
      </c>
    </row>
    <row r="55" spans="1:28" x14ac:dyDescent="0.2">
      <c r="A55" s="9" t="s">
        <v>207</v>
      </c>
      <c r="B55" s="9" t="s">
        <v>506</v>
      </c>
      <c r="C55" s="9" t="s">
        <v>530</v>
      </c>
      <c r="D55" s="9" t="s">
        <v>544</v>
      </c>
      <c r="E55" s="9" t="s">
        <v>15</v>
      </c>
      <c r="F55" t="s">
        <v>15</v>
      </c>
      <c r="G55" t="s">
        <v>511</v>
      </c>
      <c r="H55" s="51">
        <v>36.941666669999996</v>
      </c>
      <c r="I55" s="9" t="s">
        <v>19</v>
      </c>
      <c r="J55" s="9" t="s">
        <v>17</v>
      </c>
      <c r="K55" s="9">
        <v>0.21152944900000001</v>
      </c>
      <c r="L55" s="9">
        <v>12</v>
      </c>
      <c r="M55" s="29">
        <v>0.122</v>
      </c>
      <c r="N55" s="9">
        <v>2.8750000000000001E-2</v>
      </c>
      <c r="O55" s="9">
        <v>3.2099999999999997E-2</v>
      </c>
      <c r="P55" s="9">
        <v>1.018E-2</v>
      </c>
      <c r="Q55" s="9">
        <v>0.57750824199999995</v>
      </c>
      <c r="R55" s="9">
        <v>10</v>
      </c>
      <c r="S55" s="9" t="s">
        <v>152</v>
      </c>
      <c r="T55" s="9">
        <v>24.178894660000001</v>
      </c>
      <c r="U55" s="9"/>
      <c r="V55" s="9"/>
      <c r="W55" s="9"/>
      <c r="X55">
        <v>5.2998447999999997E-2</v>
      </c>
      <c r="Y55" s="9"/>
      <c r="Z55" s="9"/>
      <c r="AA55" s="9"/>
      <c r="AB55" s="9" t="s">
        <v>220</v>
      </c>
    </row>
    <row r="56" spans="1:28" x14ac:dyDescent="0.2">
      <c r="A56" s="9" t="s">
        <v>211</v>
      </c>
      <c r="B56" s="9" t="s">
        <v>506</v>
      </c>
      <c r="C56" s="9" t="s">
        <v>530</v>
      </c>
      <c r="D56" s="9" t="s">
        <v>545</v>
      </c>
      <c r="E56" s="9" t="s">
        <v>15</v>
      </c>
      <c r="F56" t="s">
        <v>509</v>
      </c>
      <c r="G56" t="s">
        <v>511</v>
      </c>
      <c r="H56" s="9">
        <v>19.966666669999999</v>
      </c>
      <c r="I56" s="9" t="s">
        <v>16</v>
      </c>
      <c r="J56" s="9" t="s">
        <v>17</v>
      </c>
      <c r="K56" s="9">
        <v>0.162808436</v>
      </c>
      <c r="L56" s="9">
        <v>18.2</v>
      </c>
      <c r="M56" s="29"/>
      <c r="N56" s="9">
        <v>5.4099999999999999E-3</v>
      </c>
      <c r="O56" s="9">
        <v>3</v>
      </c>
      <c r="P56" s="9">
        <v>1.018E-2</v>
      </c>
      <c r="Q56" s="9">
        <v>1.1379999999999999</v>
      </c>
      <c r="R56" s="9">
        <v>9</v>
      </c>
      <c r="S56" s="9" t="s">
        <v>152</v>
      </c>
      <c r="T56" s="9">
        <v>8.7569330000000001</v>
      </c>
      <c r="U56" s="9"/>
      <c r="V56" s="9"/>
      <c r="W56" s="9"/>
      <c r="X56">
        <v>-1.306445E-2</v>
      </c>
      <c r="Y56" s="9"/>
      <c r="Z56" s="9"/>
      <c r="AA56" s="9"/>
      <c r="AB56" s="9" t="s">
        <v>220</v>
      </c>
    </row>
    <row r="57" spans="1:28" x14ac:dyDescent="0.2">
      <c r="A57" t="s">
        <v>188</v>
      </c>
      <c r="B57" t="s">
        <v>507</v>
      </c>
      <c r="C57" t="s">
        <v>515</v>
      </c>
      <c r="E57" t="s">
        <v>15</v>
      </c>
      <c r="F57" t="s">
        <v>509</v>
      </c>
      <c r="G57" t="s">
        <v>511</v>
      </c>
      <c r="H57">
        <v>35.4</v>
      </c>
      <c r="I57" t="s">
        <v>16</v>
      </c>
      <c r="J57" t="s">
        <v>17</v>
      </c>
      <c r="K57">
        <f>(L57*P57)/Q57</f>
        <v>0.42005739177577361</v>
      </c>
      <c r="L57">
        <f>10.5*3</f>
        <v>31.5</v>
      </c>
      <c r="M57" s="7">
        <f>L57*P57</f>
        <v>0.30743999999999999</v>
      </c>
      <c r="O57">
        <f>((25+37)/2)*0.1</f>
        <v>3.1</v>
      </c>
      <c r="P57">
        <f>9.76*0.001</f>
        <v>9.7599999999999996E-3</v>
      </c>
      <c r="Q57">
        <v>0.731899988</v>
      </c>
      <c r="R57" s="8">
        <v>6</v>
      </c>
      <c r="S57" t="s">
        <v>154</v>
      </c>
      <c r="T57">
        <v>14.99444418</v>
      </c>
      <c r="U57">
        <v>1.576101355</v>
      </c>
      <c r="V57">
        <v>12.45478029</v>
      </c>
      <c r="W57">
        <v>18.688084740000001</v>
      </c>
      <c r="X57">
        <v>5.1621340000000002E-2</v>
      </c>
      <c r="Y57">
        <v>3.8987053000000001E-2</v>
      </c>
      <c r="Z57">
        <v>-1.2834630000000001E-3</v>
      </c>
      <c r="AA57">
        <v>0.140446345</v>
      </c>
      <c r="AB57" t="s">
        <v>508</v>
      </c>
    </row>
    <row r="58" spans="1:28" x14ac:dyDescent="0.2">
      <c r="A58" t="s">
        <v>159</v>
      </c>
      <c r="B58" t="s">
        <v>507</v>
      </c>
      <c r="C58" t="s">
        <v>515</v>
      </c>
      <c r="E58" t="s">
        <v>15</v>
      </c>
      <c r="F58" t="s">
        <v>509</v>
      </c>
      <c r="G58" t="s">
        <v>511</v>
      </c>
      <c r="H58">
        <v>29.6</v>
      </c>
      <c r="I58" t="s">
        <v>16</v>
      </c>
      <c r="J58" t="s">
        <v>22</v>
      </c>
      <c r="K58">
        <f>(L58*P58)/Q58</f>
        <v>4.152311466138979E-2</v>
      </c>
      <c r="L58">
        <v>4</v>
      </c>
      <c r="M58" s="7">
        <f>L58*P58</f>
        <v>0.19519999999999998</v>
      </c>
      <c r="N58">
        <f>31.5*0.001</f>
        <v>3.15E-2</v>
      </c>
      <c r="O58">
        <f>52.7*0.1</f>
        <v>5.2700000000000005</v>
      </c>
      <c r="P58">
        <f>48.8*0.001</f>
        <v>4.8799999999999996E-2</v>
      </c>
      <c r="Q58">
        <v>4.7009960980000001</v>
      </c>
      <c r="R58" s="8">
        <v>7</v>
      </c>
      <c r="S58" t="s">
        <v>154</v>
      </c>
      <c r="T58">
        <v>17.760025049999999</v>
      </c>
      <c r="U58">
        <v>1.5143257480000001</v>
      </c>
      <c r="V58">
        <v>15.144521709999999</v>
      </c>
      <c r="W58">
        <v>21.09687641</v>
      </c>
      <c r="X58">
        <v>4.1946520000000001E-2</v>
      </c>
      <c r="Y58">
        <v>2.6352621999999999E-2</v>
      </c>
      <c r="Z58">
        <v>3.6151070000000002E-3</v>
      </c>
      <c r="AA58">
        <v>0.104660358</v>
      </c>
      <c r="AB58" t="s">
        <v>508</v>
      </c>
    </row>
    <row r="59" spans="1:28" x14ac:dyDescent="0.2">
      <c r="A59" s="9" t="s">
        <v>212</v>
      </c>
      <c r="B59" s="9" t="s">
        <v>506</v>
      </c>
      <c r="C59" s="9" t="s">
        <v>527</v>
      </c>
      <c r="D59" s="9"/>
      <c r="E59" s="9" t="s">
        <v>15</v>
      </c>
      <c r="F59" t="s">
        <v>509</v>
      </c>
      <c r="G59" t="s">
        <v>511</v>
      </c>
      <c r="H59" s="9">
        <v>11.8</v>
      </c>
      <c r="I59" s="9" t="s">
        <v>16</v>
      </c>
      <c r="J59" s="9" t="s">
        <v>17</v>
      </c>
      <c r="K59" s="9">
        <v>0.416881112</v>
      </c>
      <c r="L59" s="9">
        <v>9</v>
      </c>
      <c r="M59" s="29">
        <v>8.1000000000000003E-2</v>
      </c>
      <c r="N59" s="9"/>
      <c r="O59" s="9">
        <v>4.7300000000000004</v>
      </c>
      <c r="P59" s="9">
        <v>8.9999999999999993E-3</v>
      </c>
      <c r="Q59" s="9">
        <v>0.1943</v>
      </c>
      <c r="R59" s="9">
        <v>14</v>
      </c>
      <c r="S59" s="9" t="s">
        <v>152</v>
      </c>
      <c r="T59" s="9">
        <v>11.879044499999999</v>
      </c>
      <c r="U59" s="9"/>
      <c r="V59" s="9"/>
      <c r="W59" s="9"/>
      <c r="X59">
        <v>0.124046381</v>
      </c>
      <c r="Y59" s="9"/>
      <c r="Z59" s="9"/>
      <c r="AA59" s="9"/>
      <c r="AB59" s="9" t="s">
        <v>220</v>
      </c>
    </row>
    <row r="60" spans="1:28" x14ac:dyDescent="0.2">
      <c r="A60" t="s">
        <v>165</v>
      </c>
      <c r="B60" t="s">
        <v>507</v>
      </c>
      <c r="C60" t="s">
        <v>515</v>
      </c>
      <c r="E60" t="s">
        <v>15</v>
      </c>
      <c r="F60" t="s">
        <v>509</v>
      </c>
      <c r="G60" t="s">
        <v>511</v>
      </c>
      <c r="H60">
        <v>14.1</v>
      </c>
      <c r="I60" t="s">
        <v>19</v>
      </c>
      <c r="J60" t="s">
        <v>22</v>
      </c>
      <c r="K60">
        <f>(L60*P60)/Q60</f>
        <v>0.18784525697640861</v>
      </c>
      <c r="L60">
        <f>4*2.5</f>
        <v>10</v>
      </c>
      <c r="M60" s="7">
        <f>L60*P60</f>
        <v>0.42799999999999999</v>
      </c>
      <c r="N60">
        <f>((17+27)/2)*0.001</f>
        <v>2.1999999999999999E-2</v>
      </c>
      <c r="O60">
        <f>((31+49)/2)*0.1</f>
        <v>4</v>
      </c>
      <c r="P60">
        <f>42.8*0.001</f>
        <v>4.2799999999999998E-2</v>
      </c>
      <c r="Q60">
        <v>2.2784711569999998</v>
      </c>
      <c r="R60" s="8">
        <v>6</v>
      </c>
      <c r="S60" t="s">
        <v>154</v>
      </c>
      <c r="T60">
        <v>21.675100749999999</v>
      </c>
      <c r="U60">
        <v>1.9504776500000001</v>
      </c>
      <c r="V60">
        <v>18.600337740000001</v>
      </c>
      <c r="W60">
        <v>26.263005939999999</v>
      </c>
      <c r="X60">
        <v>3.1707500999999999E-2</v>
      </c>
      <c r="Y60">
        <v>2.1642207E-2</v>
      </c>
      <c r="Z60">
        <v>2.064045E-3</v>
      </c>
      <c r="AA60">
        <v>8.3289888000000006E-2</v>
      </c>
      <c r="AB60" t="s">
        <v>508</v>
      </c>
    </row>
    <row r="61" spans="1:28" x14ac:dyDescent="0.2">
      <c r="A61" t="s">
        <v>164</v>
      </c>
      <c r="B61" t="s">
        <v>507</v>
      </c>
      <c r="C61" t="s">
        <v>515</v>
      </c>
      <c r="E61" t="s">
        <v>15</v>
      </c>
      <c r="F61" t="s">
        <v>509</v>
      </c>
      <c r="G61" t="s">
        <v>511</v>
      </c>
      <c r="H61" s="2">
        <v>39.200000000000003</v>
      </c>
      <c r="I61" t="s">
        <v>19</v>
      </c>
      <c r="J61" t="s">
        <v>17</v>
      </c>
      <c r="K61">
        <f>(L61*P61)/Q61</f>
        <v>9.6991412862173332E-2</v>
      </c>
      <c r="L61">
        <f>4*2.5</f>
        <v>10</v>
      </c>
      <c r="M61" s="7">
        <f>L61*P61</f>
        <v>0.15699999999999997</v>
      </c>
      <c r="P61">
        <f>15.7*0.001</f>
        <v>1.5699999999999999E-2</v>
      </c>
      <c r="Q61">
        <v>1.6187</v>
      </c>
      <c r="R61" s="8">
        <v>8</v>
      </c>
      <c r="S61" t="s">
        <v>154</v>
      </c>
      <c r="T61">
        <v>8.6759213339999999</v>
      </c>
      <c r="U61">
        <v>1.6658753930000001</v>
      </c>
      <c r="V61">
        <v>5.9927899929999997</v>
      </c>
      <c r="W61">
        <v>12.434862280000001</v>
      </c>
      <c r="X61">
        <v>1.8546508E-2</v>
      </c>
      <c r="Y61">
        <v>2.9487718E-2</v>
      </c>
      <c r="Z61">
        <v>-2.0304218999999998E-2</v>
      </c>
      <c r="AA61">
        <v>9.5667463999999994E-2</v>
      </c>
      <c r="AB61" t="s">
        <v>508</v>
      </c>
    </row>
    <row r="62" spans="1:28" x14ac:dyDescent="0.2">
      <c r="A62" t="s">
        <v>172</v>
      </c>
      <c r="B62" t="s">
        <v>507</v>
      </c>
      <c r="C62" t="s">
        <v>515</v>
      </c>
      <c r="E62" t="s">
        <v>15</v>
      </c>
      <c r="F62" t="s">
        <v>509</v>
      </c>
      <c r="G62" t="s">
        <v>511</v>
      </c>
      <c r="H62">
        <v>26.5</v>
      </c>
      <c r="I62" t="s">
        <v>19</v>
      </c>
      <c r="J62" t="s">
        <v>22</v>
      </c>
      <c r="K62">
        <f>(L62*P62)/Q62</f>
        <v>0.14907660539685372</v>
      </c>
      <c r="L62">
        <f>2.3*4</f>
        <v>9.1999999999999993</v>
      </c>
      <c r="M62" s="7">
        <f>L62*P62</f>
        <v>0.33193600000000001</v>
      </c>
      <c r="O62">
        <f>40*0.1</f>
        <v>4</v>
      </c>
      <c r="P62">
        <f>36.08*0.001</f>
        <v>3.6080000000000001E-2</v>
      </c>
      <c r="Q62">
        <v>2.2266136200000002</v>
      </c>
      <c r="R62" s="8">
        <v>12</v>
      </c>
      <c r="S62" t="s">
        <v>154</v>
      </c>
      <c r="T62">
        <v>10.17687888</v>
      </c>
      <c r="U62">
        <v>1.3794786370000001</v>
      </c>
      <c r="V62">
        <v>7.8277668719999998</v>
      </c>
      <c r="W62">
        <v>13.203501989999999</v>
      </c>
      <c r="X62" s="1">
        <v>1.08E-5</v>
      </c>
      <c r="Y62">
        <v>3.6461940000000002E-3</v>
      </c>
      <c r="Z62">
        <v>-4.6896009999999998E-3</v>
      </c>
      <c r="AA62">
        <v>4.9578069999999998E-3</v>
      </c>
      <c r="AB62" t="s">
        <v>508</v>
      </c>
    </row>
    <row r="63" spans="1:28" x14ac:dyDescent="0.2">
      <c r="A63" t="s">
        <v>171</v>
      </c>
      <c r="B63" t="s">
        <v>507</v>
      </c>
      <c r="C63" t="s">
        <v>515</v>
      </c>
      <c r="E63" t="s">
        <v>15</v>
      </c>
      <c r="F63" t="s">
        <v>509</v>
      </c>
      <c r="G63" t="s">
        <v>511</v>
      </c>
      <c r="H63">
        <v>60</v>
      </c>
      <c r="I63" t="s">
        <v>19</v>
      </c>
      <c r="J63" t="s">
        <v>22</v>
      </c>
      <c r="K63">
        <f>(L63*P63)/Q63</f>
        <v>0.15019138606148058</v>
      </c>
      <c r="L63">
        <f>3*1.5</f>
        <v>4.5</v>
      </c>
      <c r="M63" s="7"/>
      <c r="N63">
        <f>((15+22)/2)*0.1</f>
        <v>1.85</v>
      </c>
      <c r="O63">
        <f>((42+47)/2)*0.1</f>
        <v>4.45</v>
      </c>
      <c r="P63" s="5">
        <f>((23+32)/2)*0.001</f>
        <v>2.75E-2</v>
      </c>
      <c r="Q63">
        <v>0.82394871800000002</v>
      </c>
      <c r="R63" s="8">
        <v>15</v>
      </c>
      <c r="S63" t="s">
        <v>154</v>
      </c>
      <c r="T63">
        <v>7.5690665900000003</v>
      </c>
      <c r="U63">
        <v>1.2532340850000001</v>
      </c>
      <c r="V63">
        <v>5.4503199200000001</v>
      </c>
      <c r="W63">
        <v>10.362963690000001</v>
      </c>
      <c r="X63">
        <v>1.5282274E-2</v>
      </c>
      <c r="Y63">
        <v>2.4499139999999999E-2</v>
      </c>
      <c r="Z63">
        <v>-1.8679087E-2</v>
      </c>
      <c r="AA63">
        <v>7.9425622000000001E-2</v>
      </c>
      <c r="AB63" t="s">
        <v>508</v>
      </c>
    </row>
    <row r="64" spans="1:28" x14ac:dyDescent="0.2">
      <c r="A64" s="9" t="s">
        <v>213</v>
      </c>
      <c r="B64" s="9" t="s">
        <v>506</v>
      </c>
      <c r="C64" s="9" t="s">
        <v>530</v>
      </c>
      <c r="D64" s="9" t="s">
        <v>546</v>
      </c>
      <c r="E64" s="9" t="s">
        <v>15</v>
      </c>
      <c r="F64" t="s">
        <v>509</v>
      </c>
      <c r="G64" t="s">
        <v>511</v>
      </c>
      <c r="H64" s="9">
        <v>42.4</v>
      </c>
      <c r="I64" s="9" t="s">
        <v>16</v>
      </c>
      <c r="J64" s="9" t="s">
        <v>17</v>
      </c>
      <c r="K64" s="9">
        <v>8.5275341000000004E-2</v>
      </c>
      <c r="L64" s="9">
        <v>4.78</v>
      </c>
      <c r="M64" s="29">
        <v>2.3E-2</v>
      </c>
      <c r="N64" s="9">
        <v>2.5100000000000001E-3</v>
      </c>
      <c r="O64" s="9">
        <v>2.5499999999999998</v>
      </c>
      <c r="P64" s="9">
        <v>4.8399999999999997E-3</v>
      </c>
      <c r="Q64" s="9">
        <v>0.27129999999999999</v>
      </c>
      <c r="R64" s="9">
        <v>11</v>
      </c>
      <c r="S64" s="9" t="s">
        <v>152</v>
      </c>
      <c r="T64" s="9">
        <v>11.953288280000001</v>
      </c>
      <c r="U64" s="9"/>
      <c r="V64" s="9"/>
      <c r="W64" s="9"/>
      <c r="X64">
        <v>3.9536068000000001E-2</v>
      </c>
      <c r="Y64" s="9"/>
      <c r="Z64" s="9"/>
      <c r="AA64" s="9"/>
      <c r="AB64" s="9" t="s">
        <v>220</v>
      </c>
    </row>
    <row r="65" spans="1:28" x14ac:dyDescent="0.2">
      <c r="A65" t="s">
        <v>191</v>
      </c>
      <c r="B65" t="s">
        <v>507</v>
      </c>
      <c r="C65" t="s">
        <v>515</v>
      </c>
      <c r="E65" t="s">
        <v>15</v>
      </c>
      <c r="F65" t="s">
        <v>509</v>
      </c>
      <c r="G65" t="s">
        <v>511</v>
      </c>
      <c r="H65">
        <v>19.2</v>
      </c>
      <c r="I65" t="s">
        <v>16</v>
      </c>
      <c r="J65" t="s">
        <v>17</v>
      </c>
      <c r="K65">
        <f>(L65*P65)/Q65</f>
        <v>0.19892847184986592</v>
      </c>
      <c r="L65">
        <f>2.26*((1+6.2)/2)</f>
        <v>8.1359999999999992</v>
      </c>
      <c r="M65" s="7">
        <f>L65*P65</f>
        <v>7.4200319999999986E-2</v>
      </c>
      <c r="N65">
        <f>5.8*0.001</f>
        <v>5.7999999999999996E-3</v>
      </c>
      <c r="O65">
        <f>30.2*0.1</f>
        <v>3.02</v>
      </c>
      <c r="P65">
        <f>9.12*0.001</f>
        <v>9.1199999999999996E-3</v>
      </c>
      <c r="Q65" s="2">
        <f>373*0.001</f>
        <v>0.373</v>
      </c>
      <c r="R65" s="8">
        <v>10</v>
      </c>
      <c r="S65" t="s">
        <v>154</v>
      </c>
      <c r="T65">
        <v>1.6083826130000001</v>
      </c>
      <c r="U65">
        <v>0.38722810899999999</v>
      </c>
      <c r="V65">
        <v>0.99599931200000003</v>
      </c>
      <c r="W65">
        <v>2.5054982990000001</v>
      </c>
      <c r="X65">
        <v>2.3811593999999998E-2</v>
      </c>
      <c r="Y65">
        <v>5.4401975999999998E-2</v>
      </c>
      <c r="Z65">
        <v>-6.1526547000000001E-2</v>
      </c>
      <c r="AA65">
        <v>0.164235666</v>
      </c>
      <c r="AB65" t="s">
        <v>508</v>
      </c>
    </row>
    <row r="66" spans="1:28" x14ac:dyDescent="0.2">
      <c r="A66" t="s">
        <v>189</v>
      </c>
      <c r="B66" t="s">
        <v>507</v>
      </c>
      <c r="C66" t="s">
        <v>515</v>
      </c>
      <c r="E66" t="s">
        <v>15</v>
      </c>
      <c r="F66" s="52" t="s">
        <v>509</v>
      </c>
      <c r="G66" t="s">
        <v>511</v>
      </c>
      <c r="H66">
        <v>70.3</v>
      </c>
      <c r="I66" t="s">
        <v>16</v>
      </c>
      <c r="J66" t="s">
        <v>17</v>
      </c>
      <c r="K66">
        <f>(L66*P66)/Q66</f>
        <v>5.3687709353802952E-2</v>
      </c>
      <c r="L66">
        <v>24.75</v>
      </c>
      <c r="M66" s="7">
        <f>L66*P66</f>
        <v>0.80635499999999993</v>
      </c>
      <c r="O66">
        <f>((35.5+45)/2)*0.1</f>
        <v>4.0250000000000004</v>
      </c>
      <c r="P66">
        <f>32.58*0.001</f>
        <v>3.2579999999999998E-2</v>
      </c>
      <c r="Q66">
        <v>15.019359359999999</v>
      </c>
      <c r="R66" s="8">
        <v>12</v>
      </c>
      <c r="S66" t="s">
        <v>154</v>
      </c>
      <c r="AB66" t="s">
        <v>508</v>
      </c>
    </row>
    <row r="67" spans="1:28" x14ac:dyDescent="0.2">
      <c r="A67" t="s">
        <v>166</v>
      </c>
      <c r="B67" t="s">
        <v>507</v>
      </c>
      <c r="C67" t="s">
        <v>515</v>
      </c>
      <c r="E67" t="s">
        <v>15</v>
      </c>
      <c r="F67" t="s">
        <v>509</v>
      </c>
      <c r="G67" t="s">
        <v>511</v>
      </c>
      <c r="H67">
        <v>25.9</v>
      </c>
      <c r="I67" t="s">
        <v>19</v>
      </c>
      <c r="J67" t="s">
        <v>17</v>
      </c>
      <c r="K67">
        <f>(L67*P67)/Q67</f>
        <v>3.9342640490652073E-2</v>
      </c>
      <c r="L67">
        <v>1</v>
      </c>
      <c r="M67" s="7">
        <f>L67*P67</f>
        <v>1.8880000000000001E-2</v>
      </c>
      <c r="N67">
        <f>((10+23)/2)*0.001</f>
        <v>1.6500000000000001E-2</v>
      </c>
      <c r="O67">
        <f>((32+47)/2)*0.1</f>
        <v>3.95</v>
      </c>
      <c r="P67">
        <f>18.88*0.001</f>
        <v>1.8880000000000001E-2</v>
      </c>
      <c r="Q67">
        <v>0.47988644800000002</v>
      </c>
      <c r="R67" s="8">
        <v>5</v>
      </c>
      <c r="S67" t="s">
        <v>154</v>
      </c>
      <c r="T67">
        <v>18.035706229999999</v>
      </c>
      <c r="U67">
        <v>1.092092061</v>
      </c>
      <c r="V67">
        <v>16.105932849999999</v>
      </c>
      <c r="W67">
        <v>20.3674648</v>
      </c>
      <c r="X67">
        <v>1.2805517000000001E-2</v>
      </c>
      <c r="Y67">
        <v>9.4843510000000002E-3</v>
      </c>
      <c r="Z67">
        <v>-4.8811200000000002E-4</v>
      </c>
      <c r="AA67">
        <v>3.5144598999999999E-2</v>
      </c>
      <c r="AB67" t="s">
        <v>508</v>
      </c>
    </row>
    <row r="68" spans="1:28" x14ac:dyDescent="0.2">
      <c r="A68" t="s">
        <v>155</v>
      </c>
      <c r="B68" t="s">
        <v>507</v>
      </c>
      <c r="C68" t="s">
        <v>515</v>
      </c>
      <c r="E68" t="s">
        <v>15</v>
      </c>
      <c r="F68" t="s">
        <v>509</v>
      </c>
      <c r="G68" t="s">
        <v>511</v>
      </c>
      <c r="H68">
        <v>24.2</v>
      </c>
      <c r="I68" t="s">
        <v>16</v>
      </c>
      <c r="J68" t="s">
        <v>17</v>
      </c>
      <c r="K68">
        <f>(L68*P68)/Q68</f>
        <v>0.23495500473700071</v>
      </c>
      <c r="L68">
        <f>7.8*2.333333333</f>
        <v>18.199999997399999</v>
      </c>
      <c r="M68" s="7">
        <f>L68*P68</f>
        <v>0.20056399997134799</v>
      </c>
      <c r="N68">
        <f>5.6*0.001</f>
        <v>5.5999999999999999E-3</v>
      </c>
      <c r="O68">
        <f>AVERAGE(28.86,29.03,29.14,29.09)*0.1</f>
        <v>2.9030000000000005</v>
      </c>
      <c r="P68">
        <f>11.02*0.001</f>
        <v>1.102E-2</v>
      </c>
      <c r="Q68">
        <v>0.85362727299999996</v>
      </c>
      <c r="R68" s="8">
        <v>9</v>
      </c>
      <c r="S68" t="s">
        <v>154</v>
      </c>
      <c r="T68">
        <v>10.18214457</v>
      </c>
      <c r="U68">
        <v>1.467197807</v>
      </c>
      <c r="V68">
        <v>7.6413288650000002</v>
      </c>
      <c r="W68">
        <v>13.33201918</v>
      </c>
      <c r="X68">
        <v>3.5659739000000003E-2</v>
      </c>
      <c r="Y68">
        <v>3.5189191000000002E-2</v>
      </c>
      <c r="Z68">
        <v>-7.6916229999999999E-3</v>
      </c>
      <c r="AA68">
        <v>0.123867667</v>
      </c>
      <c r="AB68" t="s">
        <v>508</v>
      </c>
    </row>
    <row r="69" spans="1:28" x14ac:dyDescent="0.2">
      <c r="A69" s="9" t="s">
        <v>214</v>
      </c>
      <c r="B69" s="9" t="s">
        <v>506</v>
      </c>
      <c r="C69" s="9" t="s">
        <v>529</v>
      </c>
      <c r="D69" s="9"/>
      <c r="E69" s="9" t="s">
        <v>15</v>
      </c>
      <c r="F69" t="s">
        <v>509</v>
      </c>
      <c r="G69" t="s">
        <v>511</v>
      </c>
      <c r="H69" s="9">
        <v>17.600000000000001</v>
      </c>
      <c r="I69" s="9" t="s">
        <v>16</v>
      </c>
      <c r="J69" s="9" t="s">
        <v>17</v>
      </c>
      <c r="K69" s="9">
        <v>0.19029126199999999</v>
      </c>
      <c r="L69" s="9">
        <v>5</v>
      </c>
      <c r="M69" s="29">
        <v>4.9000000000000002E-2</v>
      </c>
      <c r="N69" s="9"/>
      <c r="O69" s="9">
        <v>3.5</v>
      </c>
      <c r="P69" s="9">
        <v>9.7999999999999997E-3</v>
      </c>
      <c r="Q69" s="9">
        <v>0.25750000000000001</v>
      </c>
      <c r="R69" s="9">
        <v>6</v>
      </c>
      <c r="S69" s="9" t="s">
        <v>152</v>
      </c>
      <c r="T69" s="9">
        <v>4.76625999</v>
      </c>
      <c r="U69" s="9"/>
      <c r="V69" s="9"/>
      <c r="W69" s="9"/>
      <c r="X69">
        <v>9.5362106000000002E-2</v>
      </c>
      <c r="Y69" s="9"/>
      <c r="Z69" s="9"/>
      <c r="AA69" s="9"/>
      <c r="AB69" s="9" t="s">
        <v>220</v>
      </c>
    </row>
    <row r="70" spans="1:28" x14ac:dyDescent="0.2">
      <c r="A70" s="9" t="s">
        <v>223</v>
      </c>
      <c r="B70" s="9" t="s">
        <v>506</v>
      </c>
      <c r="C70" s="53" t="s">
        <v>522</v>
      </c>
      <c r="D70" s="53" t="s">
        <v>547</v>
      </c>
      <c r="E70" t="s">
        <v>15</v>
      </c>
      <c r="F70" t="s">
        <v>15</v>
      </c>
      <c r="G70" t="s">
        <v>512</v>
      </c>
      <c r="H70" s="49">
        <v>50.313958746435752</v>
      </c>
      <c r="I70" t="s">
        <v>16</v>
      </c>
      <c r="J70" t="s">
        <v>22</v>
      </c>
      <c r="K70">
        <f t="shared" ref="K70:K80" si="6">(L70*P70)/Q70</f>
        <v>0.16007655786350145</v>
      </c>
      <c r="L70" s="6">
        <v>148.816</v>
      </c>
      <c r="M70" s="7">
        <f t="shared" ref="M70:M80" si="7">L70*P70</f>
        <v>10.789159999999999</v>
      </c>
      <c r="N70">
        <f>AVERAGE(39.3,33.6,33.9,43.6)*0.001</f>
        <v>3.7600000000000001E-2</v>
      </c>
      <c r="O70" s="6">
        <f>AVERAGE(5.97,5.7,6.12,5.78,5.66)</f>
        <v>5.8460000000000001</v>
      </c>
      <c r="P70" s="9">
        <f t="shared" ref="P70:P75" si="8">AVERAGE(77.8,72.7,72,67.5)*0.001</f>
        <v>7.2499999999999995E-2</v>
      </c>
      <c r="Q70" s="20">
        <v>67.400000000000006</v>
      </c>
      <c r="R70" s="9">
        <v>21</v>
      </c>
      <c r="S70" t="s">
        <v>494</v>
      </c>
      <c r="T70" s="27">
        <f>seaturtles.metadata!T2</f>
        <v>32.830795105290562</v>
      </c>
      <c r="V70" s="28">
        <f>seaturtles.metadata!AA2</f>
        <v>0.16160278258975325</v>
      </c>
      <c r="W70" s="28">
        <f>seaturtles.metadata!AB2</f>
        <v>65.499987427991371</v>
      </c>
      <c r="X70" s="27">
        <f>seaturtles.metadata!V2</f>
        <v>3.0459207484708574E-2</v>
      </c>
      <c r="Z70" s="29">
        <f>seaturtles.metadata!AD2</f>
        <v>1.4992913419310805E-4</v>
      </c>
      <c r="AA70" s="29">
        <f>seaturtles.metadata!AE2</f>
        <v>6.076848583522404E-2</v>
      </c>
      <c r="AB70" t="s">
        <v>495</v>
      </c>
    </row>
    <row r="71" spans="1:28" x14ac:dyDescent="0.2">
      <c r="A71" s="9" t="s">
        <v>481</v>
      </c>
      <c r="B71" s="9" t="s">
        <v>506</v>
      </c>
      <c r="C71" s="53" t="s">
        <v>522</v>
      </c>
      <c r="D71" s="53" t="s">
        <v>548</v>
      </c>
      <c r="E71" t="s">
        <v>15</v>
      </c>
      <c r="F71" t="s">
        <v>15</v>
      </c>
      <c r="G71" t="s">
        <v>512</v>
      </c>
      <c r="H71" s="49">
        <v>50.313958746435752</v>
      </c>
      <c r="I71" t="s">
        <v>16</v>
      </c>
      <c r="J71" t="s">
        <v>22</v>
      </c>
      <c r="K71">
        <f t="shared" si="6"/>
        <v>0.15971806670759156</v>
      </c>
      <c r="L71" s="6">
        <v>149.52915555555555</v>
      </c>
      <c r="M71" s="7">
        <f t="shared" si="7"/>
        <v>10.840863777777777</v>
      </c>
      <c r="N71">
        <f>AVERAGE(39.3,33.6,33.9,43.6)*0.001</f>
        <v>3.7600000000000001E-2</v>
      </c>
      <c r="O71" s="6">
        <f>AVERAGE(5.97,5.7,6.12,5.78,5.66)</f>
        <v>5.8460000000000001</v>
      </c>
      <c r="P71" s="9">
        <f t="shared" si="8"/>
        <v>7.2499999999999995E-2</v>
      </c>
      <c r="Q71" s="20">
        <f>AVERAGE(71,67.8,67.4,65.3)</f>
        <v>67.875</v>
      </c>
      <c r="R71" s="9">
        <v>21</v>
      </c>
      <c r="S71" t="s">
        <v>494</v>
      </c>
      <c r="T71" s="27">
        <f>seaturtles.metadata!T3</f>
        <v>24.496598261601779</v>
      </c>
      <c r="V71" s="28">
        <f>seaturtles.metadata!AA3</f>
        <v>14.695237263893363</v>
      </c>
      <c r="W71" s="28">
        <f>seaturtles.metadata!AB3</f>
        <v>34.297959259310197</v>
      </c>
      <c r="X71" s="27">
        <f>seaturtles.metadata!V3</f>
        <v>4.0821994520255166E-2</v>
      </c>
      <c r="Z71" s="29">
        <f>seaturtles.metadata!AD3</f>
        <v>2.4488661186921831E-2</v>
      </c>
      <c r="AA71" s="29">
        <f>seaturtles.metadata!AE3</f>
        <v>5.7155327853588497E-2</v>
      </c>
      <c r="AB71" t="s">
        <v>495</v>
      </c>
    </row>
    <row r="72" spans="1:28" x14ac:dyDescent="0.2">
      <c r="A72" s="9" t="s">
        <v>482</v>
      </c>
      <c r="B72" s="9" t="s">
        <v>506</v>
      </c>
      <c r="C72" s="53" t="s">
        <v>522</v>
      </c>
      <c r="D72" s="53" t="s">
        <v>549</v>
      </c>
      <c r="E72" t="s">
        <v>15</v>
      </c>
      <c r="F72" t="s">
        <v>15</v>
      </c>
      <c r="G72" t="s">
        <v>512</v>
      </c>
      <c r="H72" s="49">
        <v>50.313958746435752</v>
      </c>
      <c r="I72" t="s">
        <v>16</v>
      </c>
      <c r="J72" t="s">
        <v>22</v>
      </c>
      <c r="K72">
        <f t="shared" si="6"/>
        <v>0.16320324125230198</v>
      </c>
      <c r="L72" s="6">
        <v>152.79199999999997</v>
      </c>
      <c r="M72" s="7">
        <f t="shared" si="7"/>
        <v>11.077419999999996</v>
      </c>
      <c r="N72">
        <f>AVERAGE(39.3,33.6,33.9,43.6)*0.001</f>
        <v>3.7600000000000001E-2</v>
      </c>
      <c r="O72" s="6">
        <f>AVERAGE(5.97,5.7,6.12,5.78,5.66)</f>
        <v>5.8460000000000001</v>
      </c>
      <c r="P72" s="9">
        <f t="shared" si="8"/>
        <v>7.2499999999999995E-2</v>
      </c>
      <c r="Q72" s="20">
        <f>AVERAGE(71,67.8,67.4,65.3)</f>
        <v>67.875</v>
      </c>
      <c r="R72" s="9">
        <v>21</v>
      </c>
      <c r="S72" t="s">
        <v>494</v>
      </c>
      <c r="T72" s="27">
        <f>seaturtles.metadata!T4</f>
        <v>13.779667258736438</v>
      </c>
      <c r="V72" s="28">
        <f>seaturtles.metadata!AA4</f>
        <v>11.778789353722857</v>
      </c>
      <c r="W72" s="28">
        <f>seaturtles.metadata!AB4</f>
        <v>15.78054516375002</v>
      </c>
      <c r="X72" s="27">
        <f>seaturtles.metadata!V4</f>
        <v>7.2570692834835374E-2</v>
      </c>
      <c r="Z72" s="29">
        <f>seaturtles.metadata!AD4</f>
        <v>6.2033058426233224E-2</v>
      </c>
      <c r="AA72" s="29">
        <f>seaturtles.metadata!AE4</f>
        <v>8.310832724343753E-2</v>
      </c>
      <c r="AB72" t="s">
        <v>495</v>
      </c>
    </row>
    <row r="73" spans="1:28" x14ac:dyDescent="0.2">
      <c r="A73" s="9" t="s">
        <v>483</v>
      </c>
      <c r="B73" s="9" t="s">
        <v>506</v>
      </c>
      <c r="C73" s="53" t="s">
        <v>522</v>
      </c>
      <c r="D73" s="53" t="s">
        <v>550</v>
      </c>
      <c r="E73" t="s">
        <v>15</v>
      </c>
      <c r="F73" t="s">
        <v>15</v>
      </c>
      <c r="G73" t="s">
        <v>512</v>
      </c>
      <c r="H73" s="49">
        <v>50.313958746435752</v>
      </c>
      <c r="I73" t="s">
        <v>16</v>
      </c>
      <c r="J73" t="s">
        <v>22</v>
      </c>
      <c r="K73">
        <f t="shared" si="6"/>
        <v>0.15971806670759156</v>
      </c>
      <c r="L73" s="6">
        <v>149.52915555555555</v>
      </c>
      <c r="M73" s="7">
        <f t="shared" si="7"/>
        <v>10.840863777777777</v>
      </c>
      <c r="N73">
        <f>AVERAGE(39.3,33.6,33.9,43.6)*0.001</f>
        <v>3.7600000000000001E-2</v>
      </c>
      <c r="O73" s="6">
        <f>AVERAGE(5.97,5.7,6.12,5.78,5.66)</f>
        <v>5.8460000000000001</v>
      </c>
      <c r="P73" s="9">
        <f t="shared" si="8"/>
        <v>7.2499999999999995E-2</v>
      </c>
      <c r="Q73" s="20">
        <f>AVERAGE(71,67.8,67.4,65.3)</f>
        <v>67.875</v>
      </c>
      <c r="R73" s="9">
        <v>21</v>
      </c>
      <c r="S73" t="s">
        <v>494</v>
      </c>
      <c r="T73" s="27">
        <f>seaturtles.metadata!T5</f>
        <v>11.993052337607978</v>
      </c>
      <c r="V73" s="28">
        <f>seaturtles.metadata!AA5</f>
        <v>3.1066555761527379</v>
      </c>
      <c r="W73" s="28">
        <f>seaturtles.metadata!AB5</f>
        <v>20.879449099063216</v>
      </c>
      <c r="X73" s="27">
        <f>seaturtles.metadata!V5</f>
        <v>8.3381608939051013E-2</v>
      </c>
      <c r="Z73" s="29">
        <f>seaturtles.metadata!AD5</f>
        <v>2.1599000243398843E-2</v>
      </c>
      <c r="AA73" s="29">
        <f>seaturtles.metadata!AE5</f>
        <v>0.14516421763470319</v>
      </c>
      <c r="AB73" t="s">
        <v>495</v>
      </c>
    </row>
    <row r="74" spans="1:28" x14ac:dyDescent="0.2">
      <c r="A74" s="9" t="s">
        <v>484</v>
      </c>
      <c r="B74" s="9" t="s">
        <v>506</v>
      </c>
      <c r="C74" s="53" t="s">
        <v>522</v>
      </c>
      <c r="D74" s="53" t="s">
        <v>551</v>
      </c>
      <c r="E74" t="s">
        <v>15</v>
      </c>
      <c r="F74" t="s">
        <v>15</v>
      </c>
      <c r="G74" t="s">
        <v>512</v>
      </c>
      <c r="H74" s="49">
        <v>50.313958746435752</v>
      </c>
      <c r="I74" t="s">
        <v>16</v>
      </c>
      <c r="J74" t="s">
        <v>22</v>
      </c>
      <c r="K74">
        <f t="shared" si="6"/>
        <v>0.15971806670759156</v>
      </c>
      <c r="L74" s="6">
        <v>149.52915555555555</v>
      </c>
      <c r="M74" s="7">
        <f t="shared" si="7"/>
        <v>10.840863777777777</v>
      </c>
      <c r="N74">
        <f>43.6*0.001</f>
        <v>4.36E-2</v>
      </c>
      <c r="O74" s="6">
        <v>6.12</v>
      </c>
      <c r="P74" s="9">
        <f t="shared" si="8"/>
        <v>7.2499999999999995E-2</v>
      </c>
      <c r="Q74" s="20">
        <f>AVERAGE(71,67.8,67.4,65.3)</f>
        <v>67.875</v>
      </c>
      <c r="R74" s="9">
        <v>21</v>
      </c>
      <c r="S74" t="s">
        <v>494</v>
      </c>
      <c r="T74" s="27">
        <f>seaturtles.metadata!T6</f>
        <v>11.993052337607978</v>
      </c>
      <c r="V74" s="28">
        <f>seaturtles.metadata!AA6</f>
        <v>7.3966402196138885</v>
      </c>
      <c r="W74" s="28">
        <f>seaturtles.metadata!AB6</f>
        <v>16.589464455602066</v>
      </c>
      <c r="X74" s="27">
        <f>seaturtles.metadata!V6</f>
        <v>8.3381608939051013E-2</v>
      </c>
      <c r="Z74" s="29">
        <f>seaturtles.metadata!AD6</f>
        <v>5.1425087199920581E-2</v>
      </c>
      <c r="AA74" s="29">
        <f>seaturtles.metadata!AE6</f>
        <v>0.11533813067818144</v>
      </c>
      <c r="AB74" t="s">
        <v>495</v>
      </c>
    </row>
    <row r="75" spans="1:28" x14ac:dyDescent="0.2">
      <c r="A75" s="9" t="s">
        <v>485</v>
      </c>
      <c r="B75" s="9" t="s">
        <v>506</v>
      </c>
      <c r="C75" s="53" t="s">
        <v>522</v>
      </c>
      <c r="D75" s="53" t="s">
        <v>552</v>
      </c>
      <c r="E75" t="s">
        <v>15</v>
      </c>
      <c r="F75" t="s">
        <v>15</v>
      </c>
      <c r="G75" t="s">
        <v>512</v>
      </c>
      <c r="H75" s="49">
        <v>50.313958746435752</v>
      </c>
      <c r="I75" t="s">
        <v>16</v>
      </c>
      <c r="J75" t="s">
        <v>22</v>
      </c>
      <c r="K75">
        <f t="shared" si="6"/>
        <v>0.15971806670759156</v>
      </c>
      <c r="L75" s="6">
        <v>149.52915555555555</v>
      </c>
      <c r="M75" s="7">
        <f t="shared" si="7"/>
        <v>10.840863777777777</v>
      </c>
      <c r="N75">
        <f>AVERAGE(39.3,33.6,33.9,43.6)*0.001</f>
        <v>3.7600000000000001E-2</v>
      </c>
      <c r="O75" s="6">
        <f>AVERAGE(5.97,5.7,6.12,5.78,5.66)</f>
        <v>5.8460000000000001</v>
      </c>
      <c r="P75" s="9">
        <f t="shared" si="8"/>
        <v>7.2499999999999995E-2</v>
      </c>
      <c r="Q75" s="20">
        <f>AVERAGE(71,67.8,67.4,65.3)</f>
        <v>67.875</v>
      </c>
      <c r="R75" s="9">
        <v>21</v>
      </c>
      <c r="S75" t="s">
        <v>494</v>
      </c>
      <c r="T75" s="27">
        <f>seaturtles.metadata!T7</f>
        <v>5.7354779071176294</v>
      </c>
      <c r="V75" s="28">
        <f>seaturtles.metadata!AA7</f>
        <v>4.7376414668189186</v>
      </c>
      <c r="W75" s="28">
        <f>seaturtles.metadata!AB7</f>
        <v>6.7333143474163402</v>
      </c>
      <c r="X75" s="27">
        <f>seaturtles.metadata!V7</f>
        <v>0.1743533871447778</v>
      </c>
      <c r="Z75" s="29">
        <f>seaturtles.metadata!AD7</f>
        <v>0.14402005381144448</v>
      </c>
      <c r="AA75" s="29">
        <f>seaturtles.metadata!AE7</f>
        <v>0.20468672047811112</v>
      </c>
      <c r="AB75" t="s">
        <v>495</v>
      </c>
    </row>
    <row r="76" spans="1:28" x14ac:dyDescent="0.2">
      <c r="A76" t="s">
        <v>194</v>
      </c>
      <c r="B76" t="s">
        <v>507</v>
      </c>
      <c r="C76" t="s">
        <v>515</v>
      </c>
      <c r="E76" t="s">
        <v>15</v>
      </c>
      <c r="F76" t="s">
        <v>509</v>
      </c>
      <c r="G76" t="s">
        <v>511</v>
      </c>
      <c r="H76">
        <v>7.3</v>
      </c>
      <c r="I76" t="s">
        <v>16</v>
      </c>
      <c r="J76" t="s">
        <v>17</v>
      </c>
      <c r="K76">
        <f t="shared" si="6"/>
        <v>0.54435647778834506</v>
      </c>
      <c r="L76">
        <f>14.5*3.5</f>
        <v>50.75</v>
      </c>
      <c r="M76" s="7">
        <f t="shared" si="7"/>
        <v>0.74602499999999994</v>
      </c>
      <c r="O76">
        <f>27*0.1</f>
        <v>2.7</v>
      </c>
      <c r="P76">
        <f>14.7*0.001</f>
        <v>1.47E-2</v>
      </c>
      <c r="Q76">
        <v>1.370471429</v>
      </c>
      <c r="R76" s="8">
        <v>4</v>
      </c>
      <c r="S76" t="s">
        <v>154</v>
      </c>
      <c r="T76">
        <v>8.1481271569999993</v>
      </c>
      <c r="U76">
        <v>1.0755219</v>
      </c>
      <c r="V76">
        <v>6.242045568</v>
      </c>
      <c r="W76">
        <v>10.49541967</v>
      </c>
      <c r="X76">
        <v>8.7989739999999993E-3</v>
      </c>
      <c r="Y76">
        <v>1.9808909999999999E-2</v>
      </c>
      <c r="Z76">
        <v>-2.187619E-2</v>
      </c>
      <c r="AA76">
        <v>5.9234664999999999E-2</v>
      </c>
      <c r="AB76" t="s">
        <v>508</v>
      </c>
    </row>
    <row r="77" spans="1:28" x14ac:dyDescent="0.2">
      <c r="A77" t="s">
        <v>195</v>
      </c>
      <c r="B77" t="s">
        <v>507</v>
      </c>
      <c r="C77" t="s">
        <v>515</v>
      </c>
      <c r="E77" t="s">
        <v>15</v>
      </c>
      <c r="F77" t="s">
        <v>509</v>
      </c>
      <c r="G77" t="s">
        <v>511</v>
      </c>
      <c r="H77">
        <v>20.100000000000001</v>
      </c>
      <c r="I77" t="s">
        <v>16</v>
      </c>
      <c r="J77" t="s">
        <v>17</v>
      </c>
      <c r="K77">
        <f t="shared" si="6"/>
        <v>0.23909829797509635</v>
      </c>
      <c r="L77">
        <v>15</v>
      </c>
      <c r="M77" s="7">
        <f t="shared" si="7"/>
        <v>0.1857</v>
      </c>
      <c r="O77">
        <f>((25+30)/2)*0.1</f>
        <v>2.75</v>
      </c>
      <c r="P77">
        <f>12.38*0.001</f>
        <v>1.238E-2</v>
      </c>
      <c r="Q77">
        <v>0.77666801299999999</v>
      </c>
      <c r="R77" s="8">
        <v>4</v>
      </c>
      <c r="S77" t="s">
        <v>154</v>
      </c>
      <c r="T77">
        <v>12.149596259999999</v>
      </c>
      <c r="U77">
        <v>1.0426565969999999</v>
      </c>
      <c r="V77">
        <v>10.23200469</v>
      </c>
      <c r="W77">
        <v>14.34731275</v>
      </c>
      <c r="X77">
        <v>1.8909295999999999E-2</v>
      </c>
      <c r="Y77">
        <v>1.5511382000000001E-2</v>
      </c>
      <c r="Z77">
        <v>-3.1696490000000001E-3</v>
      </c>
      <c r="AA77">
        <v>5.5725416E-2</v>
      </c>
      <c r="AB77" t="s">
        <v>508</v>
      </c>
    </row>
    <row r="78" spans="1:28" x14ac:dyDescent="0.2">
      <c r="A78" t="s">
        <v>196</v>
      </c>
      <c r="B78" t="s">
        <v>507</v>
      </c>
      <c r="C78" t="s">
        <v>515</v>
      </c>
      <c r="E78" t="s">
        <v>15</v>
      </c>
      <c r="F78" t="s">
        <v>509</v>
      </c>
      <c r="G78" t="s">
        <v>511</v>
      </c>
      <c r="H78">
        <v>41</v>
      </c>
      <c r="I78" t="s">
        <v>16</v>
      </c>
      <c r="J78" t="s">
        <v>22</v>
      </c>
      <c r="K78">
        <f t="shared" si="6"/>
        <v>0.11336585594685929</v>
      </c>
      <c r="L78">
        <v>12</v>
      </c>
      <c r="M78" s="7">
        <f t="shared" si="7"/>
        <v>0.15479999999999999</v>
      </c>
      <c r="O78">
        <f>((30+40)/2)*0.1</f>
        <v>3.5</v>
      </c>
      <c r="P78">
        <f>12.9*0.001</f>
        <v>1.29E-2</v>
      </c>
      <c r="Q78">
        <v>1.365490506</v>
      </c>
      <c r="R78" s="8">
        <v>3</v>
      </c>
      <c r="S78" t="s">
        <v>154</v>
      </c>
      <c r="T78">
        <v>22.994051379999998</v>
      </c>
      <c r="U78">
        <v>3.3142887600000002</v>
      </c>
      <c r="V78">
        <v>17.890080950000002</v>
      </c>
      <c r="W78">
        <v>30.89351534</v>
      </c>
      <c r="X78">
        <v>1.6493377E-2</v>
      </c>
      <c r="Y78">
        <v>1.5361557E-2</v>
      </c>
      <c r="Z78">
        <v>-2.6651119999999999E-3</v>
      </c>
      <c r="AA78">
        <v>5.4726202000000002E-2</v>
      </c>
      <c r="AB78" t="s">
        <v>508</v>
      </c>
    </row>
    <row r="79" spans="1:28" x14ac:dyDescent="0.2">
      <c r="A79" t="s">
        <v>201</v>
      </c>
      <c r="B79" t="s">
        <v>507</v>
      </c>
      <c r="C79" t="s">
        <v>515</v>
      </c>
      <c r="E79" t="s">
        <v>15</v>
      </c>
      <c r="F79" t="s">
        <v>509</v>
      </c>
      <c r="G79" t="s">
        <v>511</v>
      </c>
      <c r="H79">
        <v>20</v>
      </c>
      <c r="I79" t="s">
        <v>19</v>
      </c>
      <c r="J79" t="s">
        <v>17</v>
      </c>
      <c r="K79">
        <f t="shared" si="6"/>
        <v>8.3672092972339074E-2</v>
      </c>
      <c r="L79">
        <v>1</v>
      </c>
      <c r="M79" s="7">
        <f t="shared" si="7"/>
        <v>2.7E-2</v>
      </c>
      <c r="O79">
        <f>((43+57 )/2)*0.1</f>
        <v>5</v>
      </c>
      <c r="P79">
        <f>27*0.001</f>
        <v>2.7E-2</v>
      </c>
      <c r="Q79">
        <v>0.32268823499999999</v>
      </c>
      <c r="R79" s="8">
        <v>10</v>
      </c>
      <c r="S79" t="s">
        <v>154</v>
      </c>
      <c r="T79">
        <v>8.3548431539999992</v>
      </c>
      <c r="U79">
        <v>1.3823429149999999</v>
      </c>
      <c r="V79">
        <v>6.038948113</v>
      </c>
      <c r="W79">
        <v>11.424255280000001</v>
      </c>
      <c r="X79">
        <v>4.6127670000000003E-3</v>
      </c>
      <c r="Y79">
        <v>1.7374975000000001E-2</v>
      </c>
      <c r="Z79">
        <v>-4.9164819999999998E-3</v>
      </c>
      <c r="AA79">
        <v>5.9665759999999998E-2</v>
      </c>
      <c r="AB79" t="s">
        <v>508</v>
      </c>
    </row>
    <row r="80" spans="1:28" x14ac:dyDescent="0.2">
      <c r="A80" t="s">
        <v>197</v>
      </c>
      <c r="B80" t="s">
        <v>507</v>
      </c>
      <c r="C80" t="s">
        <v>515</v>
      </c>
      <c r="E80" t="s">
        <v>15</v>
      </c>
      <c r="F80" t="s">
        <v>509</v>
      </c>
      <c r="G80" t="s">
        <v>511</v>
      </c>
      <c r="H80">
        <v>70</v>
      </c>
      <c r="I80" t="s">
        <v>16</v>
      </c>
      <c r="J80" t="s">
        <v>22</v>
      </c>
      <c r="K80">
        <f t="shared" si="6"/>
        <v>0.26949498295527546</v>
      </c>
      <c r="L80">
        <f>23.7*2.25</f>
        <v>53.324999999999996</v>
      </c>
      <c r="M80" s="7">
        <f t="shared" si="7"/>
        <v>1.3011299999999999</v>
      </c>
      <c r="N80">
        <f>((9+22)/2)*0.001</f>
        <v>1.55E-2</v>
      </c>
      <c r="O80">
        <f>40*0.1</f>
        <v>4</v>
      </c>
      <c r="P80">
        <f>24.4*0.001</f>
        <v>2.4399999999999998E-2</v>
      </c>
      <c r="Q80">
        <v>4.8280305099999996</v>
      </c>
      <c r="R80" s="8">
        <v>6</v>
      </c>
      <c r="S80" t="s">
        <v>154</v>
      </c>
      <c r="T80">
        <v>24.27546143</v>
      </c>
      <c r="U80">
        <v>1.5654361800000001</v>
      </c>
      <c r="V80">
        <v>21.470449120000001</v>
      </c>
      <c r="W80">
        <v>27.574374890000001</v>
      </c>
      <c r="X80">
        <v>3.5141243000000003E-2</v>
      </c>
      <c r="Y80">
        <v>1.6582754000000002E-2</v>
      </c>
      <c r="Z80">
        <v>7.4956040000000003E-3</v>
      </c>
      <c r="AA80">
        <v>7.1160581000000001E-2</v>
      </c>
      <c r="AB80" t="s">
        <v>508</v>
      </c>
    </row>
    <row r="81" spans="1:28" x14ac:dyDescent="0.2">
      <c r="A81" s="9" t="s">
        <v>215</v>
      </c>
      <c r="B81" s="9" t="s">
        <v>506</v>
      </c>
      <c r="C81" s="9" t="s">
        <v>530</v>
      </c>
      <c r="D81" s="9" t="s">
        <v>540</v>
      </c>
      <c r="E81" s="9" t="s">
        <v>15</v>
      </c>
      <c r="F81" t="s">
        <v>509</v>
      </c>
      <c r="G81" t="s">
        <v>511</v>
      </c>
      <c r="H81" s="9">
        <v>44</v>
      </c>
      <c r="I81" s="9" t="s">
        <v>16</v>
      </c>
      <c r="J81" s="9" t="s">
        <v>22</v>
      </c>
      <c r="K81" s="9">
        <v>1.0712483290000001</v>
      </c>
      <c r="L81" s="9">
        <v>26.5</v>
      </c>
      <c r="M81" s="29">
        <v>3.2050000000000001</v>
      </c>
      <c r="N81" s="9"/>
      <c r="O81" s="9"/>
      <c r="P81" s="9">
        <v>0.12095</v>
      </c>
      <c r="Q81" s="9">
        <v>2.992</v>
      </c>
      <c r="R81" s="9">
        <v>14</v>
      </c>
      <c r="S81" s="9" t="s">
        <v>152</v>
      </c>
      <c r="T81" s="9">
        <v>14.967776519999999</v>
      </c>
      <c r="U81" s="9"/>
      <c r="V81" s="9"/>
      <c r="W81" s="9"/>
      <c r="X81">
        <v>3.6546939000000001E-2</v>
      </c>
      <c r="Y81" s="9"/>
      <c r="Z81" s="9"/>
      <c r="AA81" s="9"/>
      <c r="AB81" s="9" t="s">
        <v>220</v>
      </c>
    </row>
    <row r="82" spans="1:28" x14ac:dyDescent="0.2">
      <c r="A82" t="s">
        <v>178</v>
      </c>
      <c r="B82" t="s">
        <v>507</v>
      </c>
      <c r="C82" t="s">
        <v>515</v>
      </c>
      <c r="E82" t="s">
        <v>15</v>
      </c>
      <c r="F82" t="s">
        <v>509</v>
      </c>
      <c r="G82" t="s">
        <v>511</v>
      </c>
      <c r="H82">
        <v>70</v>
      </c>
      <c r="I82" t="s">
        <v>19</v>
      </c>
      <c r="J82" t="s">
        <v>22</v>
      </c>
      <c r="K82">
        <f>(L82*P82)/Q82</f>
        <v>3.7485609049104009E-2</v>
      </c>
      <c r="L82">
        <v>1</v>
      </c>
      <c r="M82" s="7">
        <f>L82*P82</f>
        <v>1.3460000000000001E-2</v>
      </c>
      <c r="P82">
        <f>13.46*0.001</f>
        <v>1.3460000000000001E-2</v>
      </c>
      <c r="Q82">
        <v>0.35907113000000002</v>
      </c>
      <c r="R82" s="8">
        <v>12</v>
      </c>
      <c r="S82" t="s">
        <v>154</v>
      </c>
      <c r="T82">
        <v>15.8708159</v>
      </c>
      <c r="U82">
        <v>1.716608307</v>
      </c>
      <c r="V82">
        <v>13.12459926</v>
      </c>
      <c r="W82">
        <v>19.86570579</v>
      </c>
      <c r="X82">
        <v>2.1472339999999999E-2</v>
      </c>
      <c r="Y82">
        <v>2.0256888000000001E-2</v>
      </c>
      <c r="Z82">
        <v>-3.0815830000000002E-3</v>
      </c>
      <c r="AA82">
        <v>7.3881750999999996E-2</v>
      </c>
      <c r="AB82" t="s">
        <v>508</v>
      </c>
    </row>
    <row r="83" spans="1:28" x14ac:dyDescent="0.2">
      <c r="A83" t="s">
        <v>179</v>
      </c>
      <c r="B83" t="s">
        <v>507</v>
      </c>
      <c r="C83" t="s">
        <v>515</v>
      </c>
      <c r="E83" t="s">
        <v>15</v>
      </c>
      <c r="F83" t="s">
        <v>509</v>
      </c>
      <c r="G83" t="s">
        <v>511</v>
      </c>
      <c r="H83">
        <v>70</v>
      </c>
      <c r="I83" t="s">
        <v>19</v>
      </c>
      <c r="J83" t="s">
        <v>17</v>
      </c>
      <c r="K83">
        <f>(L83*P83)/Q83</f>
        <v>0.17252000947196472</v>
      </c>
      <c r="L83" s="6">
        <f>1.165714286*3</f>
        <v>3.4971428580000001</v>
      </c>
      <c r="M83" s="7">
        <f>L83*P83</f>
        <v>6.2074285729500009E-2</v>
      </c>
      <c r="P83">
        <f>17.75*0.001</f>
        <v>1.7750000000000002E-2</v>
      </c>
      <c r="Q83">
        <v>0.35980919500000003</v>
      </c>
      <c r="R83" s="8">
        <v>10</v>
      </c>
      <c r="S83" t="s">
        <v>154</v>
      </c>
      <c r="T83">
        <v>13.669934830000001</v>
      </c>
      <c r="U83">
        <v>1.6955163019999999</v>
      </c>
      <c r="V83">
        <v>10.77154241</v>
      </c>
      <c r="W83">
        <v>17.412502400000001</v>
      </c>
      <c r="X83">
        <v>1.704427E-2</v>
      </c>
      <c r="Y83">
        <v>1.8874437000000001E-2</v>
      </c>
      <c r="Z83">
        <v>-7.2563209999999996E-3</v>
      </c>
      <c r="AA83">
        <v>6.4971456999999996E-2</v>
      </c>
      <c r="AB83" t="s">
        <v>508</v>
      </c>
    </row>
    <row r="84" spans="1:28" x14ac:dyDescent="0.2">
      <c r="A84" t="s">
        <v>162</v>
      </c>
      <c r="B84" t="s">
        <v>507</v>
      </c>
      <c r="C84" t="s">
        <v>515</v>
      </c>
      <c r="E84" t="s">
        <v>15</v>
      </c>
      <c r="F84" t="s">
        <v>509</v>
      </c>
      <c r="G84" t="s">
        <v>511</v>
      </c>
      <c r="H84">
        <v>16.7</v>
      </c>
      <c r="I84" t="s">
        <v>16</v>
      </c>
      <c r="J84" t="s">
        <v>22</v>
      </c>
      <c r="K84">
        <f>(L84*P84)/Q84</f>
        <v>0.65747854991124643</v>
      </c>
      <c r="L84">
        <f>1.3*3.5</f>
        <v>4.55</v>
      </c>
      <c r="M84" s="7">
        <f>L84*P84</f>
        <v>0.12967500000000001</v>
      </c>
      <c r="N84">
        <f>((14+15)/2)*0.001</f>
        <v>1.4500000000000001E-2</v>
      </c>
      <c r="P84">
        <f>28.5*0.001</f>
        <v>2.8500000000000001E-2</v>
      </c>
      <c r="Q84">
        <v>0.197230769</v>
      </c>
      <c r="R84" s="8">
        <v>5</v>
      </c>
      <c r="S84" t="s">
        <v>154</v>
      </c>
      <c r="T84">
        <v>5.7196477080000001</v>
      </c>
      <c r="U84">
        <v>1.2795444760000001</v>
      </c>
      <c r="V84">
        <v>3.5509374380000001</v>
      </c>
      <c r="W84">
        <v>8.5505709620000001</v>
      </c>
      <c r="X84">
        <v>-4.3696171999999998E-2</v>
      </c>
      <c r="Y84">
        <v>0.22507534500000001</v>
      </c>
      <c r="Z84">
        <v>-0.67426693199999999</v>
      </c>
      <c r="AA84">
        <v>0</v>
      </c>
      <c r="AB84" t="s">
        <v>508</v>
      </c>
    </row>
    <row r="85" spans="1:28" x14ac:dyDescent="0.2">
      <c r="A85" t="s">
        <v>190</v>
      </c>
      <c r="B85" t="s">
        <v>507</v>
      </c>
      <c r="C85" t="s">
        <v>515</v>
      </c>
      <c r="E85" t="s">
        <v>15</v>
      </c>
      <c r="F85" t="s">
        <v>15</v>
      </c>
      <c r="G85" t="s">
        <v>511</v>
      </c>
      <c r="H85">
        <v>54.8</v>
      </c>
      <c r="I85" t="s">
        <v>16</v>
      </c>
      <c r="J85" t="s">
        <v>17</v>
      </c>
      <c r="K85">
        <f>(L85*P85)/Q85</f>
        <v>0.16285675061328314</v>
      </c>
      <c r="L85">
        <f>3.025*3.5</f>
        <v>10.5875</v>
      </c>
      <c r="M85" s="7">
        <f>L85*P85</f>
        <v>3.5468125000000003E-2</v>
      </c>
      <c r="O85">
        <f>((20+22)/2)*0.1</f>
        <v>2.1</v>
      </c>
      <c r="P85">
        <f>3.35*0.001</f>
        <v>3.3500000000000001E-3</v>
      </c>
      <c r="Q85">
        <v>0.21778725700000001</v>
      </c>
      <c r="R85" s="8">
        <v>5</v>
      </c>
      <c r="S85" t="s">
        <v>154</v>
      </c>
      <c r="T85">
        <v>7.8104211230000002</v>
      </c>
      <c r="U85">
        <v>0.92229793199999999</v>
      </c>
      <c r="V85">
        <v>6.1833964799999999</v>
      </c>
      <c r="W85">
        <v>9.8004394169999998</v>
      </c>
      <c r="X85">
        <v>1.7090052000000001E-2</v>
      </c>
      <c r="Y85">
        <v>2.1779944999999998E-2</v>
      </c>
      <c r="Z85">
        <v>-1.2644621999999999E-2</v>
      </c>
      <c r="AA85">
        <v>7.2179726999999999E-2</v>
      </c>
      <c r="AB85" t="s">
        <v>508</v>
      </c>
    </row>
    <row r="86" spans="1:28" x14ac:dyDescent="0.2">
      <c r="A86" s="9" t="s">
        <v>246</v>
      </c>
      <c r="B86" s="9" t="s">
        <v>506</v>
      </c>
      <c r="C86" s="9" t="s">
        <v>530</v>
      </c>
      <c r="D86" s="9" t="s">
        <v>540</v>
      </c>
      <c r="E86" s="9" t="s">
        <v>15</v>
      </c>
      <c r="F86" t="s">
        <v>15</v>
      </c>
      <c r="G86" t="s">
        <v>511</v>
      </c>
      <c r="H86" s="9">
        <v>54.8</v>
      </c>
      <c r="I86" s="9" t="s">
        <v>16</v>
      </c>
      <c r="J86" s="9" t="s">
        <v>17</v>
      </c>
      <c r="K86" s="9">
        <v>0.16285675099999999</v>
      </c>
      <c r="L86" s="9">
        <v>10.5875</v>
      </c>
      <c r="M86" s="29">
        <v>3.5000000000000003E-2</v>
      </c>
      <c r="N86" s="9"/>
      <c r="O86" s="9">
        <v>2.1</v>
      </c>
      <c r="P86" s="9">
        <v>3.3500000000000001E-3</v>
      </c>
      <c r="Q86" s="9">
        <v>0.21778725700000001</v>
      </c>
      <c r="R86" s="9">
        <v>4.5</v>
      </c>
      <c r="S86" s="9" t="s">
        <v>152</v>
      </c>
      <c r="T86" s="9">
        <v>7.1564743200000001</v>
      </c>
      <c r="U86" s="9"/>
      <c r="V86" s="9"/>
      <c r="W86" s="9"/>
      <c r="X86">
        <v>5.2158435000000003E-2</v>
      </c>
      <c r="Y86" s="9"/>
      <c r="Z86" s="9"/>
      <c r="AA86" s="9"/>
      <c r="AB86" s="9" t="s">
        <v>220</v>
      </c>
    </row>
    <row r="87" spans="1:28" x14ac:dyDescent="0.2">
      <c r="A87" t="s">
        <v>176</v>
      </c>
      <c r="B87" t="s">
        <v>507</v>
      </c>
      <c r="C87" t="s">
        <v>515</v>
      </c>
      <c r="E87" t="s">
        <v>15</v>
      </c>
      <c r="F87" t="s">
        <v>509</v>
      </c>
      <c r="G87" t="s">
        <v>511</v>
      </c>
      <c r="H87">
        <v>30</v>
      </c>
      <c r="I87" t="s">
        <v>19</v>
      </c>
      <c r="J87" t="s">
        <v>22</v>
      </c>
      <c r="K87">
        <f>(L87*P87)/Q87</f>
        <v>7.8038653755825915E-2</v>
      </c>
      <c r="L87">
        <v>8.67</v>
      </c>
      <c r="M87" s="7">
        <f>L87*P87</f>
        <v>0.51655859999999998</v>
      </c>
      <c r="O87">
        <f>25*0.1</f>
        <v>2.5</v>
      </c>
      <c r="P87">
        <f>59.58*0.001</f>
        <v>5.9580000000000001E-2</v>
      </c>
      <c r="Q87">
        <v>6.6192659039999997</v>
      </c>
      <c r="R87" s="8">
        <v>5</v>
      </c>
      <c r="S87" t="s">
        <v>154</v>
      </c>
      <c r="T87">
        <v>20.455078029999999</v>
      </c>
      <c r="U87">
        <v>1.322662547</v>
      </c>
      <c r="V87">
        <v>18.19872603</v>
      </c>
      <c r="W87">
        <v>23.356536080000001</v>
      </c>
      <c r="X87">
        <v>6.8208289999999996E-3</v>
      </c>
      <c r="Y87">
        <v>9.1024539999999994E-3</v>
      </c>
      <c r="Z87">
        <v>-3.73808E-3</v>
      </c>
      <c r="AA87">
        <v>3.1414191000000001E-2</v>
      </c>
      <c r="AB87" t="s">
        <v>508</v>
      </c>
    </row>
    <row r="88" spans="1:28" x14ac:dyDescent="0.2">
      <c r="A88" s="9" t="s">
        <v>216</v>
      </c>
      <c r="B88" s="9" t="s">
        <v>506</v>
      </c>
      <c r="C88" s="9" t="s">
        <v>530</v>
      </c>
      <c r="D88" s="9" t="s">
        <v>546</v>
      </c>
      <c r="E88" s="9" t="s">
        <v>15</v>
      </c>
      <c r="F88" t="s">
        <v>509</v>
      </c>
      <c r="G88" t="s">
        <v>511</v>
      </c>
      <c r="H88" s="9">
        <v>80</v>
      </c>
      <c r="I88" s="9" t="s">
        <v>19</v>
      </c>
      <c r="J88" s="9" t="s">
        <v>17</v>
      </c>
      <c r="K88" s="9">
        <v>0.15797954</v>
      </c>
      <c r="L88" s="9">
        <v>6</v>
      </c>
      <c r="M88" s="29">
        <v>6.2E-2</v>
      </c>
      <c r="N88" s="9">
        <v>5.9500000000000004E-3</v>
      </c>
      <c r="O88" s="9"/>
      <c r="P88" s="9">
        <v>1.0295E-2</v>
      </c>
      <c r="Q88" s="9">
        <v>0.39100000000000001</v>
      </c>
      <c r="R88" s="9">
        <v>9</v>
      </c>
      <c r="S88" s="9" t="s">
        <v>152</v>
      </c>
      <c r="T88" s="9">
        <v>9.0742993510000005</v>
      </c>
      <c r="U88" s="9"/>
      <c r="V88" s="9"/>
      <c r="W88" s="9"/>
      <c r="X88">
        <v>-1.3409325E-2</v>
      </c>
      <c r="Y88" s="9"/>
      <c r="Z88" s="9"/>
      <c r="AA88" s="9"/>
      <c r="AB88" s="9" t="s">
        <v>220</v>
      </c>
    </row>
    <row r="89" spans="1:28" x14ac:dyDescent="0.2">
      <c r="A89" t="s">
        <v>169</v>
      </c>
      <c r="B89" t="s">
        <v>507</v>
      </c>
      <c r="C89" t="s">
        <v>515</v>
      </c>
      <c r="E89" t="s">
        <v>15</v>
      </c>
      <c r="F89" t="s">
        <v>509</v>
      </c>
      <c r="G89" t="s">
        <v>511</v>
      </c>
      <c r="H89">
        <v>127</v>
      </c>
      <c r="I89" t="s">
        <v>19</v>
      </c>
      <c r="J89" t="s">
        <v>17</v>
      </c>
      <c r="K89">
        <f>(L89*P89)/Q89</f>
        <v>0.10023727172531431</v>
      </c>
      <c r="L89">
        <f>5*3.2</f>
        <v>16</v>
      </c>
      <c r="M89" s="7">
        <f>L89*P89</f>
        <v>0.22719999999999999</v>
      </c>
      <c r="N89">
        <f>10.8*0.001</f>
        <v>1.0800000000000001E-2</v>
      </c>
      <c r="O89">
        <f>((30+35)/2)*0.1</f>
        <v>3.25</v>
      </c>
      <c r="P89">
        <f>14.2*0.001</f>
        <v>1.4199999999999999E-2</v>
      </c>
      <c r="Q89">
        <v>2.266621947</v>
      </c>
      <c r="R89" s="8">
        <v>10</v>
      </c>
      <c r="S89" t="s">
        <v>154</v>
      </c>
      <c r="T89">
        <v>10.14349414</v>
      </c>
      <c r="U89">
        <v>0.82260133899999999</v>
      </c>
      <c r="V89">
        <v>8.6246586959999991</v>
      </c>
      <c r="W89">
        <v>11.87433981</v>
      </c>
      <c r="X89">
        <v>-2.6149075000000001E-2</v>
      </c>
      <c r="Y89">
        <v>1.0027846E-2</v>
      </c>
      <c r="Z89">
        <v>-4.8033567999999999E-2</v>
      </c>
      <c r="AA89">
        <v>-8.7415740000000002E-3</v>
      </c>
      <c r="AB89" t="s">
        <v>508</v>
      </c>
    </row>
    <row r="90" spans="1:28" x14ac:dyDescent="0.2">
      <c r="A90" t="s">
        <v>241</v>
      </c>
      <c r="B90" t="s">
        <v>507</v>
      </c>
      <c r="C90" t="s">
        <v>515</v>
      </c>
      <c r="E90" t="s">
        <v>15</v>
      </c>
      <c r="F90" t="s">
        <v>15</v>
      </c>
      <c r="G90" t="s">
        <v>511</v>
      </c>
      <c r="H90">
        <v>31.7</v>
      </c>
      <c r="I90" t="s">
        <v>19</v>
      </c>
      <c r="J90" t="s">
        <v>17</v>
      </c>
      <c r="K90">
        <f>(L90*P90)/Q90</f>
        <v>6.9617030477867672E-2</v>
      </c>
      <c r="L90">
        <f>4.5*1.7</f>
        <v>7.6499999999999995</v>
      </c>
      <c r="M90" s="7">
        <f>L90*P90</f>
        <v>0.11016000000000001</v>
      </c>
      <c r="N90">
        <f>8*0.001</f>
        <v>8.0000000000000002E-3</v>
      </c>
      <c r="O90">
        <f>((31+33)/2)*0.1</f>
        <v>3.2</v>
      </c>
      <c r="P90">
        <f>14.4*0.001</f>
        <v>1.4400000000000001E-2</v>
      </c>
      <c r="Q90">
        <v>1.5823714289999999</v>
      </c>
      <c r="R90" s="8">
        <v>12</v>
      </c>
      <c r="S90" t="s">
        <v>154</v>
      </c>
      <c r="T90">
        <v>14.85021774</v>
      </c>
      <c r="U90">
        <v>0.81365903799999995</v>
      </c>
      <c r="V90">
        <v>13.360110519999999</v>
      </c>
      <c r="W90">
        <v>16.527937420000001</v>
      </c>
      <c r="X90">
        <v>-3.6049260000000001E-3</v>
      </c>
      <c r="Y90">
        <v>6.2252480000000001E-3</v>
      </c>
      <c r="Z90">
        <v>-1.2956137E-2</v>
      </c>
      <c r="AA90">
        <v>1.3746998999999999E-2</v>
      </c>
      <c r="AB90" t="s">
        <v>508</v>
      </c>
    </row>
    <row r="91" spans="1:28" x14ac:dyDescent="0.2">
      <c r="A91" s="9" t="s">
        <v>217</v>
      </c>
      <c r="B91" s="9" t="s">
        <v>506</v>
      </c>
      <c r="C91" s="9" t="s">
        <v>528</v>
      </c>
      <c r="D91" s="9"/>
      <c r="E91" s="9" t="s">
        <v>15</v>
      </c>
      <c r="F91" t="s">
        <v>15</v>
      </c>
      <c r="G91" t="s">
        <v>511</v>
      </c>
      <c r="H91" s="9">
        <v>31.7</v>
      </c>
      <c r="I91" s="9" t="s">
        <v>19</v>
      </c>
      <c r="J91" s="9" t="s">
        <v>17</v>
      </c>
      <c r="K91" s="9">
        <v>8.8152418999999996E-2</v>
      </c>
      <c r="L91" s="9">
        <v>7.3643999999999998</v>
      </c>
      <c r="M91" s="29">
        <v>0.106</v>
      </c>
      <c r="N91" s="9">
        <v>8.0000000000000002E-3</v>
      </c>
      <c r="O91" s="9">
        <v>3.2</v>
      </c>
      <c r="P91" s="9">
        <v>1.44E-2</v>
      </c>
      <c r="Q91" s="9">
        <v>1.2030000000000001</v>
      </c>
      <c r="R91" s="9">
        <v>9.5</v>
      </c>
      <c r="S91" s="9" t="s">
        <v>152</v>
      </c>
      <c r="T91" s="9">
        <v>22.502412119999999</v>
      </c>
      <c r="U91" s="9"/>
      <c r="V91" s="9"/>
      <c r="W91" s="9"/>
      <c r="X91">
        <v>-3.7699869999999998E-3</v>
      </c>
      <c r="Y91" s="9"/>
      <c r="Z91" s="9"/>
      <c r="AA91" s="9"/>
      <c r="AB91" s="9" t="s">
        <v>220</v>
      </c>
    </row>
    <row r="92" spans="1:28" x14ac:dyDescent="0.2">
      <c r="A92" t="s">
        <v>170</v>
      </c>
      <c r="B92" t="s">
        <v>507</v>
      </c>
      <c r="C92" t="s">
        <v>515</v>
      </c>
      <c r="E92" t="s">
        <v>15</v>
      </c>
      <c r="F92" t="s">
        <v>509</v>
      </c>
      <c r="G92" t="s">
        <v>511</v>
      </c>
      <c r="H92">
        <v>40</v>
      </c>
      <c r="I92" t="s">
        <v>19</v>
      </c>
      <c r="J92" t="s">
        <v>17</v>
      </c>
      <c r="K92">
        <f>(L92*P92)/Q92</f>
        <v>0.20239173746697056</v>
      </c>
      <c r="L92">
        <f>4*3</f>
        <v>12</v>
      </c>
      <c r="M92" s="7">
        <f>L92*P92</f>
        <v>0.21300000000000002</v>
      </c>
      <c r="O92">
        <f>((29+50)/2)*0.1</f>
        <v>3.95</v>
      </c>
      <c r="P92">
        <f>17.75*0.001</f>
        <v>1.7750000000000002E-2</v>
      </c>
      <c r="Q92">
        <v>1.0524145039999999</v>
      </c>
      <c r="R92" s="8">
        <v>10</v>
      </c>
      <c r="S92" t="s">
        <v>154</v>
      </c>
      <c r="T92">
        <v>21.446198200000001</v>
      </c>
      <c r="U92">
        <v>2.5637687310000001</v>
      </c>
      <c r="V92">
        <v>17.381798580000002</v>
      </c>
      <c r="W92">
        <v>27.431849150000001</v>
      </c>
      <c r="X92">
        <v>-5.048075E-3</v>
      </c>
      <c r="Y92">
        <v>4.5745860000000003E-3</v>
      </c>
      <c r="Z92">
        <v>-1.3785331E-2</v>
      </c>
      <c r="AA92">
        <v>4.5211660000000001E-3</v>
      </c>
      <c r="AB92" t="s">
        <v>508</v>
      </c>
    </row>
    <row r="93" spans="1:28" x14ac:dyDescent="0.2">
      <c r="A93" t="s">
        <v>168</v>
      </c>
      <c r="B93" t="s">
        <v>507</v>
      </c>
      <c r="C93" t="s">
        <v>515</v>
      </c>
      <c r="E93" t="s">
        <v>15</v>
      </c>
      <c r="F93" t="s">
        <v>509</v>
      </c>
      <c r="G93" t="s">
        <v>511</v>
      </c>
      <c r="H93">
        <v>21</v>
      </c>
      <c r="I93" t="s">
        <v>19</v>
      </c>
      <c r="J93" t="s">
        <v>17</v>
      </c>
      <c r="K93">
        <f>(L93*P93)/Q93</f>
        <v>0.20316507932033126</v>
      </c>
      <c r="L93">
        <f>1.7*3</f>
        <v>5.0999999999999996</v>
      </c>
      <c r="M93" s="7">
        <f>L93*P93</f>
        <v>5.7119999999999997E-2</v>
      </c>
      <c r="N93">
        <f>5.9*0.001</f>
        <v>5.9000000000000007E-3</v>
      </c>
      <c r="O93">
        <f>((25+32)/2)*0.1</f>
        <v>2.85</v>
      </c>
      <c r="P93">
        <f>11.2*0.001</f>
        <v>1.12E-2</v>
      </c>
      <c r="Q93">
        <v>0.28115067900000001</v>
      </c>
      <c r="R93" s="8">
        <v>5</v>
      </c>
      <c r="S93" t="s">
        <v>154</v>
      </c>
      <c r="T93">
        <v>11.7632767</v>
      </c>
      <c r="U93">
        <v>0.64114489399999997</v>
      </c>
      <c r="V93">
        <v>10.529136790000001</v>
      </c>
      <c r="W93">
        <v>13.04865012</v>
      </c>
      <c r="X93">
        <v>0.113961721</v>
      </c>
      <c r="Y93">
        <v>4.9628758000000002E-2</v>
      </c>
      <c r="Z93">
        <v>3.2887916000000003E-2</v>
      </c>
      <c r="AA93">
        <v>0.22679290599999999</v>
      </c>
      <c r="AB93" t="s">
        <v>508</v>
      </c>
    </row>
    <row r="94" spans="1:28" x14ac:dyDescent="0.2">
      <c r="A94" t="s">
        <v>167</v>
      </c>
      <c r="B94" t="s">
        <v>507</v>
      </c>
      <c r="C94" t="s">
        <v>515</v>
      </c>
      <c r="E94" t="s">
        <v>15</v>
      </c>
      <c r="F94" t="s">
        <v>509</v>
      </c>
      <c r="G94" t="s">
        <v>511</v>
      </c>
      <c r="H94">
        <v>21.2</v>
      </c>
      <c r="I94" t="s">
        <v>19</v>
      </c>
      <c r="J94" t="s">
        <v>17</v>
      </c>
      <c r="K94">
        <f>(L94*P94)/Q94</f>
        <v>0.12947851965379686</v>
      </c>
      <c r="L94">
        <f>6.5*2.4</f>
        <v>15.6</v>
      </c>
      <c r="M94" s="7">
        <f>L94*P94</f>
        <v>0.27611999999999998</v>
      </c>
      <c r="O94">
        <f>35*0.1</f>
        <v>3.5</v>
      </c>
      <c r="P94">
        <f>17.7*0.001</f>
        <v>1.77E-2</v>
      </c>
      <c r="Q94">
        <v>2.1325545020000001</v>
      </c>
      <c r="R94" s="8">
        <v>11</v>
      </c>
      <c r="S94" t="s">
        <v>154</v>
      </c>
      <c r="T94">
        <v>13.148156869999999</v>
      </c>
      <c r="U94">
        <v>2.1446196240000002</v>
      </c>
      <c r="V94">
        <v>9.6566818699999999</v>
      </c>
      <c r="W94">
        <v>17.91590506</v>
      </c>
      <c r="X94">
        <v>-3.4315799999999998E-4</v>
      </c>
      <c r="Y94">
        <v>2.7955160000000001E-3</v>
      </c>
      <c r="Z94">
        <v>-4.7686220000000001E-3</v>
      </c>
      <c r="AA94">
        <v>6.2839000000000005E-4</v>
      </c>
      <c r="AB94" t="s">
        <v>508</v>
      </c>
    </row>
    <row r="95" spans="1:28" x14ac:dyDescent="0.2">
      <c r="A95" t="s">
        <v>187</v>
      </c>
      <c r="B95" t="s">
        <v>507</v>
      </c>
      <c r="C95" t="s">
        <v>515</v>
      </c>
      <c r="E95" t="s">
        <v>15</v>
      </c>
      <c r="F95" t="s">
        <v>509</v>
      </c>
      <c r="G95" t="s">
        <v>511</v>
      </c>
      <c r="H95" s="2">
        <v>75</v>
      </c>
      <c r="I95" t="s">
        <v>19</v>
      </c>
      <c r="J95" t="s">
        <v>17</v>
      </c>
      <c r="K95">
        <f>(L95*P95)/Q95</f>
        <v>8.2209736219714002E-2</v>
      </c>
      <c r="L95">
        <f>9.7*2</f>
        <v>19.399999999999999</v>
      </c>
      <c r="M95" s="7">
        <f>L95*P95</f>
        <v>0.22193599999999999</v>
      </c>
      <c r="P95">
        <f>11.44*0.001</f>
        <v>1.1440000000000001E-2</v>
      </c>
      <c r="Q95">
        <v>2.6996315790000001</v>
      </c>
      <c r="R95" s="8">
        <v>5</v>
      </c>
      <c r="S95" t="s">
        <v>154</v>
      </c>
      <c r="T95">
        <v>19.5184411</v>
      </c>
      <c r="U95">
        <v>2.5306698509999999</v>
      </c>
      <c r="V95">
        <v>15.783673159999999</v>
      </c>
      <c r="W95">
        <v>25.457967830000001</v>
      </c>
      <c r="X95">
        <v>4.4591110000000003E-2</v>
      </c>
      <c r="Y95">
        <v>3.0469693999999999E-2</v>
      </c>
      <c r="Z95">
        <v>2.3483179999999998E-3</v>
      </c>
      <c r="AA95">
        <v>0.114565927</v>
      </c>
      <c r="AB95" t="s">
        <v>508</v>
      </c>
    </row>
    <row r="96" spans="1:28" x14ac:dyDescent="0.2">
      <c r="A96" t="s">
        <v>237</v>
      </c>
      <c r="B96" t="s">
        <v>507</v>
      </c>
      <c r="C96" t="s">
        <v>515</v>
      </c>
      <c r="E96" t="s">
        <v>15</v>
      </c>
      <c r="F96" t="s">
        <v>15</v>
      </c>
      <c r="G96" t="s">
        <v>511</v>
      </c>
      <c r="H96">
        <v>41.3</v>
      </c>
      <c r="I96" t="s">
        <v>16</v>
      </c>
      <c r="J96" t="s">
        <v>22</v>
      </c>
      <c r="K96">
        <f>(L96*P96)/Q96</f>
        <v>6.0294240959200357E-2</v>
      </c>
      <c r="L96">
        <f>8.4*2</f>
        <v>16.8</v>
      </c>
      <c r="M96" s="7">
        <f>L96*P96</f>
        <v>0.18648000000000001</v>
      </c>
      <c r="O96">
        <f>((23+35)/2)*0.1</f>
        <v>2.9000000000000004</v>
      </c>
      <c r="P96">
        <f>11.1*0.001</f>
        <v>1.11E-2</v>
      </c>
      <c r="Q96">
        <v>3.0928326990000001</v>
      </c>
      <c r="R96" s="8">
        <v>5</v>
      </c>
      <c r="S96" t="s">
        <v>154</v>
      </c>
      <c r="T96">
        <v>20.42561873</v>
      </c>
      <c r="U96">
        <v>0.51663722599999995</v>
      </c>
      <c r="V96">
        <v>19.431402259999999</v>
      </c>
      <c r="W96">
        <v>21.45035828</v>
      </c>
      <c r="X96">
        <v>0.104838257</v>
      </c>
      <c r="Y96">
        <v>2.3636539000000002E-2</v>
      </c>
      <c r="Z96">
        <v>5.8681624000000002E-2</v>
      </c>
      <c r="AA96">
        <v>0.15193299199999999</v>
      </c>
      <c r="AB96" t="s">
        <v>508</v>
      </c>
    </row>
    <row r="97" spans="1:28" x14ac:dyDescent="0.2">
      <c r="A97" s="9" t="s">
        <v>218</v>
      </c>
      <c r="B97" s="9" t="s">
        <v>506</v>
      </c>
      <c r="C97" s="9" t="s">
        <v>530</v>
      </c>
      <c r="D97" s="9" t="s">
        <v>545</v>
      </c>
      <c r="E97" s="9" t="s">
        <v>15</v>
      </c>
      <c r="F97" t="s">
        <v>15</v>
      </c>
      <c r="G97" t="s">
        <v>511</v>
      </c>
      <c r="H97" s="9">
        <v>41.3</v>
      </c>
      <c r="I97" s="9" t="s">
        <v>16</v>
      </c>
      <c r="J97" s="9" t="s">
        <v>22</v>
      </c>
      <c r="K97" s="9">
        <v>9.8406331999999999E-2</v>
      </c>
      <c r="L97" s="9">
        <v>16.8</v>
      </c>
      <c r="M97" s="29">
        <v>0.186</v>
      </c>
      <c r="N97" s="9"/>
      <c r="O97" s="9">
        <v>2.9</v>
      </c>
      <c r="P97" s="9">
        <v>1.11E-2</v>
      </c>
      <c r="Q97" s="9">
        <v>1.895</v>
      </c>
      <c r="R97" s="9">
        <v>6</v>
      </c>
      <c r="S97" s="9" t="s">
        <v>152</v>
      </c>
      <c r="T97" s="9">
        <v>5.2586882020000001</v>
      </c>
      <c r="U97" s="9"/>
      <c r="V97" s="9"/>
      <c r="W97" s="9"/>
      <c r="X97">
        <v>0.22532949299999999</v>
      </c>
      <c r="Y97" s="9"/>
      <c r="Z97" s="9"/>
      <c r="AA97" s="9"/>
      <c r="AB97" s="9" t="s">
        <v>220</v>
      </c>
    </row>
    <row r="98" spans="1:28" x14ac:dyDescent="0.2">
      <c r="A98" s="9" t="s">
        <v>219</v>
      </c>
      <c r="B98" s="9" t="s">
        <v>506</v>
      </c>
      <c r="C98" s="9" t="s">
        <v>530</v>
      </c>
      <c r="D98" s="9" t="s">
        <v>540</v>
      </c>
      <c r="E98" s="9" t="s">
        <v>15</v>
      </c>
      <c r="F98" t="s">
        <v>15</v>
      </c>
      <c r="G98" t="s">
        <v>511</v>
      </c>
      <c r="H98" s="9">
        <v>41.3</v>
      </c>
      <c r="I98" s="9" t="s">
        <v>16</v>
      </c>
      <c r="J98" s="9" t="s">
        <v>22</v>
      </c>
      <c r="K98" s="9">
        <v>9.8406331999999999E-2</v>
      </c>
      <c r="L98" s="9">
        <v>16.8</v>
      </c>
      <c r="M98" s="29">
        <v>0.186</v>
      </c>
      <c r="N98" s="9"/>
      <c r="O98" s="9">
        <v>2.9</v>
      </c>
      <c r="P98" s="9">
        <v>1.11E-2</v>
      </c>
      <c r="Q98" s="9">
        <v>1.895</v>
      </c>
      <c r="R98" s="9">
        <v>6</v>
      </c>
      <c r="S98" s="9" t="s">
        <v>152</v>
      </c>
      <c r="T98" s="9">
        <v>7.6449795920000003</v>
      </c>
      <c r="U98" s="9"/>
      <c r="V98" s="9"/>
      <c r="W98" s="9"/>
      <c r="X98">
        <v>5.320717E-3</v>
      </c>
      <c r="Y98" s="9"/>
      <c r="Z98" s="9"/>
      <c r="AA98" s="9"/>
      <c r="AB98" s="9" t="s">
        <v>220</v>
      </c>
    </row>
  </sheetData>
  <autoFilter ref="A1:AB98" xr:uid="{00000000-0001-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6"/>
  <sheetViews>
    <sheetView workbookViewId="0">
      <pane ySplit="1" topLeftCell="A2" activePane="bottomLeft" state="frozen"/>
      <selection activeCell="W43" sqref="W43"/>
      <selection pane="bottomLeft" activeCell="W43" sqref="W43"/>
    </sheetView>
  </sheetViews>
  <sheetFormatPr baseColWidth="10" defaultRowHeight="16" x14ac:dyDescent="0.2"/>
  <cols>
    <col min="1" max="1" width="27" bestFit="1" customWidth="1"/>
    <col min="2" max="2" width="6.33203125" bestFit="1" customWidth="1"/>
    <col min="3" max="3" width="8.5" bestFit="1" customWidth="1"/>
    <col min="4" max="4" width="9.6640625" bestFit="1" customWidth="1"/>
    <col min="5" max="5" width="10.5" bestFit="1" customWidth="1"/>
    <col min="6" max="6" width="12.33203125" bestFit="1" customWidth="1"/>
    <col min="7" max="7" width="10.5" customWidth="1"/>
    <col min="8" max="9" width="14.5" customWidth="1"/>
    <col min="10" max="10" width="12.1640625" customWidth="1"/>
    <col min="11" max="11" width="13.83203125" bestFit="1" customWidth="1"/>
    <col min="12" max="12" width="6.1640625" customWidth="1"/>
    <col min="13" max="13" width="18.6640625" bestFit="1" customWidth="1"/>
    <col min="14" max="14" width="15" bestFit="1" customWidth="1"/>
    <col min="15" max="15" width="12.5" bestFit="1" customWidth="1"/>
    <col min="16" max="18" width="15.33203125" bestFit="1" customWidth="1"/>
    <col min="19" max="19" width="12.83203125" bestFit="1" customWidth="1"/>
    <col min="20" max="21" width="15.6640625" bestFit="1" customWidth="1"/>
    <col min="22" max="22" width="20.1640625" customWidth="1"/>
  </cols>
  <sheetData>
    <row r="1" spans="1:22" x14ac:dyDescent="0.2">
      <c r="A1" t="s">
        <v>0</v>
      </c>
      <c r="B1" t="s">
        <v>1</v>
      </c>
      <c r="C1" t="s">
        <v>2</v>
      </c>
      <c r="D1" t="s">
        <v>3</v>
      </c>
      <c r="E1" t="s">
        <v>4</v>
      </c>
      <c r="F1" t="s">
        <v>77</v>
      </c>
      <c r="G1" t="s">
        <v>79</v>
      </c>
      <c r="H1" t="s">
        <v>98</v>
      </c>
      <c r="I1" t="s">
        <v>99</v>
      </c>
      <c r="J1" t="s">
        <v>97</v>
      </c>
      <c r="K1" t="s">
        <v>100</v>
      </c>
      <c r="L1" t="s">
        <v>5</v>
      </c>
      <c r="M1" t="s">
        <v>151</v>
      </c>
      <c r="N1" t="s">
        <v>6</v>
      </c>
      <c r="O1" t="s">
        <v>7</v>
      </c>
      <c r="P1" t="s">
        <v>8</v>
      </c>
      <c r="Q1" t="s">
        <v>9</v>
      </c>
      <c r="R1" t="s">
        <v>10</v>
      </c>
      <c r="S1" t="s">
        <v>11</v>
      </c>
      <c r="T1" t="s">
        <v>12</v>
      </c>
      <c r="U1" t="s">
        <v>13</v>
      </c>
      <c r="V1" t="s">
        <v>149</v>
      </c>
    </row>
    <row r="2" spans="1:22" x14ac:dyDescent="0.2">
      <c r="A2" t="s">
        <v>155</v>
      </c>
      <c r="B2" t="s">
        <v>15</v>
      </c>
      <c r="C2">
        <v>24.2</v>
      </c>
      <c r="D2" t="s">
        <v>16</v>
      </c>
      <c r="E2" t="s">
        <v>17</v>
      </c>
      <c r="F2">
        <f>7.8*2.333333333</f>
        <v>18.199999997399999</v>
      </c>
      <c r="G2">
        <f t="shared" ref="G2:G19" si="0">F2*J2</f>
        <v>0.20056399997134799</v>
      </c>
      <c r="H2">
        <f>5.6*0.001</f>
        <v>5.5999999999999999E-3</v>
      </c>
      <c r="I2">
        <f>AVERAGE(28.86,29.03,29.14,29.09)*0.1</f>
        <v>2.9030000000000005</v>
      </c>
      <c r="J2">
        <f>11.02*0.001</f>
        <v>1.102E-2</v>
      </c>
      <c r="K2">
        <v>0.85362727299999996</v>
      </c>
      <c r="L2" s="8">
        <v>9</v>
      </c>
      <c r="M2" t="s">
        <v>154</v>
      </c>
      <c r="N2">
        <v>10.18214457</v>
      </c>
      <c r="O2">
        <v>1.467197807</v>
      </c>
      <c r="P2">
        <v>7.6413288650000002</v>
      </c>
      <c r="Q2">
        <v>13.33201918</v>
      </c>
      <c r="R2">
        <v>3.5659739000000003E-2</v>
      </c>
      <c r="S2">
        <v>3.5189191000000002E-2</v>
      </c>
      <c r="T2">
        <v>-7.6916229999999999E-3</v>
      </c>
      <c r="U2">
        <v>0.123867667</v>
      </c>
      <c r="V2" t="s">
        <v>150</v>
      </c>
    </row>
    <row r="3" spans="1:22" x14ac:dyDescent="0.2">
      <c r="A3" t="s">
        <v>156</v>
      </c>
      <c r="B3" t="s">
        <v>15</v>
      </c>
      <c r="C3">
        <v>30</v>
      </c>
      <c r="D3" t="s">
        <v>19</v>
      </c>
      <c r="E3" t="s">
        <v>17</v>
      </c>
      <c r="F3">
        <f>(1+3)/2</f>
        <v>2</v>
      </c>
      <c r="G3">
        <f t="shared" si="0"/>
        <v>0.06</v>
      </c>
      <c r="H3">
        <f>( (15+24)/2 ) *0.001</f>
        <v>1.95E-2</v>
      </c>
      <c r="I3">
        <f>((45+50)/2)*0.1</f>
        <v>4.75</v>
      </c>
      <c r="J3">
        <f>((25+35)/2)*0.001</f>
        <v>0.03</v>
      </c>
      <c r="K3">
        <v>0.71500909099999999</v>
      </c>
      <c r="L3" s="8">
        <v>5</v>
      </c>
      <c r="M3" t="s">
        <v>154</v>
      </c>
      <c r="N3">
        <v>16.291821370000001</v>
      </c>
      <c r="O3">
        <v>2.5707561490000002</v>
      </c>
      <c r="P3">
        <v>11.94996989</v>
      </c>
      <c r="Q3">
        <v>21.958753640000001</v>
      </c>
      <c r="R3">
        <v>-3.2538700000000001E-4</v>
      </c>
      <c r="S3">
        <v>1.0939255E-2</v>
      </c>
      <c r="T3">
        <v>-1.8143250999999999E-2</v>
      </c>
      <c r="U3">
        <v>2.7329780000000001E-2</v>
      </c>
      <c r="V3" t="s">
        <v>150</v>
      </c>
    </row>
    <row r="4" spans="1:22" x14ac:dyDescent="0.2">
      <c r="A4" t="s">
        <v>157</v>
      </c>
      <c r="B4" t="s">
        <v>15</v>
      </c>
      <c r="C4">
        <v>31.8</v>
      </c>
      <c r="D4" t="s">
        <v>16</v>
      </c>
      <c r="E4" t="s">
        <v>17</v>
      </c>
      <c r="F4">
        <v>4</v>
      </c>
      <c r="G4">
        <f t="shared" si="0"/>
        <v>9.5560000000000006E-2</v>
      </c>
      <c r="H4">
        <f>15*0.001</f>
        <v>1.4999999999999999E-2</v>
      </c>
      <c r="I4">
        <f>40*0.1</f>
        <v>4</v>
      </c>
      <c r="J4">
        <f>23.89*0.001</f>
        <v>2.3890000000000002E-2</v>
      </c>
      <c r="K4">
        <v>1.5256805099999999</v>
      </c>
      <c r="L4" s="8">
        <v>8</v>
      </c>
      <c r="M4" t="s">
        <v>154</v>
      </c>
      <c r="V4" t="s">
        <v>150</v>
      </c>
    </row>
    <row r="5" spans="1:22" x14ac:dyDescent="0.2">
      <c r="A5" t="s">
        <v>158</v>
      </c>
      <c r="B5" t="s">
        <v>15</v>
      </c>
      <c r="C5">
        <v>38.200000000000003</v>
      </c>
      <c r="D5" t="s">
        <v>16</v>
      </c>
      <c r="E5" t="s">
        <v>22</v>
      </c>
      <c r="F5">
        <v>1</v>
      </c>
      <c r="G5">
        <f t="shared" si="0"/>
        <v>1.95E-2</v>
      </c>
      <c r="H5">
        <f>69*0.001</f>
        <v>6.9000000000000006E-2</v>
      </c>
      <c r="J5">
        <f>19.5*0.001</f>
        <v>1.95E-2</v>
      </c>
      <c r="K5">
        <v>0.87219999999999998</v>
      </c>
      <c r="L5" s="8">
        <v>4</v>
      </c>
      <c r="M5" t="s">
        <v>154</v>
      </c>
      <c r="N5">
        <v>12.37932078</v>
      </c>
      <c r="O5">
        <v>0.76086926899999996</v>
      </c>
      <c r="P5">
        <v>10.92185538</v>
      </c>
      <c r="Q5">
        <v>13.913411549999999</v>
      </c>
      <c r="R5">
        <v>1.7793297E-2</v>
      </c>
      <c r="S5">
        <v>1.2289803E-2</v>
      </c>
      <c r="T5">
        <v>-3.6133200000000002E-4</v>
      </c>
      <c r="U5">
        <v>4.6577314000000002E-2</v>
      </c>
      <c r="V5" t="s">
        <v>150</v>
      </c>
    </row>
    <row r="6" spans="1:22" x14ac:dyDescent="0.2">
      <c r="A6" t="s">
        <v>159</v>
      </c>
      <c r="B6" t="s">
        <v>15</v>
      </c>
      <c r="C6">
        <v>29.6</v>
      </c>
      <c r="D6" t="s">
        <v>16</v>
      </c>
      <c r="E6" t="s">
        <v>22</v>
      </c>
      <c r="F6">
        <v>4</v>
      </c>
      <c r="G6">
        <f t="shared" si="0"/>
        <v>0.19519999999999998</v>
      </c>
      <c r="H6">
        <f>31.5*0.001</f>
        <v>3.15E-2</v>
      </c>
      <c r="I6">
        <f>52.7*0.1</f>
        <v>5.2700000000000005</v>
      </c>
      <c r="J6">
        <f>48.8*0.001</f>
        <v>4.8799999999999996E-2</v>
      </c>
      <c r="K6">
        <v>4.7009960980000001</v>
      </c>
      <c r="L6" s="8">
        <v>7</v>
      </c>
      <c r="M6" t="s">
        <v>154</v>
      </c>
      <c r="N6">
        <v>17.760025049999999</v>
      </c>
      <c r="O6">
        <v>1.5143257480000001</v>
      </c>
      <c r="P6">
        <v>15.144521709999999</v>
      </c>
      <c r="Q6">
        <v>21.09687641</v>
      </c>
      <c r="R6">
        <v>4.1946520000000001E-2</v>
      </c>
      <c r="S6">
        <v>2.6352621999999999E-2</v>
      </c>
      <c r="T6">
        <v>3.6151070000000002E-3</v>
      </c>
      <c r="U6">
        <v>0.104660358</v>
      </c>
      <c r="V6" t="s">
        <v>150</v>
      </c>
    </row>
    <row r="7" spans="1:22" x14ac:dyDescent="0.2">
      <c r="A7" t="s">
        <v>160</v>
      </c>
      <c r="B7" t="s">
        <v>15</v>
      </c>
      <c r="C7">
        <v>19.2</v>
      </c>
      <c r="D7" t="s">
        <v>16</v>
      </c>
      <c r="E7" t="s">
        <v>17</v>
      </c>
      <c r="F7">
        <f>2*15.5</f>
        <v>31</v>
      </c>
      <c r="G7">
        <f t="shared" si="0"/>
        <v>0.35649999999999998</v>
      </c>
      <c r="I7">
        <f>AVERAGE(35,37)*0.1</f>
        <v>3.6</v>
      </c>
      <c r="J7">
        <f>11.5*0.001</f>
        <v>1.15E-2</v>
      </c>
      <c r="K7">
        <v>2.155300371</v>
      </c>
      <c r="L7" s="8">
        <v>6</v>
      </c>
      <c r="M7" t="s">
        <v>154</v>
      </c>
      <c r="N7">
        <v>19.06127905</v>
      </c>
      <c r="O7">
        <v>1.7077028780000001</v>
      </c>
      <c r="P7">
        <v>16.01909934</v>
      </c>
      <c r="Q7">
        <v>22.722474439999999</v>
      </c>
      <c r="R7">
        <v>6.0630101999999998E-2</v>
      </c>
      <c r="S7">
        <v>3.3212281000000003E-2</v>
      </c>
      <c r="T7">
        <v>8.5745479999999995E-3</v>
      </c>
      <c r="U7">
        <v>0.131880201</v>
      </c>
      <c r="V7" t="s">
        <v>150</v>
      </c>
    </row>
    <row r="8" spans="1:22" x14ac:dyDescent="0.2">
      <c r="A8" t="s">
        <v>161</v>
      </c>
      <c r="B8" t="s">
        <v>15</v>
      </c>
      <c r="C8">
        <v>50</v>
      </c>
      <c r="D8" t="s">
        <v>16</v>
      </c>
      <c r="E8" t="s">
        <v>17</v>
      </c>
      <c r="F8">
        <v>24</v>
      </c>
      <c r="G8">
        <f t="shared" si="0"/>
        <v>1.6896</v>
      </c>
      <c r="H8">
        <f>35.2*0.001</f>
        <v>3.5200000000000002E-2</v>
      </c>
      <c r="J8">
        <f>70.4*0.001</f>
        <v>7.0400000000000004E-2</v>
      </c>
      <c r="K8">
        <v>9.5052013800000008</v>
      </c>
      <c r="L8" s="8">
        <v>7</v>
      </c>
      <c r="M8" t="s">
        <v>154</v>
      </c>
      <c r="V8" t="s">
        <v>150</v>
      </c>
    </row>
    <row r="9" spans="1:22" x14ac:dyDescent="0.2">
      <c r="A9" t="s">
        <v>162</v>
      </c>
      <c r="B9" t="s">
        <v>15</v>
      </c>
      <c r="C9">
        <v>16.7</v>
      </c>
      <c r="D9" t="s">
        <v>16</v>
      </c>
      <c r="E9" t="s">
        <v>22</v>
      </c>
      <c r="F9">
        <f>1.3*3.5</f>
        <v>4.55</v>
      </c>
      <c r="G9">
        <f t="shared" si="0"/>
        <v>0.12967500000000001</v>
      </c>
      <c r="H9">
        <f>((14+15)/2)*0.001</f>
        <v>1.4500000000000001E-2</v>
      </c>
      <c r="J9">
        <f>28.5*0.001</f>
        <v>2.8500000000000001E-2</v>
      </c>
      <c r="K9">
        <v>0.197230769</v>
      </c>
      <c r="L9" s="8">
        <v>5</v>
      </c>
      <c r="M9" t="s">
        <v>154</v>
      </c>
      <c r="N9">
        <v>5.7196477080000001</v>
      </c>
      <c r="O9">
        <v>1.2795444760000001</v>
      </c>
      <c r="P9">
        <v>3.5509374380000001</v>
      </c>
      <c r="Q9">
        <v>8.5505709620000001</v>
      </c>
      <c r="R9">
        <v>-4.3696171999999998E-2</v>
      </c>
      <c r="S9">
        <v>0.22507534500000001</v>
      </c>
      <c r="T9">
        <v>-0.67426693199999999</v>
      </c>
      <c r="U9">
        <v>0</v>
      </c>
      <c r="V9" t="s">
        <v>150</v>
      </c>
    </row>
    <row r="10" spans="1:22" x14ac:dyDescent="0.2">
      <c r="A10" t="s">
        <v>163</v>
      </c>
      <c r="B10" t="s">
        <v>15</v>
      </c>
      <c r="C10">
        <v>20</v>
      </c>
      <c r="D10" t="s">
        <v>16</v>
      </c>
      <c r="E10" t="s">
        <v>17</v>
      </c>
      <c r="F10">
        <v>3</v>
      </c>
      <c r="G10">
        <f t="shared" si="0"/>
        <v>2.4599999999999997E-2</v>
      </c>
      <c r="H10">
        <f>((6+7.5)/2)*0.001</f>
        <v>6.7499999999999999E-3</v>
      </c>
      <c r="J10">
        <f>8.2*0.001</f>
        <v>8.199999999999999E-3</v>
      </c>
      <c r="K10">
        <v>0.15799327699999999</v>
      </c>
      <c r="L10" s="8">
        <v>3</v>
      </c>
      <c r="M10" t="s">
        <v>154</v>
      </c>
      <c r="N10">
        <v>15.15321408</v>
      </c>
      <c r="O10">
        <v>1.4591458100000001</v>
      </c>
      <c r="P10">
        <v>12.69906763</v>
      </c>
      <c r="Q10">
        <v>18.3831624</v>
      </c>
      <c r="R10">
        <v>9.1227470000000005E-3</v>
      </c>
      <c r="S10">
        <v>1.5731755E-2</v>
      </c>
      <c r="T10">
        <v>-8.9896980000000008E-3</v>
      </c>
      <c r="U10">
        <v>5.2462921000000003E-2</v>
      </c>
      <c r="V10" t="s">
        <v>150</v>
      </c>
    </row>
    <row r="11" spans="1:22" x14ac:dyDescent="0.2">
      <c r="A11" t="s">
        <v>164</v>
      </c>
      <c r="B11" t="s">
        <v>15</v>
      </c>
      <c r="C11" s="2">
        <v>39.200000000000003</v>
      </c>
      <c r="D11" t="s">
        <v>19</v>
      </c>
      <c r="E11" t="s">
        <v>17</v>
      </c>
      <c r="F11">
        <f>4*2.5</f>
        <v>10</v>
      </c>
      <c r="G11">
        <f t="shared" si="0"/>
        <v>0.15699999999999997</v>
      </c>
      <c r="J11">
        <f>15.7*0.001</f>
        <v>1.5699999999999999E-2</v>
      </c>
      <c r="K11">
        <v>1.6187</v>
      </c>
      <c r="L11" s="8">
        <v>8</v>
      </c>
      <c r="M11" t="s">
        <v>154</v>
      </c>
      <c r="N11">
        <v>8.6759213339999999</v>
      </c>
      <c r="O11">
        <v>1.6658753930000001</v>
      </c>
      <c r="P11">
        <v>5.9927899929999997</v>
      </c>
      <c r="Q11">
        <v>12.434862280000001</v>
      </c>
      <c r="R11">
        <v>1.8546508E-2</v>
      </c>
      <c r="S11">
        <v>2.9487718E-2</v>
      </c>
      <c r="T11">
        <v>-2.0304218999999998E-2</v>
      </c>
      <c r="U11">
        <v>9.5667463999999994E-2</v>
      </c>
      <c r="V11" t="s">
        <v>150</v>
      </c>
    </row>
    <row r="12" spans="1:22" x14ac:dyDescent="0.2">
      <c r="A12" t="s">
        <v>165</v>
      </c>
      <c r="B12" t="s">
        <v>15</v>
      </c>
      <c r="C12">
        <v>14.1</v>
      </c>
      <c r="D12" t="s">
        <v>19</v>
      </c>
      <c r="E12" t="s">
        <v>22</v>
      </c>
      <c r="F12">
        <f>4*2.5</f>
        <v>10</v>
      </c>
      <c r="G12">
        <f t="shared" si="0"/>
        <v>0.42799999999999999</v>
      </c>
      <c r="H12">
        <f>((17+27)/2)*0.001</f>
        <v>2.1999999999999999E-2</v>
      </c>
      <c r="I12">
        <f>((31+49)/2)*0.1</f>
        <v>4</v>
      </c>
      <c r="J12">
        <f>42.8*0.001</f>
        <v>4.2799999999999998E-2</v>
      </c>
      <c r="K12">
        <v>2.2784711569999998</v>
      </c>
      <c r="L12" s="8">
        <v>6</v>
      </c>
      <c r="M12" t="s">
        <v>154</v>
      </c>
      <c r="N12">
        <v>21.675100749999999</v>
      </c>
      <c r="O12">
        <v>1.9504776500000001</v>
      </c>
      <c r="P12">
        <v>18.600337740000001</v>
      </c>
      <c r="Q12">
        <v>26.263005939999999</v>
      </c>
      <c r="R12">
        <v>3.1707500999999999E-2</v>
      </c>
      <c r="S12">
        <v>2.1642207E-2</v>
      </c>
      <c r="T12">
        <v>2.064045E-3</v>
      </c>
      <c r="U12">
        <v>8.3289888000000006E-2</v>
      </c>
      <c r="V12" t="s">
        <v>150</v>
      </c>
    </row>
    <row r="13" spans="1:22" x14ac:dyDescent="0.2">
      <c r="A13" t="s">
        <v>166</v>
      </c>
      <c r="B13" t="s">
        <v>15</v>
      </c>
      <c r="C13">
        <v>25.9</v>
      </c>
      <c r="D13" t="s">
        <v>19</v>
      </c>
      <c r="E13" t="s">
        <v>17</v>
      </c>
      <c r="F13">
        <v>1</v>
      </c>
      <c r="G13">
        <f t="shared" si="0"/>
        <v>1.8880000000000001E-2</v>
      </c>
      <c r="H13">
        <f>((10+23)/2)*0.001</f>
        <v>1.6500000000000001E-2</v>
      </c>
      <c r="I13">
        <f>((32+47)/2)*0.1</f>
        <v>3.95</v>
      </c>
      <c r="J13">
        <f>18.88*0.001</f>
        <v>1.8880000000000001E-2</v>
      </c>
      <c r="K13">
        <v>0.47988644800000002</v>
      </c>
      <c r="L13" s="8">
        <v>5</v>
      </c>
      <c r="M13" t="s">
        <v>154</v>
      </c>
      <c r="N13">
        <v>18.035706229999999</v>
      </c>
      <c r="O13">
        <v>1.092092061</v>
      </c>
      <c r="P13">
        <v>16.105932849999999</v>
      </c>
      <c r="Q13">
        <v>20.3674648</v>
      </c>
      <c r="R13">
        <v>1.2805517000000001E-2</v>
      </c>
      <c r="S13">
        <v>9.4843510000000002E-3</v>
      </c>
      <c r="T13">
        <v>-4.8811200000000002E-4</v>
      </c>
      <c r="U13">
        <v>3.5144598999999999E-2</v>
      </c>
      <c r="V13" t="s">
        <v>150</v>
      </c>
    </row>
    <row r="14" spans="1:22" x14ac:dyDescent="0.2">
      <c r="A14" t="s">
        <v>167</v>
      </c>
      <c r="B14" t="s">
        <v>15</v>
      </c>
      <c r="C14">
        <v>21.2</v>
      </c>
      <c r="D14" t="s">
        <v>19</v>
      </c>
      <c r="E14" t="s">
        <v>17</v>
      </c>
      <c r="F14">
        <f>6.5*2.4</f>
        <v>15.6</v>
      </c>
      <c r="G14">
        <f t="shared" si="0"/>
        <v>0.27611999999999998</v>
      </c>
      <c r="I14">
        <f>35*0.1</f>
        <v>3.5</v>
      </c>
      <c r="J14">
        <f>17.7*0.001</f>
        <v>1.77E-2</v>
      </c>
      <c r="K14">
        <v>2.1325545020000001</v>
      </c>
      <c r="L14" s="8">
        <v>11</v>
      </c>
      <c r="M14" t="s">
        <v>154</v>
      </c>
      <c r="N14">
        <v>13.148156869999999</v>
      </c>
      <c r="O14">
        <v>2.1446196240000002</v>
      </c>
      <c r="P14">
        <v>9.6566818699999999</v>
      </c>
      <c r="Q14">
        <v>17.91590506</v>
      </c>
      <c r="R14">
        <v>-3.4315799999999998E-4</v>
      </c>
      <c r="S14">
        <v>2.7955160000000001E-3</v>
      </c>
      <c r="T14">
        <v>-4.7686220000000001E-3</v>
      </c>
      <c r="U14">
        <v>6.2839000000000005E-4</v>
      </c>
      <c r="V14" t="s">
        <v>150</v>
      </c>
    </row>
    <row r="15" spans="1:22" x14ac:dyDescent="0.2">
      <c r="A15" t="s">
        <v>168</v>
      </c>
      <c r="B15" t="s">
        <v>15</v>
      </c>
      <c r="C15">
        <v>21</v>
      </c>
      <c r="D15" t="s">
        <v>19</v>
      </c>
      <c r="E15" t="s">
        <v>17</v>
      </c>
      <c r="F15">
        <f>1.7*3</f>
        <v>5.0999999999999996</v>
      </c>
      <c r="G15">
        <f t="shared" si="0"/>
        <v>5.7119999999999997E-2</v>
      </c>
      <c r="H15">
        <f>5.9*0.001</f>
        <v>5.9000000000000007E-3</v>
      </c>
      <c r="I15">
        <f>((25+32)/2)*0.1</f>
        <v>2.85</v>
      </c>
      <c r="J15">
        <f>11.2*0.001</f>
        <v>1.12E-2</v>
      </c>
      <c r="K15">
        <v>0.28115067900000001</v>
      </c>
      <c r="L15" s="8">
        <v>5</v>
      </c>
      <c r="M15" t="s">
        <v>154</v>
      </c>
      <c r="N15">
        <v>11.7632767</v>
      </c>
      <c r="O15">
        <v>0.64114489399999997</v>
      </c>
      <c r="P15">
        <v>10.529136790000001</v>
      </c>
      <c r="Q15">
        <v>13.04865012</v>
      </c>
      <c r="R15">
        <v>0.113961721</v>
      </c>
      <c r="S15">
        <v>4.9628758000000002E-2</v>
      </c>
      <c r="T15">
        <v>3.2887916000000003E-2</v>
      </c>
      <c r="U15">
        <v>0.22679290599999999</v>
      </c>
      <c r="V15" t="s">
        <v>150</v>
      </c>
    </row>
    <row r="16" spans="1:22" x14ac:dyDescent="0.2">
      <c r="A16" t="s">
        <v>169</v>
      </c>
      <c r="B16" t="s">
        <v>15</v>
      </c>
      <c r="C16">
        <v>127</v>
      </c>
      <c r="D16" t="s">
        <v>19</v>
      </c>
      <c r="E16" t="s">
        <v>17</v>
      </c>
      <c r="F16">
        <f>5*3.2</f>
        <v>16</v>
      </c>
      <c r="G16">
        <f t="shared" si="0"/>
        <v>0.22719999999999999</v>
      </c>
      <c r="H16">
        <f>10.8*0.001</f>
        <v>1.0800000000000001E-2</v>
      </c>
      <c r="I16">
        <f>((30+35)/2)*0.1</f>
        <v>3.25</v>
      </c>
      <c r="J16">
        <f>14.2*0.001</f>
        <v>1.4199999999999999E-2</v>
      </c>
      <c r="K16">
        <v>2.266621947</v>
      </c>
      <c r="L16" s="8">
        <v>10</v>
      </c>
      <c r="M16" t="s">
        <v>154</v>
      </c>
      <c r="N16">
        <v>10.14349414</v>
      </c>
      <c r="O16">
        <v>0.82260133899999999</v>
      </c>
      <c r="P16">
        <v>8.6246586959999991</v>
      </c>
      <c r="Q16">
        <v>11.87433981</v>
      </c>
      <c r="R16">
        <v>-2.6149075000000001E-2</v>
      </c>
      <c r="S16">
        <v>1.0027846E-2</v>
      </c>
      <c r="T16">
        <v>-4.8033567999999999E-2</v>
      </c>
      <c r="U16">
        <v>-8.7415740000000002E-3</v>
      </c>
      <c r="V16" t="s">
        <v>150</v>
      </c>
    </row>
    <row r="17" spans="1:22" x14ac:dyDescent="0.2">
      <c r="A17" t="s">
        <v>241</v>
      </c>
      <c r="B17" t="s">
        <v>15</v>
      </c>
      <c r="C17">
        <v>31.7</v>
      </c>
      <c r="D17" t="s">
        <v>19</v>
      </c>
      <c r="E17" t="s">
        <v>17</v>
      </c>
      <c r="F17">
        <f>4.5*1.7</f>
        <v>7.6499999999999995</v>
      </c>
      <c r="G17">
        <f t="shared" si="0"/>
        <v>0.11016000000000001</v>
      </c>
      <c r="H17">
        <f>8*0.001</f>
        <v>8.0000000000000002E-3</v>
      </c>
      <c r="I17">
        <f>((31+33)/2)*0.1</f>
        <v>3.2</v>
      </c>
      <c r="J17">
        <f>14.4*0.001</f>
        <v>1.4400000000000001E-2</v>
      </c>
      <c r="K17">
        <v>1.5823714289999999</v>
      </c>
      <c r="L17" s="8">
        <v>12</v>
      </c>
      <c r="M17" t="s">
        <v>154</v>
      </c>
      <c r="N17">
        <v>14.85021774</v>
      </c>
      <c r="O17">
        <v>0.81365903799999995</v>
      </c>
      <c r="P17">
        <v>13.360110519999999</v>
      </c>
      <c r="Q17">
        <v>16.527937420000001</v>
      </c>
      <c r="R17">
        <v>-3.6049260000000001E-3</v>
      </c>
      <c r="S17">
        <v>6.2252480000000001E-3</v>
      </c>
      <c r="T17">
        <v>-1.2956137E-2</v>
      </c>
      <c r="U17">
        <v>1.3746998999999999E-2</v>
      </c>
      <c r="V17" t="s">
        <v>150</v>
      </c>
    </row>
    <row r="18" spans="1:22" x14ac:dyDescent="0.2">
      <c r="A18" t="s">
        <v>217</v>
      </c>
      <c r="B18" t="s">
        <v>15</v>
      </c>
      <c r="C18">
        <v>31.7</v>
      </c>
      <c r="D18" t="s">
        <v>19</v>
      </c>
      <c r="E18" t="s">
        <v>17</v>
      </c>
      <c r="F18">
        <v>7.3643999999999998</v>
      </c>
      <c r="G18">
        <f t="shared" si="0"/>
        <v>0.10604736000000001</v>
      </c>
      <c r="H18">
        <v>8.0000000000000002E-3</v>
      </c>
      <c r="I18">
        <v>3.2</v>
      </c>
      <c r="J18">
        <v>1.4400000000000001E-2</v>
      </c>
      <c r="K18">
        <f>1203*0.001</f>
        <v>1.2030000000000001</v>
      </c>
      <c r="L18">
        <v>9.5</v>
      </c>
      <c r="M18" t="s">
        <v>152</v>
      </c>
      <c r="N18">
        <v>22.502412119999999</v>
      </c>
      <c r="R18">
        <v>-3.7699869999999998E-3</v>
      </c>
      <c r="V18" t="s">
        <v>220</v>
      </c>
    </row>
    <row r="19" spans="1:22" x14ac:dyDescent="0.2">
      <c r="A19" t="s">
        <v>170</v>
      </c>
      <c r="B19" t="s">
        <v>15</v>
      </c>
      <c r="C19">
        <v>40</v>
      </c>
      <c r="D19" t="s">
        <v>19</v>
      </c>
      <c r="E19" t="s">
        <v>17</v>
      </c>
      <c r="F19">
        <f>4*3</f>
        <v>12</v>
      </c>
      <c r="G19">
        <f t="shared" si="0"/>
        <v>0.21300000000000002</v>
      </c>
      <c r="I19">
        <f>((29+50)/2)*0.1</f>
        <v>3.95</v>
      </c>
      <c r="J19">
        <f>17.75*0.001</f>
        <v>1.7750000000000002E-2</v>
      </c>
      <c r="K19">
        <v>1.0524145039999999</v>
      </c>
      <c r="L19" s="8">
        <v>10</v>
      </c>
      <c r="M19" t="s">
        <v>154</v>
      </c>
      <c r="N19">
        <v>21.446198200000001</v>
      </c>
      <c r="O19">
        <v>2.5637687310000001</v>
      </c>
      <c r="P19">
        <v>17.381798580000002</v>
      </c>
      <c r="Q19">
        <v>27.431849150000001</v>
      </c>
      <c r="R19">
        <v>-5.048075E-3</v>
      </c>
      <c r="S19">
        <v>4.5745860000000003E-3</v>
      </c>
      <c r="T19">
        <v>-1.3785331E-2</v>
      </c>
      <c r="U19">
        <v>4.5211660000000001E-3</v>
      </c>
      <c r="V19" t="s">
        <v>150</v>
      </c>
    </row>
    <row r="20" spans="1:22" x14ac:dyDescent="0.2">
      <c r="A20" t="s">
        <v>171</v>
      </c>
      <c r="B20" t="s">
        <v>15</v>
      </c>
      <c r="C20">
        <v>60</v>
      </c>
      <c r="D20" t="s">
        <v>19</v>
      </c>
      <c r="E20" t="s">
        <v>22</v>
      </c>
      <c r="F20">
        <f>3*1.5</f>
        <v>4.5</v>
      </c>
      <c r="H20">
        <f>((15+22)/2)*0.1</f>
        <v>1.85</v>
      </c>
      <c r="I20">
        <f>((42+47)/2)*0.1</f>
        <v>4.45</v>
      </c>
      <c r="J20" s="5">
        <f>((23+32)/2)*0.001</f>
        <v>2.75E-2</v>
      </c>
      <c r="K20">
        <v>0.82394871800000002</v>
      </c>
      <c r="L20" s="8">
        <v>15</v>
      </c>
      <c r="M20" t="s">
        <v>154</v>
      </c>
      <c r="N20">
        <v>7.5690665900000003</v>
      </c>
      <c r="O20">
        <v>1.2532340850000001</v>
      </c>
      <c r="P20">
        <v>5.4503199200000001</v>
      </c>
      <c r="Q20">
        <v>10.362963690000001</v>
      </c>
      <c r="R20">
        <v>1.5282274E-2</v>
      </c>
      <c r="S20">
        <v>2.4499139999999999E-2</v>
      </c>
      <c r="T20">
        <v>-1.8679087E-2</v>
      </c>
      <c r="U20">
        <v>7.9425622000000001E-2</v>
      </c>
      <c r="V20" t="s">
        <v>150</v>
      </c>
    </row>
    <row r="21" spans="1:22" x14ac:dyDescent="0.2">
      <c r="A21" t="s">
        <v>172</v>
      </c>
      <c r="B21" t="s">
        <v>15</v>
      </c>
      <c r="C21">
        <v>26.5</v>
      </c>
      <c r="D21" t="s">
        <v>19</v>
      </c>
      <c r="E21" t="s">
        <v>22</v>
      </c>
      <c r="F21">
        <f>2.3*4</f>
        <v>9.1999999999999993</v>
      </c>
      <c r="G21">
        <f t="shared" ref="G21:G40" si="1">F21*J21</f>
        <v>0.33193600000000001</v>
      </c>
      <c r="I21">
        <f>40*0.1</f>
        <v>4</v>
      </c>
      <c r="J21">
        <f>36.08*0.001</f>
        <v>3.6080000000000001E-2</v>
      </c>
      <c r="K21">
        <v>2.2266136200000002</v>
      </c>
      <c r="L21" s="8">
        <v>12</v>
      </c>
      <c r="M21" t="s">
        <v>154</v>
      </c>
      <c r="N21">
        <v>10.17687888</v>
      </c>
      <c r="O21">
        <v>1.3794786370000001</v>
      </c>
      <c r="P21">
        <v>7.8277668719999998</v>
      </c>
      <c r="Q21">
        <v>13.203501989999999</v>
      </c>
      <c r="R21" s="1">
        <v>1.08E-5</v>
      </c>
      <c r="S21">
        <v>3.6461940000000002E-3</v>
      </c>
      <c r="T21">
        <v>-4.6896009999999998E-3</v>
      </c>
      <c r="U21">
        <v>4.9578069999999998E-3</v>
      </c>
      <c r="V21" t="s">
        <v>150</v>
      </c>
    </row>
    <row r="22" spans="1:22" x14ac:dyDescent="0.2">
      <c r="A22" t="s">
        <v>173</v>
      </c>
      <c r="B22" t="s">
        <v>15</v>
      </c>
      <c r="C22">
        <v>24.3</v>
      </c>
      <c r="D22" t="s">
        <v>19</v>
      </c>
      <c r="E22" t="s">
        <v>17</v>
      </c>
      <c r="F22" s="6">
        <f>5.290357143*2.209685368</f>
        <v>11.690024770381383</v>
      </c>
      <c r="G22">
        <f t="shared" si="1"/>
        <v>0.32732069357067872</v>
      </c>
      <c r="H22">
        <f>18.7*0.001</f>
        <v>1.8700000000000001E-2</v>
      </c>
      <c r="I22">
        <f>((35+40)/2)*0.1</f>
        <v>3.75</v>
      </c>
      <c r="J22">
        <f>28*0.001</f>
        <v>2.8000000000000001E-2</v>
      </c>
      <c r="K22">
        <v>2.2779739050000001</v>
      </c>
      <c r="L22" s="8">
        <v>6</v>
      </c>
      <c r="M22" t="s">
        <v>154</v>
      </c>
      <c r="N22">
        <v>15.54621184</v>
      </c>
      <c r="O22">
        <v>1.516903017</v>
      </c>
      <c r="P22">
        <v>13.33039057</v>
      </c>
      <c r="Q22">
        <v>19.075065200000001</v>
      </c>
      <c r="R22">
        <v>2.5365677E-2</v>
      </c>
      <c r="S22">
        <v>3.8372154999999998E-2</v>
      </c>
      <c r="T22">
        <v>-8.2550950000000005E-3</v>
      </c>
      <c r="U22">
        <v>0.12775426000000001</v>
      </c>
      <c r="V22" t="s">
        <v>150</v>
      </c>
    </row>
    <row r="23" spans="1:22" x14ac:dyDescent="0.2">
      <c r="A23" t="s">
        <v>174</v>
      </c>
      <c r="B23" t="s">
        <v>15</v>
      </c>
      <c r="C23">
        <v>177</v>
      </c>
      <c r="D23" t="s">
        <v>19</v>
      </c>
      <c r="E23" t="s">
        <v>22</v>
      </c>
      <c r="F23" s="6">
        <f>10*3.333382148</f>
        <v>33.333821479999997</v>
      </c>
      <c r="G23">
        <f t="shared" si="1"/>
        <v>3.9917251222300001</v>
      </c>
      <c r="J23">
        <f>119.75*0.001</f>
        <v>0.11975000000000001</v>
      </c>
      <c r="K23">
        <v>114.0487933</v>
      </c>
      <c r="L23" s="8">
        <v>20</v>
      </c>
      <c r="M23" t="s">
        <v>154</v>
      </c>
      <c r="V23" t="s">
        <v>150</v>
      </c>
    </row>
    <row r="24" spans="1:22" x14ac:dyDescent="0.2">
      <c r="A24" t="s">
        <v>175</v>
      </c>
      <c r="B24" t="s">
        <v>15</v>
      </c>
      <c r="C24">
        <v>20</v>
      </c>
      <c r="D24" t="s">
        <v>19</v>
      </c>
      <c r="E24" t="s">
        <v>17</v>
      </c>
      <c r="F24">
        <f>3*2</f>
        <v>6</v>
      </c>
      <c r="G24">
        <f t="shared" si="1"/>
        <v>0.20579999999999998</v>
      </c>
      <c r="J24">
        <f>34.3*0.001</f>
        <v>3.4299999999999997E-2</v>
      </c>
      <c r="K24">
        <v>1.2847500000000001</v>
      </c>
      <c r="L24" s="8">
        <v>12</v>
      </c>
      <c r="M24" t="s">
        <v>154</v>
      </c>
      <c r="N24">
        <v>15.33354551</v>
      </c>
      <c r="O24">
        <v>2.7747788280000001</v>
      </c>
      <c r="P24">
        <v>11.48453043</v>
      </c>
      <c r="Q24">
        <v>21.963991910000001</v>
      </c>
      <c r="R24">
        <v>6.602279E-3</v>
      </c>
      <c r="S24">
        <v>1.7838942E-2</v>
      </c>
      <c r="T24">
        <v>-1.4244155999999999E-2</v>
      </c>
      <c r="U24">
        <v>5.5127423000000002E-2</v>
      </c>
      <c r="V24" t="s">
        <v>150</v>
      </c>
    </row>
    <row r="25" spans="1:22" x14ac:dyDescent="0.2">
      <c r="A25" t="s">
        <v>176</v>
      </c>
      <c r="B25" t="s">
        <v>15</v>
      </c>
      <c r="C25">
        <v>30</v>
      </c>
      <c r="D25" t="s">
        <v>19</v>
      </c>
      <c r="E25" t="s">
        <v>22</v>
      </c>
      <c r="F25">
        <v>8.67</v>
      </c>
      <c r="G25">
        <f t="shared" si="1"/>
        <v>0.51655859999999998</v>
      </c>
      <c r="I25">
        <f>25*0.1</f>
        <v>2.5</v>
      </c>
      <c r="J25">
        <f>59.58*0.001</f>
        <v>5.9580000000000001E-2</v>
      </c>
      <c r="K25">
        <v>6.6192659039999997</v>
      </c>
      <c r="L25" s="8">
        <v>5</v>
      </c>
      <c r="M25" t="s">
        <v>154</v>
      </c>
      <c r="N25">
        <v>20.455078029999999</v>
      </c>
      <c r="O25">
        <v>1.322662547</v>
      </c>
      <c r="P25">
        <v>18.19872603</v>
      </c>
      <c r="Q25">
        <v>23.356536080000001</v>
      </c>
      <c r="R25">
        <v>6.8208289999999996E-3</v>
      </c>
      <c r="S25">
        <v>9.1024539999999994E-3</v>
      </c>
      <c r="T25">
        <v>-3.73808E-3</v>
      </c>
      <c r="U25">
        <v>3.1414191000000001E-2</v>
      </c>
      <c r="V25" t="s">
        <v>150</v>
      </c>
    </row>
    <row r="26" spans="1:22" x14ac:dyDescent="0.2">
      <c r="A26" t="s">
        <v>177</v>
      </c>
      <c r="B26" t="s">
        <v>15</v>
      </c>
      <c r="C26">
        <v>32</v>
      </c>
      <c r="D26" t="s">
        <v>19</v>
      </c>
      <c r="E26" t="s">
        <v>22</v>
      </c>
      <c r="F26" s="6">
        <v>3.0838383839999999</v>
      </c>
      <c r="G26">
        <f t="shared" si="1"/>
        <v>8.5576515155999996E-2</v>
      </c>
      <c r="H26">
        <f>13.75*0.001</f>
        <v>1.375E-2</v>
      </c>
      <c r="I26">
        <f>((30+39)/2)*0.1</f>
        <v>3.45</v>
      </c>
      <c r="J26">
        <f>27.75*0.001</f>
        <v>2.775E-2</v>
      </c>
      <c r="K26" s="2">
        <f>715*0.001</f>
        <v>0.71499999999999997</v>
      </c>
      <c r="L26" s="8">
        <v>10</v>
      </c>
      <c r="M26" t="s">
        <v>154</v>
      </c>
      <c r="N26">
        <v>3.332190314</v>
      </c>
      <c r="O26">
        <v>0.63579150100000004</v>
      </c>
      <c r="P26">
        <v>2.2156509529999999</v>
      </c>
      <c r="Q26">
        <v>4.7133197659999997</v>
      </c>
      <c r="R26">
        <v>-1.4052801E-2</v>
      </c>
      <c r="S26">
        <v>4.143355E-2</v>
      </c>
      <c r="T26">
        <v>-0.12389151700000001</v>
      </c>
      <c r="U26">
        <v>4.5454977000000001E-2</v>
      </c>
      <c r="V26" t="s">
        <v>150</v>
      </c>
    </row>
    <row r="27" spans="1:22" x14ac:dyDescent="0.2">
      <c r="A27" t="s">
        <v>178</v>
      </c>
      <c r="B27" t="s">
        <v>15</v>
      </c>
      <c r="C27">
        <v>70</v>
      </c>
      <c r="D27" t="s">
        <v>19</v>
      </c>
      <c r="E27" t="s">
        <v>22</v>
      </c>
      <c r="F27">
        <v>1</v>
      </c>
      <c r="G27">
        <f t="shared" si="1"/>
        <v>1.3460000000000001E-2</v>
      </c>
      <c r="J27">
        <f>13.46*0.001</f>
        <v>1.3460000000000001E-2</v>
      </c>
      <c r="K27">
        <v>0.35907113000000002</v>
      </c>
      <c r="L27" s="8">
        <v>12</v>
      </c>
      <c r="M27" t="s">
        <v>154</v>
      </c>
      <c r="N27">
        <v>15.8708159</v>
      </c>
      <c r="O27">
        <v>1.716608307</v>
      </c>
      <c r="P27">
        <v>13.12459926</v>
      </c>
      <c r="Q27">
        <v>19.86570579</v>
      </c>
      <c r="R27">
        <v>2.1472339999999999E-2</v>
      </c>
      <c r="S27">
        <v>2.0256888000000001E-2</v>
      </c>
      <c r="T27">
        <v>-3.0815830000000002E-3</v>
      </c>
      <c r="U27">
        <v>7.3881750999999996E-2</v>
      </c>
      <c r="V27" t="s">
        <v>150</v>
      </c>
    </row>
    <row r="28" spans="1:22" x14ac:dyDescent="0.2">
      <c r="A28" t="s">
        <v>179</v>
      </c>
      <c r="B28" t="s">
        <v>15</v>
      </c>
      <c r="C28">
        <v>70</v>
      </c>
      <c r="D28" t="s">
        <v>19</v>
      </c>
      <c r="E28" t="s">
        <v>17</v>
      </c>
      <c r="F28" s="6">
        <f>1.165714286*3</f>
        <v>3.4971428580000001</v>
      </c>
      <c r="G28">
        <f t="shared" si="1"/>
        <v>6.2074285729500009E-2</v>
      </c>
      <c r="J28">
        <f>17.75*0.001</f>
        <v>1.7750000000000002E-2</v>
      </c>
      <c r="K28">
        <v>0.35980919500000003</v>
      </c>
      <c r="L28" s="8">
        <v>10</v>
      </c>
      <c r="M28" t="s">
        <v>154</v>
      </c>
      <c r="N28">
        <v>13.669934830000001</v>
      </c>
      <c r="O28">
        <v>1.6955163019999999</v>
      </c>
      <c r="P28">
        <v>10.77154241</v>
      </c>
      <c r="Q28">
        <v>17.412502400000001</v>
      </c>
      <c r="R28">
        <v>1.704427E-2</v>
      </c>
      <c r="S28">
        <v>1.8874437000000001E-2</v>
      </c>
      <c r="T28">
        <v>-7.2563209999999996E-3</v>
      </c>
      <c r="U28">
        <v>6.4971456999999996E-2</v>
      </c>
      <c r="V28" t="s">
        <v>150</v>
      </c>
    </row>
    <row r="29" spans="1:22" x14ac:dyDescent="0.2">
      <c r="A29" t="s">
        <v>180</v>
      </c>
      <c r="B29" t="s">
        <v>15</v>
      </c>
      <c r="C29">
        <v>152</v>
      </c>
      <c r="D29" t="s">
        <v>19</v>
      </c>
      <c r="E29" t="s">
        <v>22</v>
      </c>
      <c r="F29">
        <f>13.5*2</f>
        <v>27</v>
      </c>
      <c r="G29">
        <f t="shared" si="1"/>
        <v>2.1816</v>
      </c>
      <c r="H29">
        <f>45*0.001</f>
        <v>4.4999999999999998E-2</v>
      </c>
      <c r="J29">
        <f>80.8*0.001</f>
        <v>8.0799999999999997E-2</v>
      </c>
      <c r="K29">
        <v>101.62503049999999</v>
      </c>
      <c r="L29" s="8">
        <v>25</v>
      </c>
      <c r="M29" t="s">
        <v>154</v>
      </c>
      <c r="N29">
        <v>47.745771509999997</v>
      </c>
      <c r="O29">
        <v>6.7445737020000003</v>
      </c>
      <c r="P29">
        <v>37.992947919999999</v>
      </c>
      <c r="Q29">
        <v>64.256017259999993</v>
      </c>
      <c r="R29">
        <v>3.1689499999999998E-4</v>
      </c>
      <c r="S29">
        <v>3.461305E-3</v>
      </c>
      <c r="T29">
        <v>-4.2706990000000002E-3</v>
      </c>
      <c r="U29">
        <v>9.3282680000000007E-3</v>
      </c>
      <c r="V29" t="s">
        <v>150</v>
      </c>
    </row>
    <row r="30" spans="1:22" x14ac:dyDescent="0.2">
      <c r="A30" t="s">
        <v>181</v>
      </c>
      <c r="B30" t="s">
        <v>15</v>
      </c>
      <c r="C30">
        <v>25</v>
      </c>
      <c r="D30" t="s">
        <v>19</v>
      </c>
      <c r="E30" t="s">
        <v>17</v>
      </c>
      <c r="F30" s="6">
        <v>6.6</v>
      </c>
      <c r="G30">
        <f t="shared" si="1"/>
        <v>0.27027000000000001</v>
      </c>
      <c r="H30">
        <f>32.9*0.001</f>
        <v>3.2899999999999999E-2</v>
      </c>
      <c r="I30">
        <f>((32+51.8)/2)*0.1</f>
        <v>4.1900000000000004</v>
      </c>
      <c r="J30">
        <f>40.95*0.001</f>
        <v>4.095E-2</v>
      </c>
      <c r="K30">
        <v>4.4977634179999999</v>
      </c>
      <c r="L30" s="8">
        <v>13</v>
      </c>
      <c r="M30" t="s">
        <v>154</v>
      </c>
      <c r="N30">
        <v>12.85135893</v>
      </c>
      <c r="O30">
        <v>1.5331409359999999</v>
      </c>
      <c r="P30">
        <v>10.12733869</v>
      </c>
      <c r="Q30">
        <v>16.18284478</v>
      </c>
      <c r="R30">
        <v>1.1460402999999999E-2</v>
      </c>
      <c r="S30">
        <v>1.6750823000000001E-2</v>
      </c>
      <c r="T30">
        <v>-1.1417946999999999E-2</v>
      </c>
      <c r="U30">
        <v>5.4445923E-2</v>
      </c>
      <c r="V30" t="s">
        <v>150</v>
      </c>
    </row>
    <row r="31" spans="1:22" x14ac:dyDescent="0.2">
      <c r="A31" t="s">
        <v>182</v>
      </c>
      <c r="B31" t="s">
        <v>15</v>
      </c>
      <c r="C31">
        <v>30.7</v>
      </c>
      <c r="D31" t="s">
        <v>19</v>
      </c>
      <c r="E31" t="s">
        <v>17</v>
      </c>
      <c r="F31">
        <v>2.8</v>
      </c>
      <c r="G31">
        <f t="shared" si="1"/>
        <v>9.491999999999999E-2</v>
      </c>
      <c r="H31">
        <f>32.9*0.001</f>
        <v>3.2899999999999999E-2</v>
      </c>
      <c r="I31">
        <f>((40+50)/2)*0.1</f>
        <v>4.5</v>
      </c>
      <c r="J31">
        <f>33.9*0.001</f>
        <v>3.39E-2</v>
      </c>
      <c r="K31">
        <v>1.7751749999999999</v>
      </c>
      <c r="L31" s="8">
        <v>13</v>
      </c>
      <c r="M31" t="s">
        <v>154</v>
      </c>
      <c r="V31" t="s">
        <v>150</v>
      </c>
    </row>
    <row r="32" spans="1:22" x14ac:dyDescent="0.2">
      <c r="A32" t="s">
        <v>183</v>
      </c>
      <c r="B32" t="s">
        <v>15</v>
      </c>
      <c r="C32">
        <v>62.8</v>
      </c>
      <c r="D32" t="s">
        <v>19</v>
      </c>
      <c r="E32" t="s">
        <v>17</v>
      </c>
      <c r="F32" s="6">
        <f>5.892097265*2</f>
        <v>11.784194530000001</v>
      </c>
      <c r="G32">
        <f t="shared" si="1"/>
        <v>0.42364179335350005</v>
      </c>
      <c r="H32">
        <f>32.9*0.001</f>
        <v>3.2899999999999999E-2</v>
      </c>
      <c r="I32">
        <f>((36+48)/2)*0.1</f>
        <v>4.2</v>
      </c>
      <c r="J32">
        <f>35.95*0.001</f>
        <v>3.5950000000000003E-2</v>
      </c>
      <c r="K32">
        <v>3.717695054</v>
      </c>
      <c r="L32" s="8">
        <v>15</v>
      </c>
      <c r="M32" t="s">
        <v>154</v>
      </c>
      <c r="N32">
        <v>15.45389119</v>
      </c>
      <c r="O32">
        <v>1.614845197</v>
      </c>
      <c r="P32">
        <v>12.568650549999999</v>
      </c>
      <c r="Q32">
        <v>18.869545089999999</v>
      </c>
      <c r="R32">
        <v>8.0291389999999994E-3</v>
      </c>
      <c r="S32">
        <v>9.8427329999999993E-3</v>
      </c>
      <c r="T32">
        <v>-6.1389169999999998E-3</v>
      </c>
      <c r="U32">
        <v>3.230508E-2</v>
      </c>
      <c r="V32" t="s">
        <v>150</v>
      </c>
    </row>
    <row r="33" spans="1:22" x14ac:dyDescent="0.2">
      <c r="A33" t="s">
        <v>184</v>
      </c>
      <c r="B33" t="s">
        <v>15</v>
      </c>
      <c r="C33">
        <v>60</v>
      </c>
      <c r="D33" t="s">
        <v>16</v>
      </c>
      <c r="E33" t="s">
        <v>17</v>
      </c>
      <c r="F33">
        <f>8*1.5</f>
        <v>12</v>
      </c>
      <c r="G33">
        <f t="shared" si="1"/>
        <v>0.16188</v>
      </c>
      <c r="I33">
        <f>((28+27.9)/2)*0.1</f>
        <v>2.7949999999999999</v>
      </c>
      <c r="J33">
        <f>13.49*0.001</f>
        <v>1.349E-2</v>
      </c>
      <c r="K33">
        <v>0.91152701400000002</v>
      </c>
      <c r="L33" s="8">
        <v>17</v>
      </c>
      <c r="M33" t="s">
        <v>154</v>
      </c>
      <c r="N33">
        <v>11.49412798</v>
      </c>
      <c r="O33">
        <v>1.483654832</v>
      </c>
      <c r="P33">
        <v>8.9575042699999994</v>
      </c>
      <c r="Q33">
        <v>14.731491760000001</v>
      </c>
      <c r="R33">
        <v>4.8285280999999999E-2</v>
      </c>
      <c r="S33">
        <v>3.9146872999999999E-2</v>
      </c>
      <c r="T33">
        <v>-2.110776E-3</v>
      </c>
      <c r="U33">
        <v>0.143477824</v>
      </c>
      <c r="V33" t="s">
        <v>150</v>
      </c>
    </row>
    <row r="34" spans="1:22" x14ac:dyDescent="0.2">
      <c r="A34" t="s">
        <v>185</v>
      </c>
      <c r="B34" t="s">
        <v>15</v>
      </c>
      <c r="C34">
        <v>40</v>
      </c>
      <c r="D34" t="s">
        <v>16</v>
      </c>
      <c r="E34" t="s">
        <v>17</v>
      </c>
      <c r="F34">
        <v>3</v>
      </c>
      <c r="G34">
        <f t="shared" si="1"/>
        <v>1.392E-2</v>
      </c>
      <c r="I34">
        <f>((21.1+30.1)/2)*0.1</f>
        <v>2.5600000000000005</v>
      </c>
      <c r="J34">
        <f>4.64*0.001</f>
        <v>4.64E-3</v>
      </c>
      <c r="K34">
        <v>0.153112521</v>
      </c>
      <c r="L34" s="8">
        <v>7</v>
      </c>
      <c r="M34" t="s">
        <v>154</v>
      </c>
      <c r="N34">
        <v>11.666152439999999</v>
      </c>
      <c r="O34">
        <v>1.422777497</v>
      </c>
      <c r="P34">
        <v>9.1721486789999993</v>
      </c>
      <c r="Q34">
        <v>14.704396239999999</v>
      </c>
      <c r="R34">
        <v>1.8837890999999999E-2</v>
      </c>
      <c r="S34">
        <v>2.1333343000000001E-2</v>
      </c>
      <c r="T34">
        <v>-8.1178069999999995E-3</v>
      </c>
      <c r="U34">
        <v>7.2600002999999996E-2</v>
      </c>
      <c r="V34" t="s">
        <v>150</v>
      </c>
    </row>
    <row r="35" spans="1:22" x14ac:dyDescent="0.2">
      <c r="A35" t="s">
        <v>186</v>
      </c>
      <c r="B35" t="s">
        <v>15</v>
      </c>
      <c r="C35">
        <v>30</v>
      </c>
      <c r="D35" t="s">
        <v>16</v>
      </c>
      <c r="E35" t="s">
        <v>17</v>
      </c>
      <c r="F35">
        <f>4.29*1.2</f>
        <v>5.1479999999999997</v>
      </c>
      <c r="G35">
        <f t="shared" si="1"/>
        <v>3.3976799999999995E-2</v>
      </c>
      <c r="I35">
        <f>((28+31.2)/2)*0.1</f>
        <v>2.9600000000000004</v>
      </c>
      <c r="J35">
        <f>6.6*0.001</f>
        <v>6.6E-3</v>
      </c>
      <c r="K35">
        <v>0.168977928</v>
      </c>
      <c r="L35" s="8">
        <v>8</v>
      </c>
      <c r="M35" t="s">
        <v>154</v>
      </c>
      <c r="N35">
        <v>16.191798309999999</v>
      </c>
      <c r="O35">
        <v>1.153393109</v>
      </c>
      <c r="P35">
        <v>14.1712159</v>
      </c>
      <c r="Q35">
        <v>18.695421360000001</v>
      </c>
      <c r="R35">
        <v>4.0099506E-2</v>
      </c>
      <c r="S35">
        <v>2.1405594999999999E-2</v>
      </c>
      <c r="T35">
        <v>5.9405600000000001E-3</v>
      </c>
      <c r="U35">
        <v>8.6710834000000001E-2</v>
      </c>
      <c r="V35" t="s">
        <v>150</v>
      </c>
    </row>
    <row r="36" spans="1:22" x14ac:dyDescent="0.2">
      <c r="A36" t="s">
        <v>237</v>
      </c>
      <c r="B36" t="s">
        <v>15</v>
      </c>
      <c r="C36">
        <v>41.3</v>
      </c>
      <c r="D36" t="s">
        <v>16</v>
      </c>
      <c r="E36" t="s">
        <v>22</v>
      </c>
      <c r="F36">
        <f>8.4*2</f>
        <v>16.8</v>
      </c>
      <c r="G36">
        <f t="shared" si="1"/>
        <v>0.18648000000000001</v>
      </c>
      <c r="I36">
        <f>((23+35)/2)*0.1</f>
        <v>2.9000000000000004</v>
      </c>
      <c r="J36">
        <f>11.1*0.001</f>
        <v>1.11E-2</v>
      </c>
      <c r="K36">
        <v>3.0928326990000001</v>
      </c>
      <c r="L36" s="8">
        <v>5</v>
      </c>
      <c r="M36" t="s">
        <v>154</v>
      </c>
      <c r="N36">
        <v>20.42561873</v>
      </c>
      <c r="O36">
        <v>0.51663722599999995</v>
      </c>
      <c r="P36">
        <v>19.431402259999999</v>
      </c>
      <c r="Q36">
        <v>21.45035828</v>
      </c>
      <c r="R36">
        <v>0.104838257</v>
      </c>
      <c r="S36">
        <v>2.3636539000000002E-2</v>
      </c>
      <c r="T36">
        <v>5.8681624000000002E-2</v>
      </c>
      <c r="U36">
        <v>0.15193299199999999</v>
      </c>
      <c r="V36" t="s">
        <v>150</v>
      </c>
    </row>
    <row r="37" spans="1:22" x14ac:dyDescent="0.2">
      <c r="A37" t="s">
        <v>218</v>
      </c>
      <c r="B37" t="s">
        <v>15</v>
      </c>
      <c r="C37">
        <v>41.3</v>
      </c>
      <c r="D37" t="s">
        <v>16</v>
      </c>
      <c r="E37" t="s">
        <v>22</v>
      </c>
      <c r="F37">
        <f t="shared" ref="F37:F38" si="2">8.4*2</f>
        <v>16.8</v>
      </c>
      <c r="G37">
        <f t="shared" si="1"/>
        <v>0.18648000000000001</v>
      </c>
      <c r="I37">
        <f t="shared" ref="I37:I38" si="3">((23+35)/2)*0.1</f>
        <v>2.9000000000000004</v>
      </c>
      <c r="J37">
        <f t="shared" ref="J37:J38" si="4">11.1*0.001</f>
        <v>1.11E-2</v>
      </c>
      <c r="K37">
        <f>1895*0.001</f>
        <v>1.895</v>
      </c>
      <c r="L37">
        <v>6</v>
      </c>
      <c r="M37" t="s">
        <v>152</v>
      </c>
      <c r="N37">
        <v>5.2586882020000001</v>
      </c>
      <c r="R37">
        <v>0.22532949299999999</v>
      </c>
      <c r="V37" t="s">
        <v>220</v>
      </c>
    </row>
    <row r="38" spans="1:22" x14ac:dyDescent="0.2">
      <c r="A38" t="s">
        <v>219</v>
      </c>
      <c r="B38" t="s">
        <v>15</v>
      </c>
      <c r="C38">
        <v>41.3</v>
      </c>
      <c r="D38" t="s">
        <v>16</v>
      </c>
      <c r="E38" t="s">
        <v>22</v>
      </c>
      <c r="F38">
        <f t="shared" si="2"/>
        <v>16.8</v>
      </c>
      <c r="G38">
        <f t="shared" si="1"/>
        <v>0.18648000000000001</v>
      </c>
      <c r="I38">
        <f t="shared" si="3"/>
        <v>2.9000000000000004</v>
      </c>
      <c r="J38">
        <f t="shared" si="4"/>
        <v>1.11E-2</v>
      </c>
      <c r="K38">
        <f>1895*0.001</f>
        <v>1.895</v>
      </c>
      <c r="L38">
        <v>6</v>
      </c>
      <c r="M38" t="s">
        <v>152</v>
      </c>
      <c r="N38">
        <v>7.6449795920000003</v>
      </c>
      <c r="R38">
        <v>5.320717E-3</v>
      </c>
      <c r="V38" t="s">
        <v>220</v>
      </c>
    </row>
    <row r="39" spans="1:22" x14ac:dyDescent="0.2">
      <c r="A39" t="s">
        <v>187</v>
      </c>
      <c r="B39" t="s">
        <v>15</v>
      </c>
      <c r="C39" s="2">
        <v>75</v>
      </c>
      <c r="D39" t="s">
        <v>19</v>
      </c>
      <c r="E39" t="s">
        <v>17</v>
      </c>
      <c r="F39">
        <f>9.7*2</f>
        <v>19.399999999999999</v>
      </c>
      <c r="G39">
        <f t="shared" si="1"/>
        <v>0.22193599999999999</v>
      </c>
      <c r="J39">
        <f>11.44*0.001</f>
        <v>1.1440000000000001E-2</v>
      </c>
      <c r="K39">
        <v>2.6996315790000001</v>
      </c>
      <c r="L39" s="8">
        <v>5</v>
      </c>
      <c r="M39" t="s">
        <v>154</v>
      </c>
      <c r="N39">
        <v>19.5184411</v>
      </c>
      <c r="O39">
        <v>2.5306698509999999</v>
      </c>
      <c r="P39">
        <v>15.783673159999999</v>
      </c>
      <c r="Q39">
        <v>25.457967830000001</v>
      </c>
      <c r="R39">
        <v>4.4591110000000003E-2</v>
      </c>
      <c r="S39">
        <v>3.0469693999999999E-2</v>
      </c>
      <c r="T39">
        <v>2.3483179999999998E-3</v>
      </c>
      <c r="U39">
        <v>0.114565927</v>
      </c>
      <c r="V39" t="s">
        <v>150</v>
      </c>
    </row>
    <row r="40" spans="1:22" x14ac:dyDescent="0.2">
      <c r="A40" t="s">
        <v>188</v>
      </c>
      <c r="B40" t="s">
        <v>15</v>
      </c>
      <c r="C40">
        <v>35.4</v>
      </c>
      <c r="D40" t="s">
        <v>16</v>
      </c>
      <c r="E40" t="s">
        <v>17</v>
      </c>
      <c r="F40">
        <f>10.5*3</f>
        <v>31.5</v>
      </c>
      <c r="G40">
        <f t="shared" si="1"/>
        <v>0.30743999999999999</v>
      </c>
      <c r="I40">
        <f>((25+37)/2)*0.1</f>
        <v>3.1</v>
      </c>
      <c r="J40">
        <f>9.76*0.001</f>
        <v>9.7599999999999996E-3</v>
      </c>
      <c r="K40">
        <v>0.731899988</v>
      </c>
      <c r="L40" s="8">
        <v>6</v>
      </c>
      <c r="M40" t="s">
        <v>154</v>
      </c>
      <c r="N40">
        <v>14.99444418</v>
      </c>
      <c r="O40">
        <v>1.576101355</v>
      </c>
      <c r="P40">
        <v>12.45478029</v>
      </c>
      <c r="Q40">
        <v>18.688084740000001</v>
      </c>
      <c r="R40">
        <v>5.1621340000000002E-2</v>
      </c>
      <c r="S40">
        <v>3.8987053000000001E-2</v>
      </c>
      <c r="T40">
        <v>-1.2834630000000001E-3</v>
      </c>
      <c r="U40">
        <v>0.140446345</v>
      </c>
      <c r="V40" t="s">
        <v>150</v>
      </c>
    </row>
    <row r="41" spans="1:22" x14ac:dyDescent="0.2">
      <c r="A41" t="s">
        <v>211</v>
      </c>
      <c r="B41" t="s">
        <v>15</v>
      </c>
      <c r="C41">
        <v>19.966666669999999</v>
      </c>
      <c r="D41" t="s">
        <v>16</v>
      </c>
      <c r="E41" t="s">
        <v>17</v>
      </c>
      <c r="F41">
        <f>10.4*1.75</f>
        <v>18.2</v>
      </c>
      <c r="H41">
        <f>5.41*0.001</f>
        <v>5.4099999999999999E-3</v>
      </c>
      <c r="I41">
        <f>30*0.1</f>
        <v>3</v>
      </c>
      <c r="J41">
        <f>10.18*0.001</f>
        <v>1.018E-2</v>
      </c>
      <c r="K41">
        <f>1138*0.001</f>
        <v>1.1380000000000001</v>
      </c>
      <c r="L41">
        <v>9</v>
      </c>
      <c r="M41" t="s">
        <v>152</v>
      </c>
      <c r="N41">
        <v>8.7569330000000001</v>
      </c>
      <c r="R41">
        <v>-1.306445E-2</v>
      </c>
      <c r="V41" t="s">
        <v>220</v>
      </c>
    </row>
    <row r="42" spans="1:22" x14ac:dyDescent="0.2">
      <c r="A42" t="s">
        <v>238</v>
      </c>
      <c r="B42" t="s">
        <v>15</v>
      </c>
      <c r="C42" s="2">
        <v>36.941666669999996</v>
      </c>
      <c r="D42" t="s">
        <v>19</v>
      </c>
      <c r="E42" t="s">
        <v>17</v>
      </c>
      <c r="F42">
        <f>6*2</f>
        <v>12</v>
      </c>
      <c r="G42">
        <f t="shared" ref="G42:G76" si="5">F42*J42</f>
        <v>0.12215999999999999</v>
      </c>
      <c r="H42">
        <f>((45+12.5)/2)*0.001</f>
        <v>2.8750000000000001E-2</v>
      </c>
      <c r="I42">
        <f>((29.9+34.3)/2)*0.001</f>
        <v>3.2099999999999997E-2</v>
      </c>
      <c r="J42">
        <f>10.18*0.001</f>
        <v>1.018E-2</v>
      </c>
      <c r="K42">
        <v>0.57750824199999995</v>
      </c>
      <c r="L42" s="8">
        <v>7</v>
      </c>
      <c r="M42" t="s">
        <v>154</v>
      </c>
      <c r="N42">
        <v>14.440339099999999</v>
      </c>
      <c r="O42">
        <v>1.335676291</v>
      </c>
      <c r="P42">
        <v>11.94970086</v>
      </c>
      <c r="Q42">
        <v>17.17203147</v>
      </c>
      <c r="R42">
        <v>6.6076847999999994E-2</v>
      </c>
      <c r="S42">
        <v>3.2921871999999998E-2</v>
      </c>
      <c r="T42">
        <v>1.2545598999999999E-2</v>
      </c>
      <c r="U42">
        <v>0.13726659299999999</v>
      </c>
      <c r="V42" t="s">
        <v>150</v>
      </c>
    </row>
    <row r="43" spans="1:22" x14ac:dyDescent="0.2">
      <c r="A43" t="s">
        <v>207</v>
      </c>
      <c r="B43" t="s">
        <v>15</v>
      </c>
      <c r="C43" s="2">
        <v>36.941666669999996</v>
      </c>
      <c r="D43" t="s">
        <v>19</v>
      </c>
      <c r="E43" t="s">
        <v>17</v>
      </c>
      <c r="F43">
        <f>6*2</f>
        <v>12</v>
      </c>
      <c r="G43">
        <f t="shared" si="5"/>
        <v>0.12215999999999999</v>
      </c>
      <c r="H43">
        <f>((45+12.5)/2)*0.001</f>
        <v>2.8750000000000001E-2</v>
      </c>
      <c r="I43">
        <f>((29.9+34.3)/2)*0.001</f>
        <v>3.2099999999999997E-2</v>
      </c>
      <c r="J43">
        <f>10.18*0.001</f>
        <v>1.018E-2</v>
      </c>
      <c r="K43">
        <v>0.57750824199999995</v>
      </c>
      <c r="L43">
        <v>10</v>
      </c>
      <c r="M43" t="s">
        <v>152</v>
      </c>
      <c r="N43">
        <v>24.178894660000001</v>
      </c>
      <c r="R43">
        <v>5.2998447999999997E-2</v>
      </c>
      <c r="V43" t="s">
        <v>220</v>
      </c>
    </row>
    <row r="44" spans="1:22" x14ac:dyDescent="0.2">
      <c r="A44" t="s">
        <v>239</v>
      </c>
      <c r="B44" t="s">
        <v>15</v>
      </c>
      <c r="C44">
        <v>61</v>
      </c>
      <c r="D44" t="s">
        <v>16</v>
      </c>
      <c r="E44" t="s">
        <v>17</v>
      </c>
      <c r="F44">
        <f>6*2</f>
        <v>12</v>
      </c>
      <c r="G44">
        <f t="shared" si="5"/>
        <v>6.3539999999999999E-2</v>
      </c>
      <c r="I44">
        <f>((24+30)/2)*0.1</f>
        <v>2.7</v>
      </c>
      <c r="J44">
        <f>5.295*0.001</f>
        <v>5.2950000000000002E-3</v>
      </c>
      <c r="K44">
        <v>0.48414083099999999</v>
      </c>
      <c r="L44" s="8">
        <v>6</v>
      </c>
      <c r="M44" t="s">
        <v>154</v>
      </c>
      <c r="N44">
        <v>11.122526710000001</v>
      </c>
      <c r="O44">
        <v>0.56062112399999997</v>
      </c>
      <c r="P44">
        <v>10.06003417</v>
      </c>
      <c r="Q44">
        <v>12.236503770000001</v>
      </c>
      <c r="R44">
        <v>0.101735179</v>
      </c>
      <c r="S44">
        <v>3.4496236E-2</v>
      </c>
      <c r="T44">
        <v>3.7697672000000002E-2</v>
      </c>
      <c r="U44">
        <v>0.17374189700000001</v>
      </c>
      <c r="V44" t="s">
        <v>150</v>
      </c>
    </row>
    <row r="45" spans="1:22" x14ac:dyDescent="0.2">
      <c r="A45" t="s">
        <v>208</v>
      </c>
      <c r="B45" t="s">
        <v>15</v>
      </c>
      <c r="C45">
        <v>61</v>
      </c>
      <c r="D45" t="s">
        <v>16</v>
      </c>
      <c r="E45" t="s">
        <v>17</v>
      </c>
      <c r="F45">
        <f t="shared" ref="F45:F46" si="6">6*2</f>
        <v>12</v>
      </c>
      <c r="G45">
        <f t="shared" si="5"/>
        <v>6.3539999999999999E-2</v>
      </c>
      <c r="I45">
        <f t="shared" ref="I45:I46" si="7">((24+30)/2)*0.1</f>
        <v>2.7</v>
      </c>
      <c r="J45">
        <f t="shared" ref="J45:J46" si="8">5.295*0.001</f>
        <v>5.2950000000000002E-3</v>
      </c>
      <c r="K45">
        <f>361*0.001</f>
        <v>0.36099999999999999</v>
      </c>
      <c r="L45">
        <v>6</v>
      </c>
      <c r="M45" t="s">
        <v>152</v>
      </c>
      <c r="N45">
        <v>31.942227110000001</v>
      </c>
      <c r="R45">
        <v>3.6369290999999998E-2</v>
      </c>
      <c r="V45" t="s">
        <v>220</v>
      </c>
    </row>
    <row r="46" spans="1:22" x14ac:dyDescent="0.2">
      <c r="A46" t="s">
        <v>209</v>
      </c>
      <c r="B46" t="s">
        <v>15</v>
      </c>
      <c r="C46">
        <v>61</v>
      </c>
      <c r="D46" t="s">
        <v>16</v>
      </c>
      <c r="E46" t="s">
        <v>17</v>
      </c>
      <c r="F46">
        <f t="shared" si="6"/>
        <v>12</v>
      </c>
      <c r="G46">
        <f t="shared" si="5"/>
        <v>6.3539999999999999E-2</v>
      </c>
      <c r="I46">
        <f t="shared" si="7"/>
        <v>2.7</v>
      </c>
      <c r="J46">
        <f t="shared" si="8"/>
        <v>5.2950000000000002E-3</v>
      </c>
      <c r="K46">
        <f>361*0.001</f>
        <v>0.36099999999999999</v>
      </c>
      <c r="L46">
        <v>5</v>
      </c>
      <c r="M46" t="s">
        <v>152</v>
      </c>
      <c r="N46">
        <v>6.606940163</v>
      </c>
      <c r="R46">
        <v>1.3579212E-2</v>
      </c>
      <c r="V46" t="s">
        <v>220</v>
      </c>
    </row>
    <row r="47" spans="1:22" x14ac:dyDescent="0.2">
      <c r="A47" t="s">
        <v>189</v>
      </c>
      <c r="B47" t="s">
        <v>15</v>
      </c>
      <c r="C47">
        <v>70.3</v>
      </c>
      <c r="D47" t="s">
        <v>16</v>
      </c>
      <c r="E47" t="s">
        <v>17</v>
      </c>
      <c r="F47">
        <v>24.75</v>
      </c>
      <c r="G47">
        <f t="shared" si="5"/>
        <v>0.80635499999999993</v>
      </c>
      <c r="I47">
        <f>((35.5+45)/2)*0.1</f>
        <v>4.0250000000000004</v>
      </c>
      <c r="J47">
        <f>32.58*0.001</f>
        <v>3.2579999999999998E-2</v>
      </c>
      <c r="K47">
        <v>15.019359359999999</v>
      </c>
      <c r="L47" s="8">
        <v>12</v>
      </c>
      <c r="M47" t="s">
        <v>154</v>
      </c>
      <c r="V47" t="s">
        <v>150</v>
      </c>
    </row>
    <row r="48" spans="1:22" x14ac:dyDescent="0.2">
      <c r="A48" t="s">
        <v>240</v>
      </c>
      <c r="B48" t="s">
        <v>15</v>
      </c>
      <c r="C48">
        <v>47</v>
      </c>
      <c r="D48" t="s">
        <v>16</v>
      </c>
      <c r="E48" t="s">
        <v>17</v>
      </c>
      <c r="F48">
        <v>26.45</v>
      </c>
      <c r="G48">
        <f t="shared" si="5"/>
        <v>0.32202875000000003</v>
      </c>
      <c r="I48">
        <f>((24+31)/2)*0.1</f>
        <v>2.75</v>
      </c>
      <c r="J48">
        <f>12.175*0.001</f>
        <v>1.2175000000000002E-2</v>
      </c>
      <c r="K48">
        <v>11.471500000000001</v>
      </c>
      <c r="L48" s="8">
        <v>11</v>
      </c>
      <c r="M48" t="s">
        <v>154</v>
      </c>
      <c r="N48">
        <v>11.94667544</v>
      </c>
      <c r="O48">
        <v>1.241180092</v>
      </c>
      <c r="P48">
        <v>9.7923337359999998</v>
      </c>
      <c r="Q48">
        <v>14.65554468</v>
      </c>
      <c r="R48">
        <v>8.9034260000000007E-3</v>
      </c>
      <c r="S48">
        <v>1.6320823000000002E-2</v>
      </c>
      <c r="T48">
        <v>-1.1843677E-2</v>
      </c>
      <c r="U48">
        <v>5.2753873E-2</v>
      </c>
      <c r="V48" t="s">
        <v>150</v>
      </c>
    </row>
    <row r="49" spans="1:22" x14ac:dyDescent="0.2">
      <c r="A49" t="s">
        <v>210</v>
      </c>
      <c r="B49" t="s">
        <v>15</v>
      </c>
      <c r="C49">
        <v>47</v>
      </c>
      <c r="D49" t="s">
        <v>16</v>
      </c>
      <c r="E49" t="s">
        <v>17</v>
      </c>
      <c r="F49" s="7">
        <v>26.630500000000001</v>
      </c>
      <c r="G49">
        <f t="shared" si="5"/>
        <v>0.32422633750000007</v>
      </c>
      <c r="I49">
        <f>((24+31)/2)*0.1</f>
        <v>2.75</v>
      </c>
      <c r="J49">
        <f>12.175*0.001</f>
        <v>1.2175000000000002E-2</v>
      </c>
      <c r="K49">
        <f>5170*0.001</f>
        <v>5.17</v>
      </c>
      <c r="L49" s="8">
        <v>12.2</v>
      </c>
      <c r="M49" t="s">
        <v>152</v>
      </c>
      <c r="N49">
        <v>21.5427514</v>
      </c>
      <c r="R49">
        <v>7.0440699999999999E-4</v>
      </c>
      <c r="V49" t="s">
        <v>220</v>
      </c>
    </row>
    <row r="50" spans="1:22" x14ac:dyDescent="0.2">
      <c r="A50" t="s">
        <v>190</v>
      </c>
      <c r="B50" t="s">
        <v>15</v>
      </c>
      <c r="C50">
        <v>54.8</v>
      </c>
      <c r="D50" t="s">
        <v>16</v>
      </c>
      <c r="E50" t="s">
        <v>17</v>
      </c>
      <c r="F50">
        <f>3.025*3.5</f>
        <v>10.5875</v>
      </c>
      <c r="G50">
        <f t="shared" si="5"/>
        <v>3.5468125000000003E-2</v>
      </c>
      <c r="I50">
        <f>((20+22)/2)*0.1</f>
        <v>2.1</v>
      </c>
      <c r="J50">
        <f>3.35*0.001</f>
        <v>3.3500000000000001E-3</v>
      </c>
      <c r="K50">
        <v>0.21778725700000001</v>
      </c>
      <c r="L50" s="8">
        <v>5</v>
      </c>
      <c r="M50" t="s">
        <v>154</v>
      </c>
      <c r="N50">
        <v>7.8104211230000002</v>
      </c>
      <c r="O50">
        <v>0.92229793199999999</v>
      </c>
      <c r="P50">
        <v>6.1833964799999999</v>
      </c>
      <c r="Q50">
        <v>9.8004394169999998</v>
      </c>
      <c r="R50">
        <v>1.7090052000000001E-2</v>
      </c>
      <c r="S50">
        <v>2.1779944999999998E-2</v>
      </c>
      <c r="T50">
        <v>-1.2644621999999999E-2</v>
      </c>
      <c r="U50">
        <v>7.2179726999999999E-2</v>
      </c>
      <c r="V50" t="s">
        <v>150</v>
      </c>
    </row>
    <row r="51" spans="1:22" x14ac:dyDescent="0.2">
      <c r="A51" t="s">
        <v>246</v>
      </c>
      <c r="B51" t="s">
        <v>15</v>
      </c>
      <c r="C51">
        <v>54.8</v>
      </c>
      <c r="D51" t="s">
        <v>16</v>
      </c>
      <c r="E51" t="s">
        <v>17</v>
      </c>
      <c r="F51">
        <f>3.025*3.5</f>
        <v>10.5875</v>
      </c>
      <c r="G51">
        <f>F51*J51</f>
        <v>3.5468125000000003E-2</v>
      </c>
      <c r="I51">
        <f>((20+22)/2)*0.1</f>
        <v>2.1</v>
      </c>
      <c r="J51">
        <f>3.35*0.001</f>
        <v>3.3500000000000001E-3</v>
      </c>
      <c r="K51">
        <v>0.21778725700000001</v>
      </c>
      <c r="L51">
        <v>4.5</v>
      </c>
      <c r="M51" t="s">
        <v>152</v>
      </c>
      <c r="N51">
        <v>7.1564743200000001</v>
      </c>
      <c r="R51">
        <v>5.2158435000000003E-2</v>
      </c>
      <c r="V51" t="s">
        <v>220</v>
      </c>
    </row>
    <row r="52" spans="1:22" x14ac:dyDescent="0.2">
      <c r="A52" t="s">
        <v>191</v>
      </c>
      <c r="B52" t="s">
        <v>15</v>
      </c>
      <c r="C52">
        <v>19.2</v>
      </c>
      <c r="D52" t="s">
        <v>16</v>
      </c>
      <c r="E52" t="s">
        <v>17</v>
      </c>
      <c r="F52">
        <f>2.26*((1+6.2)/2)</f>
        <v>8.1359999999999992</v>
      </c>
      <c r="G52">
        <f t="shared" si="5"/>
        <v>7.4200319999999986E-2</v>
      </c>
      <c r="H52">
        <f>5.8*0.001</f>
        <v>5.7999999999999996E-3</v>
      </c>
      <c r="I52">
        <f>30.2*0.1</f>
        <v>3.02</v>
      </c>
      <c r="J52">
        <f>9.12*0.001</f>
        <v>9.1199999999999996E-3</v>
      </c>
      <c r="K52" s="2">
        <f>373*0.001</f>
        <v>0.373</v>
      </c>
      <c r="L52" s="8">
        <v>10</v>
      </c>
      <c r="M52" t="s">
        <v>154</v>
      </c>
      <c r="N52">
        <v>1.6083826130000001</v>
      </c>
      <c r="O52">
        <v>0.38722810899999999</v>
      </c>
      <c r="P52">
        <v>0.99599931200000003</v>
      </c>
      <c r="Q52">
        <v>2.5054982990000001</v>
      </c>
      <c r="R52">
        <v>2.3811593999999998E-2</v>
      </c>
      <c r="S52">
        <v>5.4401975999999998E-2</v>
      </c>
      <c r="T52">
        <v>-6.1526547000000001E-2</v>
      </c>
      <c r="U52">
        <v>0.164235666</v>
      </c>
      <c r="V52" t="s">
        <v>150</v>
      </c>
    </row>
    <row r="53" spans="1:22" x14ac:dyDescent="0.2">
      <c r="A53" t="s">
        <v>192</v>
      </c>
      <c r="B53" t="s">
        <v>15</v>
      </c>
      <c r="C53">
        <v>25.2</v>
      </c>
      <c r="D53" t="s">
        <v>16</v>
      </c>
      <c r="E53" t="s">
        <v>17</v>
      </c>
      <c r="F53">
        <f>18*1.5</f>
        <v>27</v>
      </c>
      <c r="G53">
        <f t="shared" si="5"/>
        <v>0.25555499999999998</v>
      </c>
      <c r="I53">
        <f>43.8*0.1</f>
        <v>4.38</v>
      </c>
      <c r="J53">
        <f>9.465*0.001</f>
        <v>9.4649999999999995E-3</v>
      </c>
      <c r="K53">
        <v>2.6755217390000001</v>
      </c>
      <c r="L53" s="8">
        <v>9</v>
      </c>
      <c r="M53" t="s">
        <v>154</v>
      </c>
      <c r="N53">
        <v>8.5976257280000006</v>
      </c>
      <c r="O53">
        <v>1.151088831</v>
      </c>
      <c r="P53">
        <v>6.5617497470000004</v>
      </c>
      <c r="Q53">
        <v>11.07902842</v>
      </c>
      <c r="R53">
        <v>4.0683944E-2</v>
      </c>
      <c r="S53">
        <v>3.3434380999999999E-2</v>
      </c>
      <c r="T53">
        <v>-4.2523170000000002E-3</v>
      </c>
      <c r="U53">
        <v>0.120176554</v>
      </c>
      <c r="V53" t="s">
        <v>150</v>
      </c>
    </row>
    <row r="54" spans="1:22" x14ac:dyDescent="0.2">
      <c r="A54" t="s">
        <v>193</v>
      </c>
      <c r="B54" t="s">
        <v>15</v>
      </c>
      <c r="C54">
        <v>26.2</v>
      </c>
      <c r="D54" t="s">
        <v>16</v>
      </c>
      <c r="E54" t="s">
        <v>17</v>
      </c>
      <c r="F54">
        <f>22+6</f>
        <v>28</v>
      </c>
      <c r="G54">
        <f t="shared" si="5"/>
        <v>0.36512</v>
      </c>
      <c r="H54">
        <f>9.7*0.001</f>
        <v>9.7000000000000003E-3</v>
      </c>
      <c r="I54">
        <f>((36.2+44.3)/2)*0.1</f>
        <v>4.0250000000000004</v>
      </c>
      <c r="J54">
        <f>13.04*0.001</f>
        <v>1.304E-2</v>
      </c>
      <c r="K54">
        <v>6.65</v>
      </c>
      <c r="L54" s="8">
        <v>9</v>
      </c>
      <c r="M54" t="s">
        <v>154</v>
      </c>
      <c r="N54">
        <v>9.866557555</v>
      </c>
      <c r="O54">
        <v>1.3369513399999999</v>
      </c>
      <c r="P54">
        <v>7.4100456469999996</v>
      </c>
      <c r="Q54">
        <v>12.66630118</v>
      </c>
      <c r="R54">
        <v>5.7991212E-2</v>
      </c>
      <c r="S54">
        <v>5.1592391000000001E-2</v>
      </c>
      <c r="T54">
        <v>-4.624151E-3</v>
      </c>
      <c r="U54">
        <v>0.18586507699999999</v>
      </c>
      <c r="V54" t="s">
        <v>150</v>
      </c>
    </row>
    <row r="55" spans="1:22" x14ac:dyDescent="0.2">
      <c r="A55" t="s">
        <v>194</v>
      </c>
      <c r="B55" t="s">
        <v>15</v>
      </c>
      <c r="C55">
        <v>7.3</v>
      </c>
      <c r="D55" t="s">
        <v>16</v>
      </c>
      <c r="E55" t="s">
        <v>17</v>
      </c>
      <c r="F55">
        <f>14.5*3.5</f>
        <v>50.75</v>
      </c>
      <c r="G55">
        <f t="shared" si="5"/>
        <v>0.74602499999999994</v>
      </c>
      <c r="I55">
        <f>27*0.1</f>
        <v>2.7</v>
      </c>
      <c r="J55">
        <f>14.7*0.001</f>
        <v>1.47E-2</v>
      </c>
      <c r="K55">
        <v>1.370471429</v>
      </c>
      <c r="L55" s="8">
        <v>4</v>
      </c>
      <c r="M55" t="s">
        <v>154</v>
      </c>
      <c r="N55">
        <v>8.1481271569999993</v>
      </c>
      <c r="O55">
        <v>1.0755219</v>
      </c>
      <c r="P55">
        <v>6.242045568</v>
      </c>
      <c r="Q55">
        <v>10.49541967</v>
      </c>
      <c r="R55">
        <v>8.7989739999999993E-3</v>
      </c>
      <c r="S55">
        <v>1.9808909999999999E-2</v>
      </c>
      <c r="T55">
        <v>-2.187619E-2</v>
      </c>
      <c r="U55">
        <v>5.9234664999999999E-2</v>
      </c>
      <c r="V55" t="s">
        <v>150</v>
      </c>
    </row>
    <row r="56" spans="1:22" x14ac:dyDescent="0.2">
      <c r="A56" t="s">
        <v>195</v>
      </c>
      <c r="B56" t="s">
        <v>15</v>
      </c>
      <c r="C56">
        <v>20.100000000000001</v>
      </c>
      <c r="D56" t="s">
        <v>16</v>
      </c>
      <c r="E56" t="s">
        <v>17</v>
      </c>
      <c r="F56">
        <v>15</v>
      </c>
      <c r="G56">
        <f t="shared" si="5"/>
        <v>0.1857</v>
      </c>
      <c r="I56">
        <f>((25+30)/2)*0.1</f>
        <v>2.75</v>
      </c>
      <c r="J56">
        <f>12.38*0.001</f>
        <v>1.238E-2</v>
      </c>
      <c r="K56">
        <v>0.77666801299999999</v>
      </c>
      <c r="L56" s="8">
        <v>4</v>
      </c>
      <c r="M56" t="s">
        <v>154</v>
      </c>
      <c r="N56">
        <v>12.149596259999999</v>
      </c>
      <c r="O56">
        <v>1.0426565969999999</v>
      </c>
      <c r="P56">
        <v>10.23200469</v>
      </c>
      <c r="Q56">
        <v>14.34731275</v>
      </c>
      <c r="R56">
        <v>1.8909295999999999E-2</v>
      </c>
      <c r="S56">
        <v>1.5511382000000001E-2</v>
      </c>
      <c r="T56">
        <v>-3.1696490000000001E-3</v>
      </c>
      <c r="U56">
        <v>5.5725416E-2</v>
      </c>
      <c r="V56" t="s">
        <v>150</v>
      </c>
    </row>
    <row r="57" spans="1:22" x14ac:dyDescent="0.2">
      <c r="A57" t="s">
        <v>196</v>
      </c>
      <c r="B57" t="s">
        <v>15</v>
      </c>
      <c r="C57">
        <v>41</v>
      </c>
      <c r="D57" t="s">
        <v>16</v>
      </c>
      <c r="E57" t="s">
        <v>22</v>
      </c>
      <c r="F57">
        <v>12</v>
      </c>
      <c r="G57">
        <f t="shared" si="5"/>
        <v>0.15479999999999999</v>
      </c>
      <c r="I57">
        <f>((30+40)/2)*0.1</f>
        <v>3.5</v>
      </c>
      <c r="J57">
        <f>12.9*0.001</f>
        <v>1.29E-2</v>
      </c>
      <c r="K57">
        <v>1.365490506</v>
      </c>
      <c r="L57" s="8">
        <v>3</v>
      </c>
      <c r="M57" t="s">
        <v>154</v>
      </c>
      <c r="N57">
        <v>22.994051379999998</v>
      </c>
      <c r="O57">
        <v>3.3142887600000002</v>
      </c>
      <c r="P57">
        <v>17.890080950000002</v>
      </c>
      <c r="Q57">
        <v>30.89351534</v>
      </c>
      <c r="R57">
        <v>1.6493377E-2</v>
      </c>
      <c r="S57">
        <v>1.5361557E-2</v>
      </c>
      <c r="T57">
        <v>-2.6651119999999999E-3</v>
      </c>
      <c r="U57">
        <v>5.4726202000000002E-2</v>
      </c>
      <c r="V57" t="s">
        <v>150</v>
      </c>
    </row>
    <row r="58" spans="1:22" x14ac:dyDescent="0.2">
      <c r="A58" t="s">
        <v>197</v>
      </c>
      <c r="B58" t="s">
        <v>15</v>
      </c>
      <c r="C58">
        <v>70</v>
      </c>
      <c r="D58" t="s">
        <v>16</v>
      </c>
      <c r="E58" t="s">
        <v>22</v>
      </c>
      <c r="F58">
        <f>23.7*2.25</f>
        <v>53.324999999999996</v>
      </c>
      <c r="G58">
        <f t="shared" si="5"/>
        <v>1.3011299999999999</v>
      </c>
      <c r="H58">
        <f>((9+22)/2)*0.001</f>
        <v>1.55E-2</v>
      </c>
      <c r="I58">
        <f>40*0.1</f>
        <v>4</v>
      </c>
      <c r="J58">
        <f>24.4*0.001</f>
        <v>2.4399999999999998E-2</v>
      </c>
      <c r="K58">
        <v>4.8280305099999996</v>
      </c>
      <c r="L58" s="8">
        <v>6</v>
      </c>
      <c r="M58" t="s">
        <v>154</v>
      </c>
      <c r="N58">
        <v>24.27546143</v>
      </c>
      <c r="O58">
        <v>1.5654361800000001</v>
      </c>
      <c r="P58">
        <v>21.470449120000001</v>
      </c>
      <c r="Q58">
        <v>27.574374890000001</v>
      </c>
      <c r="R58">
        <v>3.5141243000000003E-2</v>
      </c>
      <c r="S58">
        <v>1.6582754000000002E-2</v>
      </c>
      <c r="T58">
        <v>7.4956040000000003E-3</v>
      </c>
      <c r="U58">
        <v>7.1160581000000001E-2</v>
      </c>
      <c r="V58" t="s">
        <v>150</v>
      </c>
    </row>
    <row r="59" spans="1:22" x14ac:dyDescent="0.2">
      <c r="A59" t="s">
        <v>198</v>
      </c>
      <c r="B59" t="s">
        <v>15</v>
      </c>
      <c r="C59">
        <v>35</v>
      </c>
      <c r="D59" t="s">
        <v>16</v>
      </c>
      <c r="E59" t="s">
        <v>17</v>
      </c>
      <c r="F59">
        <f>6.5*2</f>
        <v>13</v>
      </c>
      <c r="G59">
        <f t="shared" si="5"/>
        <v>0.17549999999999999</v>
      </c>
      <c r="J59">
        <f>13.5*0.001</f>
        <v>1.35E-2</v>
      </c>
      <c r="K59">
        <v>0.84684062699999996</v>
      </c>
      <c r="L59" s="8">
        <v>7</v>
      </c>
      <c r="M59" t="s">
        <v>154</v>
      </c>
      <c r="N59">
        <v>14.19721019</v>
      </c>
      <c r="O59">
        <v>2.5879863360000002</v>
      </c>
      <c r="P59">
        <v>10.46182554</v>
      </c>
      <c r="Q59">
        <v>19.674915129999999</v>
      </c>
      <c r="R59">
        <v>6.6380349999999996E-3</v>
      </c>
      <c r="S59">
        <v>3.4459814999999998E-2</v>
      </c>
      <c r="T59">
        <v>-2.262315E-3</v>
      </c>
      <c r="U59">
        <v>9.1463183000000003E-2</v>
      </c>
      <c r="V59" t="s">
        <v>150</v>
      </c>
    </row>
    <row r="60" spans="1:22" x14ac:dyDescent="0.2">
      <c r="A60" t="s">
        <v>199</v>
      </c>
      <c r="B60" t="s">
        <v>15</v>
      </c>
      <c r="C60">
        <v>37</v>
      </c>
      <c r="D60" t="s">
        <v>16</v>
      </c>
      <c r="E60" t="s">
        <v>17</v>
      </c>
      <c r="F60">
        <f>13.9*1.5</f>
        <v>20.85</v>
      </c>
      <c r="G60">
        <f t="shared" si="5"/>
        <v>0.15387300000000001</v>
      </c>
      <c r="H60">
        <f>3.7*0.01</f>
        <v>3.7000000000000005E-2</v>
      </c>
      <c r="I60">
        <f>((25+30)/2)*0.1</f>
        <v>2.75</v>
      </c>
      <c r="J60">
        <f>7.38*0.001</f>
        <v>7.3800000000000003E-3</v>
      </c>
      <c r="K60">
        <v>0.69212312899999995</v>
      </c>
      <c r="L60" s="8">
        <v>10</v>
      </c>
      <c r="M60" t="s">
        <v>154</v>
      </c>
      <c r="N60">
        <v>21.07124147</v>
      </c>
      <c r="O60">
        <v>2.6912268469999998</v>
      </c>
      <c r="P60">
        <v>16.89328944</v>
      </c>
      <c r="Q60">
        <v>27.327295960000001</v>
      </c>
      <c r="R60">
        <v>8.1182000000000008E-3</v>
      </c>
      <c r="S60">
        <v>1.1812736000000001E-2</v>
      </c>
      <c r="T60">
        <v>-5.7850200000000001E-3</v>
      </c>
      <c r="U60">
        <v>3.8819200999999998E-2</v>
      </c>
      <c r="V60" t="s">
        <v>150</v>
      </c>
    </row>
    <row r="61" spans="1:22" x14ac:dyDescent="0.2">
      <c r="A61" t="s">
        <v>200</v>
      </c>
      <c r="B61" t="s">
        <v>15</v>
      </c>
      <c r="C61">
        <v>35.799999999999997</v>
      </c>
      <c r="D61" t="s">
        <v>16</v>
      </c>
      <c r="E61" t="s">
        <v>22</v>
      </c>
      <c r="F61">
        <v>12</v>
      </c>
      <c r="G61">
        <f t="shared" si="5"/>
        <v>0.34573199999999998</v>
      </c>
      <c r="J61">
        <f>28.811*0.001</f>
        <v>2.8811E-2</v>
      </c>
      <c r="K61">
        <v>5.5341749460000003</v>
      </c>
      <c r="L61" s="8">
        <v>5</v>
      </c>
      <c r="M61" t="s">
        <v>154</v>
      </c>
      <c r="N61">
        <v>15.98806933</v>
      </c>
      <c r="O61">
        <v>1.4335841229999999</v>
      </c>
      <c r="P61">
        <v>13.32962208</v>
      </c>
      <c r="Q61">
        <v>19.015534760000001</v>
      </c>
      <c r="R61">
        <v>7.3939569999999996E-3</v>
      </c>
      <c r="S61">
        <v>1.1450856000000001E-2</v>
      </c>
      <c r="T61">
        <v>-8.3423579999999994E-3</v>
      </c>
      <c r="U61">
        <v>3.6158703E-2</v>
      </c>
      <c r="V61" t="s">
        <v>150</v>
      </c>
    </row>
    <row r="62" spans="1:22" x14ac:dyDescent="0.2">
      <c r="A62" t="s">
        <v>201</v>
      </c>
      <c r="B62" t="s">
        <v>15</v>
      </c>
      <c r="C62">
        <v>20</v>
      </c>
      <c r="D62" t="s">
        <v>19</v>
      </c>
      <c r="E62" t="s">
        <v>17</v>
      </c>
      <c r="F62">
        <v>1</v>
      </c>
      <c r="G62">
        <f t="shared" si="5"/>
        <v>2.7E-2</v>
      </c>
      <c r="I62">
        <f>((43+57 )/2)*0.1</f>
        <v>5</v>
      </c>
      <c r="J62">
        <f>27*0.001</f>
        <v>2.7E-2</v>
      </c>
      <c r="K62">
        <v>0.32268823499999999</v>
      </c>
      <c r="L62" s="8">
        <v>10</v>
      </c>
      <c r="M62" t="s">
        <v>154</v>
      </c>
      <c r="N62">
        <v>8.3548431539999992</v>
      </c>
      <c r="O62">
        <v>1.3823429149999999</v>
      </c>
      <c r="P62">
        <v>6.038948113</v>
      </c>
      <c r="Q62">
        <v>11.424255280000001</v>
      </c>
      <c r="R62">
        <v>4.6127670000000003E-3</v>
      </c>
      <c r="S62">
        <v>1.7374975000000001E-2</v>
      </c>
      <c r="T62">
        <v>-4.9164819999999998E-3</v>
      </c>
      <c r="U62">
        <v>5.9665759999999998E-2</v>
      </c>
      <c r="V62" t="s">
        <v>150</v>
      </c>
    </row>
    <row r="63" spans="1:22" x14ac:dyDescent="0.2">
      <c r="A63" t="s">
        <v>202</v>
      </c>
      <c r="B63" t="s">
        <v>15</v>
      </c>
      <c r="C63">
        <v>77</v>
      </c>
      <c r="D63" t="s">
        <v>16</v>
      </c>
      <c r="E63" t="s">
        <v>17</v>
      </c>
      <c r="F63">
        <f>9.6*1.5</f>
        <v>14.399999999999999</v>
      </c>
      <c r="G63">
        <f t="shared" si="5"/>
        <v>0.17567999999999998</v>
      </c>
      <c r="H63">
        <f>6.1*0.001</f>
        <v>6.0999999999999995E-3</v>
      </c>
      <c r="I63">
        <f>(( 29+38.8)/2)*0.1</f>
        <v>3.39</v>
      </c>
      <c r="J63">
        <f>12.2*0.001</f>
        <v>1.2199999999999999E-2</v>
      </c>
      <c r="K63">
        <f>1162*0.001</f>
        <v>1.1619999999999999</v>
      </c>
      <c r="L63" s="8">
        <f>6500/365</f>
        <v>17.80821917808219</v>
      </c>
      <c r="M63" t="s">
        <v>152</v>
      </c>
      <c r="N63">
        <v>19.394699710000001</v>
      </c>
      <c r="R63">
        <v>1.5766504000000001E-2</v>
      </c>
      <c r="V63" t="s">
        <v>220</v>
      </c>
    </row>
    <row r="64" spans="1:22" x14ac:dyDescent="0.2">
      <c r="A64" t="s">
        <v>204</v>
      </c>
      <c r="B64" t="s">
        <v>15</v>
      </c>
      <c r="C64">
        <v>120</v>
      </c>
      <c r="D64" t="s">
        <v>16</v>
      </c>
      <c r="E64" t="s">
        <v>17</v>
      </c>
      <c r="F64">
        <f>9.33*2</f>
        <v>18.66</v>
      </c>
      <c r="G64">
        <f t="shared" si="5"/>
        <v>0.151146</v>
      </c>
      <c r="I64">
        <f>((20+25)/2)*0.1</f>
        <v>2.25</v>
      </c>
      <c r="J64">
        <f>8.1*0.001</f>
        <v>8.0999999999999996E-3</v>
      </c>
      <c r="K64" s="7">
        <f>1096.478196*0.001</f>
        <v>1.0964781960000001</v>
      </c>
      <c r="L64" s="8">
        <v>13.5</v>
      </c>
      <c r="M64" t="s">
        <v>152</v>
      </c>
      <c r="N64">
        <v>14.24115027</v>
      </c>
      <c r="R64">
        <v>3.3307675000000002E-2</v>
      </c>
      <c r="V64" t="s">
        <v>220</v>
      </c>
    </row>
    <row r="65" spans="1:22" x14ac:dyDescent="0.2">
      <c r="A65" t="s">
        <v>205</v>
      </c>
      <c r="B65" t="s">
        <v>15</v>
      </c>
      <c r="C65">
        <v>120</v>
      </c>
      <c r="D65" t="s">
        <v>16</v>
      </c>
      <c r="E65" t="s">
        <v>17</v>
      </c>
      <c r="F65">
        <f t="shared" ref="F65:F66" si="9">9.33*2</f>
        <v>18.66</v>
      </c>
      <c r="G65">
        <f t="shared" si="5"/>
        <v>0.151146</v>
      </c>
      <c r="I65">
        <f t="shared" ref="I65:I66" si="10">((20+25)/2)*0.1</f>
        <v>2.25</v>
      </c>
      <c r="J65">
        <f t="shared" ref="J65:J66" si="11">8.1*0.001</f>
        <v>8.0999999999999996E-3</v>
      </c>
      <c r="K65" s="7">
        <f t="shared" ref="K65:K66" si="12">1096.478196*0.001</f>
        <v>1.0964781960000001</v>
      </c>
      <c r="L65" s="8">
        <v>13.5</v>
      </c>
      <c r="M65" t="s">
        <v>152</v>
      </c>
      <c r="N65">
        <v>9.4199324989999997</v>
      </c>
      <c r="R65">
        <v>1.8589939999999999E-2</v>
      </c>
      <c r="V65" t="s">
        <v>220</v>
      </c>
    </row>
    <row r="66" spans="1:22" x14ac:dyDescent="0.2">
      <c r="A66" t="s">
        <v>206</v>
      </c>
      <c r="B66" t="s">
        <v>15</v>
      </c>
      <c r="C66">
        <v>120</v>
      </c>
      <c r="D66" t="s">
        <v>16</v>
      </c>
      <c r="E66" t="s">
        <v>17</v>
      </c>
      <c r="F66">
        <f t="shared" si="9"/>
        <v>18.66</v>
      </c>
      <c r="G66">
        <f t="shared" si="5"/>
        <v>0.151146</v>
      </c>
      <c r="I66">
        <f t="shared" si="10"/>
        <v>2.25</v>
      </c>
      <c r="J66">
        <f t="shared" si="11"/>
        <v>8.0999999999999996E-3</v>
      </c>
      <c r="K66" s="7">
        <f t="shared" si="12"/>
        <v>1.0964781960000001</v>
      </c>
      <c r="L66" s="8">
        <v>13.5</v>
      </c>
      <c r="M66" t="s">
        <v>152</v>
      </c>
      <c r="N66">
        <v>34.848454029999999</v>
      </c>
      <c r="R66">
        <v>-1.2318419999999999E-3</v>
      </c>
      <c r="V66" t="s">
        <v>220</v>
      </c>
    </row>
    <row r="67" spans="1:22" x14ac:dyDescent="0.2">
      <c r="A67" t="s">
        <v>212</v>
      </c>
      <c r="B67" t="s">
        <v>15</v>
      </c>
      <c r="C67">
        <v>11.8</v>
      </c>
      <c r="D67" t="s">
        <v>16</v>
      </c>
      <c r="E67" t="s">
        <v>17</v>
      </c>
      <c r="F67">
        <v>9</v>
      </c>
      <c r="G67">
        <f t="shared" si="5"/>
        <v>8.1000000000000016E-2</v>
      </c>
      <c r="I67">
        <f>47.3*0.1</f>
        <v>4.7299999999999995</v>
      </c>
      <c r="J67">
        <f>((6+12)/2)*0.001</f>
        <v>9.0000000000000011E-3</v>
      </c>
      <c r="K67">
        <f>194.3*0.001</f>
        <v>0.19430000000000003</v>
      </c>
      <c r="L67">
        <v>14</v>
      </c>
      <c r="M67" t="s">
        <v>152</v>
      </c>
      <c r="N67">
        <v>11.879044499999999</v>
      </c>
      <c r="R67">
        <v>0.124046381</v>
      </c>
      <c r="V67" t="s">
        <v>220</v>
      </c>
    </row>
    <row r="68" spans="1:22" x14ac:dyDescent="0.2">
      <c r="A68" t="s">
        <v>213</v>
      </c>
      <c r="B68" t="s">
        <v>15</v>
      </c>
      <c r="C68">
        <v>42.4</v>
      </c>
      <c r="D68" t="s">
        <v>16</v>
      </c>
      <c r="E68" t="s">
        <v>17</v>
      </c>
      <c r="F68">
        <v>4.78</v>
      </c>
      <c r="G68">
        <f t="shared" si="5"/>
        <v>2.3135199999999998E-2</v>
      </c>
      <c r="H68">
        <f>2.51*0.001</f>
        <v>2.5099999999999996E-3</v>
      </c>
      <c r="I68">
        <f>((21+30)/2)*0.1</f>
        <v>2.5500000000000003</v>
      </c>
      <c r="J68">
        <f>4.84*0.001</f>
        <v>4.8399999999999997E-3</v>
      </c>
      <c r="K68">
        <f>271.3*0.001</f>
        <v>0.27130000000000004</v>
      </c>
      <c r="L68">
        <v>11</v>
      </c>
      <c r="M68" t="s">
        <v>152</v>
      </c>
      <c r="N68">
        <v>11.953288280000001</v>
      </c>
      <c r="R68">
        <v>3.9536068000000001E-2</v>
      </c>
      <c r="V68" t="s">
        <v>220</v>
      </c>
    </row>
    <row r="69" spans="1:22" x14ac:dyDescent="0.2">
      <c r="A69" t="s">
        <v>214</v>
      </c>
      <c r="B69" t="s">
        <v>15</v>
      </c>
      <c r="C69">
        <v>17.600000000000001</v>
      </c>
      <c r="D69" t="s">
        <v>16</v>
      </c>
      <c r="E69" t="s">
        <v>17</v>
      </c>
      <c r="F69">
        <v>5</v>
      </c>
      <c r="G69">
        <f t="shared" si="5"/>
        <v>4.9000000000000009E-2</v>
      </c>
      <c r="I69">
        <f>((3+4)/2)</f>
        <v>3.5</v>
      </c>
      <c r="J69">
        <f>9.8*0.001</f>
        <v>9.8000000000000014E-3</v>
      </c>
      <c r="K69">
        <f>257.5*0.001</f>
        <v>0.25750000000000001</v>
      </c>
      <c r="L69">
        <v>6</v>
      </c>
      <c r="M69" t="s">
        <v>152</v>
      </c>
      <c r="N69">
        <v>4.76625999</v>
      </c>
      <c r="R69">
        <v>9.5362106000000002E-2</v>
      </c>
      <c r="V69" t="s">
        <v>220</v>
      </c>
    </row>
    <row r="70" spans="1:22" x14ac:dyDescent="0.2">
      <c r="A70" t="s">
        <v>215</v>
      </c>
      <c r="B70" t="s">
        <v>15</v>
      </c>
      <c r="C70">
        <v>44</v>
      </c>
      <c r="D70" t="s">
        <v>16</v>
      </c>
      <c r="E70" t="s">
        <v>22</v>
      </c>
      <c r="F70">
        <f>13.25*2</f>
        <v>26.5</v>
      </c>
      <c r="G70">
        <f t="shared" si="5"/>
        <v>3.2051750000000006</v>
      </c>
      <c r="J70">
        <f>12.095*0.01</f>
        <v>0.12095000000000002</v>
      </c>
      <c r="K70">
        <f>2992*0.001</f>
        <v>2.992</v>
      </c>
      <c r="L70">
        <v>14</v>
      </c>
      <c r="M70" t="s">
        <v>152</v>
      </c>
      <c r="N70">
        <v>14.967776519999999</v>
      </c>
      <c r="R70">
        <v>3.6546939000000001E-2</v>
      </c>
      <c r="V70" t="s">
        <v>220</v>
      </c>
    </row>
    <row r="71" spans="1:22" x14ac:dyDescent="0.2">
      <c r="A71" t="s">
        <v>216</v>
      </c>
      <c r="B71" t="s">
        <v>15</v>
      </c>
      <c r="C71">
        <v>80</v>
      </c>
      <c r="D71" t="s">
        <v>19</v>
      </c>
      <c r="E71" t="s">
        <v>17</v>
      </c>
      <c r="F71">
        <f>4*1.5</f>
        <v>6</v>
      </c>
      <c r="G71">
        <f t="shared" si="5"/>
        <v>6.1770000000000005E-2</v>
      </c>
      <c r="H71">
        <f>5.95*0.001</f>
        <v>5.9500000000000004E-3</v>
      </c>
      <c r="J71">
        <f>10.295*0.001</f>
        <v>1.0295E-2</v>
      </c>
      <c r="K71">
        <f>391*0.001</f>
        <v>0.39100000000000001</v>
      </c>
      <c r="L71">
        <v>9</v>
      </c>
      <c r="M71" t="s">
        <v>152</v>
      </c>
      <c r="N71">
        <v>9.0742993510000005</v>
      </c>
      <c r="R71">
        <v>-1.3409325E-2</v>
      </c>
      <c r="V71" t="s">
        <v>220</v>
      </c>
    </row>
    <row r="72" spans="1:22" x14ac:dyDescent="0.2">
      <c r="A72" t="s">
        <v>203</v>
      </c>
      <c r="B72" t="s">
        <v>15</v>
      </c>
      <c r="C72">
        <v>45</v>
      </c>
      <c r="D72" t="s">
        <v>16</v>
      </c>
      <c r="E72" t="s">
        <v>22</v>
      </c>
      <c r="F72">
        <v>383.50850000000003</v>
      </c>
      <c r="G72">
        <f t="shared" si="5"/>
        <v>17.98654865</v>
      </c>
      <c r="H72">
        <f>24*0.001</f>
        <v>2.4E-2</v>
      </c>
      <c r="J72">
        <f>46.9*0.001</f>
        <v>4.6899999999999997E-2</v>
      </c>
      <c r="K72">
        <v>102.1752</v>
      </c>
      <c r="L72" s="8">
        <v>11</v>
      </c>
      <c r="M72" t="s">
        <v>153</v>
      </c>
      <c r="N72">
        <v>16.731838199999999</v>
      </c>
      <c r="O72">
        <v>0.77190820999999998</v>
      </c>
      <c r="P72">
        <v>15.2363927</v>
      </c>
      <c r="Q72">
        <v>18.2803702</v>
      </c>
      <c r="R72">
        <v>8.4807880000000002E-2</v>
      </c>
      <c r="S72">
        <v>1.0063681E-2</v>
      </c>
      <c r="T72">
        <v>6.5083429999999998E-2</v>
      </c>
      <c r="U72">
        <v>0.10453229999999999</v>
      </c>
      <c r="V72" t="s">
        <v>221</v>
      </c>
    </row>
    <row r="73" spans="1:22" x14ac:dyDescent="0.2">
      <c r="A73" t="s">
        <v>242</v>
      </c>
      <c r="B73" t="s">
        <v>72</v>
      </c>
      <c r="C73">
        <v>32</v>
      </c>
      <c r="D73" t="s">
        <v>16</v>
      </c>
      <c r="E73" t="s">
        <v>22</v>
      </c>
      <c r="F73">
        <v>195.84209999999999</v>
      </c>
      <c r="G73">
        <f t="shared" si="5"/>
        <v>9.1849944899999993</v>
      </c>
      <c r="H73">
        <f t="shared" ref="H73:H76" si="13">24*0.001</f>
        <v>2.4E-2</v>
      </c>
      <c r="J73">
        <f t="shared" ref="J73:J76" si="14">46.9*0.001</f>
        <v>4.6899999999999997E-2</v>
      </c>
      <c r="K73">
        <v>106.38120000000001</v>
      </c>
      <c r="L73" s="8">
        <v>12</v>
      </c>
      <c r="M73" t="s">
        <v>153</v>
      </c>
      <c r="N73">
        <v>9.6423448</v>
      </c>
      <c r="O73">
        <v>0.99387764999999995</v>
      </c>
      <c r="P73">
        <v>7.8049264000000003</v>
      </c>
      <c r="Q73">
        <v>11.719288499999999</v>
      </c>
      <c r="R73">
        <v>9.0974280000000005E-2</v>
      </c>
      <c r="S73">
        <v>2.374807E-2</v>
      </c>
      <c r="T73">
        <v>4.4428919999999997E-2</v>
      </c>
      <c r="U73">
        <v>0.13751959999999999</v>
      </c>
      <c r="V73" t="s">
        <v>221</v>
      </c>
    </row>
    <row r="74" spans="1:22" x14ac:dyDescent="0.2">
      <c r="A74" t="s">
        <v>243</v>
      </c>
      <c r="B74" t="s">
        <v>73</v>
      </c>
      <c r="C74">
        <v>43</v>
      </c>
      <c r="D74" t="s">
        <v>16</v>
      </c>
      <c r="E74" t="s">
        <v>22</v>
      </c>
      <c r="F74">
        <v>229.2593</v>
      </c>
      <c r="G74">
        <f t="shared" si="5"/>
        <v>10.752261169999999</v>
      </c>
      <c r="H74">
        <f t="shared" si="13"/>
        <v>2.4E-2</v>
      </c>
      <c r="J74">
        <f t="shared" si="14"/>
        <v>4.6899999999999997E-2</v>
      </c>
      <c r="K74">
        <v>101.395</v>
      </c>
      <c r="L74" s="8">
        <v>12</v>
      </c>
      <c r="M74" t="s">
        <v>153</v>
      </c>
      <c r="N74">
        <v>18.015764300000001</v>
      </c>
      <c r="O74">
        <v>1.2659450699999999</v>
      </c>
      <c r="P74">
        <v>15.6098737</v>
      </c>
      <c r="Q74">
        <v>20.554613700000001</v>
      </c>
      <c r="R74">
        <v>9.0536259999999993E-2</v>
      </c>
      <c r="S74">
        <v>1.6089630000000001E-2</v>
      </c>
      <c r="T74">
        <v>5.900118E-2</v>
      </c>
      <c r="U74">
        <v>0.1220714</v>
      </c>
      <c r="V74" t="s">
        <v>221</v>
      </c>
    </row>
    <row r="75" spans="1:22" x14ac:dyDescent="0.2">
      <c r="A75" t="s">
        <v>244</v>
      </c>
      <c r="B75" t="s">
        <v>74</v>
      </c>
      <c r="C75">
        <v>37</v>
      </c>
      <c r="D75" t="s">
        <v>16</v>
      </c>
      <c r="E75" t="s">
        <v>22</v>
      </c>
      <c r="F75">
        <v>403.64490000000001</v>
      </c>
      <c r="G75">
        <f t="shared" si="5"/>
        <v>18.930945810000001</v>
      </c>
      <c r="H75">
        <f t="shared" si="13"/>
        <v>2.4E-2</v>
      </c>
      <c r="J75">
        <f t="shared" si="14"/>
        <v>4.6899999999999997E-2</v>
      </c>
      <c r="K75">
        <v>102.05500000000001</v>
      </c>
      <c r="L75" s="8">
        <v>11</v>
      </c>
      <c r="M75" t="s">
        <v>153</v>
      </c>
      <c r="N75">
        <v>19.737048000000001</v>
      </c>
      <c r="O75">
        <v>1.3072029700000001</v>
      </c>
      <c r="P75">
        <v>16.993928700000001</v>
      </c>
      <c r="Q75">
        <v>22.184849</v>
      </c>
      <c r="R75">
        <v>0.15996160000000001</v>
      </c>
      <c r="S75">
        <v>2.9198519999999999E-2</v>
      </c>
      <c r="T75">
        <v>0.10273355000000001</v>
      </c>
      <c r="U75">
        <v>0.21718960000000001</v>
      </c>
      <c r="V75" t="s">
        <v>221</v>
      </c>
    </row>
    <row r="76" spans="1:22" x14ac:dyDescent="0.2">
      <c r="A76" t="s">
        <v>245</v>
      </c>
      <c r="B76" t="s">
        <v>75</v>
      </c>
      <c r="C76">
        <v>45</v>
      </c>
      <c r="D76" t="s">
        <v>16</v>
      </c>
      <c r="E76" t="s">
        <v>22</v>
      </c>
      <c r="F76">
        <v>605.05240000000003</v>
      </c>
      <c r="G76">
        <f t="shared" si="5"/>
        <v>28.376957560000001</v>
      </c>
      <c r="H76">
        <f t="shared" si="13"/>
        <v>2.4E-2</v>
      </c>
      <c r="J76">
        <f t="shared" si="14"/>
        <v>4.6899999999999997E-2</v>
      </c>
      <c r="K76">
        <v>102.557</v>
      </c>
      <c r="L76" s="8">
        <v>10</v>
      </c>
      <c r="M76" t="s">
        <v>153</v>
      </c>
      <c r="N76">
        <v>19.441658400000001</v>
      </c>
      <c r="O76">
        <v>2.37383152</v>
      </c>
      <c r="P76">
        <v>14.4877787</v>
      </c>
      <c r="Q76">
        <v>23.864614499999998</v>
      </c>
      <c r="R76">
        <v>9.265959E-2</v>
      </c>
      <c r="S76">
        <v>2.606611E-2</v>
      </c>
      <c r="T76">
        <v>4.1570950000000002E-2</v>
      </c>
      <c r="U76">
        <v>0.14374819999999999</v>
      </c>
      <c r="V76" t="s">
        <v>221</v>
      </c>
    </row>
  </sheetData>
  <autoFilter ref="A1:V76" xr:uid="{00000000-0001-0000-0000-000000000000}"/>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5B729-27BD-2B42-81C8-884B3522F2F8}">
  <dimension ref="A1:X19"/>
  <sheetViews>
    <sheetView workbookViewId="0">
      <selection activeCell="W43" sqref="W43"/>
    </sheetView>
  </sheetViews>
  <sheetFormatPr baseColWidth="10" defaultRowHeight="16" x14ac:dyDescent="0.2"/>
  <cols>
    <col min="1" max="1" width="23.6640625" bestFit="1" customWidth="1"/>
    <col min="2" max="2" width="6.1640625" bestFit="1" customWidth="1"/>
    <col min="3" max="3" width="5.1640625" bestFit="1" customWidth="1"/>
    <col min="4" max="4" width="12.1640625" bestFit="1" customWidth="1"/>
    <col min="5" max="5" width="9.6640625" bestFit="1" customWidth="1"/>
    <col min="6" max="6" width="10.5" bestFit="1" customWidth="1"/>
    <col min="7" max="7" width="12.33203125" bestFit="1" customWidth="1"/>
    <col min="8" max="8" width="12.6640625" bestFit="1" customWidth="1"/>
    <col min="9" max="9" width="10.33203125" bestFit="1" customWidth="1"/>
    <col min="10" max="10" width="13" bestFit="1" customWidth="1"/>
    <col min="11" max="11" width="14.1640625" bestFit="1" customWidth="1"/>
    <col min="12" max="12" width="9.1640625" bestFit="1" customWidth="1"/>
    <col min="13" max="13" width="12.1640625" bestFit="1" customWidth="1"/>
    <col min="14" max="14" width="4.6640625" bestFit="1" customWidth="1"/>
    <col min="15" max="15" width="18.6640625" bestFit="1" customWidth="1"/>
    <col min="16" max="16" width="15" bestFit="1" customWidth="1"/>
    <col min="17" max="17" width="12.5" bestFit="1" customWidth="1"/>
    <col min="18" max="20" width="15.33203125" bestFit="1" customWidth="1"/>
    <col min="21" max="21" width="12.83203125" bestFit="1" customWidth="1"/>
    <col min="22" max="23" width="15.6640625" bestFit="1" customWidth="1"/>
    <col min="24" max="24" width="16.5" bestFit="1" customWidth="1"/>
  </cols>
  <sheetData>
    <row r="1" spans="1:24" x14ac:dyDescent="0.2">
      <c r="A1" s="9" t="s">
        <v>0</v>
      </c>
      <c r="B1" s="9" t="s">
        <v>505</v>
      </c>
      <c r="C1" s="9" t="s">
        <v>1</v>
      </c>
      <c r="D1" s="9" t="s">
        <v>2</v>
      </c>
      <c r="E1" s="9" t="s">
        <v>3</v>
      </c>
      <c r="F1" s="9" t="s">
        <v>4</v>
      </c>
      <c r="G1" s="9" t="s">
        <v>504</v>
      </c>
      <c r="H1" s="9" t="s">
        <v>77</v>
      </c>
      <c r="I1" s="9" t="s">
        <v>79</v>
      </c>
      <c r="J1" s="9" t="s">
        <v>98</v>
      </c>
      <c r="K1" s="9" t="s">
        <v>99</v>
      </c>
      <c r="L1" s="9" t="s">
        <v>97</v>
      </c>
      <c r="M1" s="9" t="s">
        <v>100</v>
      </c>
      <c r="N1" s="9" t="s">
        <v>5</v>
      </c>
      <c r="O1" s="9" t="s">
        <v>151</v>
      </c>
      <c r="P1" s="9" t="s">
        <v>6</v>
      </c>
      <c r="Q1" s="9" t="s">
        <v>7</v>
      </c>
      <c r="R1" s="9" t="s">
        <v>8</v>
      </c>
      <c r="S1" s="9" t="s">
        <v>9</v>
      </c>
      <c r="T1" s="9" t="s">
        <v>10</v>
      </c>
      <c r="U1" s="9" t="s">
        <v>11</v>
      </c>
      <c r="V1" s="9" t="s">
        <v>12</v>
      </c>
      <c r="W1" s="9" t="s">
        <v>13</v>
      </c>
      <c r="X1" s="9" t="s">
        <v>149</v>
      </c>
    </row>
    <row r="2" spans="1:24" x14ac:dyDescent="0.2">
      <c r="A2" s="9" t="s">
        <v>210</v>
      </c>
      <c r="B2" s="9" t="s">
        <v>506</v>
      </c>
      <c r="C2" s="9" t="s">
        <v>15</v>
      </c>
      <c r="D2" s="9">
        <v>47</v>
      </c>
      <c r="E2" s="9" t="s">
        <v>16</v>
      </c>
      <c r="F2" s="9" t="s">
        <v>17</v>
      </c>
      <c r="G2" s="9">
        <v>6.2713025000000006E-2</v>
      </c>
      <c r="H2" s="29">
        <v>26.631</v>
      </c>
      <c r="I2" s="29">
        <v>0.32400000000000001</v>
      </c>
      <c r="J2" s="9"/>
      <c r="K2" s="9">
        <v>2.75</v>
      </c>
      <c r="L2" s="9">
        <v>1.2175E-2</v>
      </c>
      <c r="M2" s="9">
        <v>5.17</v>
      </c>
      <c r="N2" s="49">
        <v>12.2</v>
      </c>
      <c r="O2" s="9" t="s">
        <v>152</v>
      </c>
      <c r="P2" s="9">
        <v>21.5427514</v>
      </c>
      <c r="Q2" s="9"/>
      <c r="R2" s="9"/>
      <c r="S2" s="9"/>
      <c r="T2">
        <v>7.0440699999999999E-4</v>
      </c>
      <c r="U2" s="9"/>
      <c r="V2" s="9"/>
      <c r="W2" s="9"/>
      <c r="X2" s="9" t="s">
        <v>220</v>
      </c>
    </row>
    <row r="3" spans="1:24" x14ac:dyDescent="0.2">
      <c r="A3" s="9" t="s">
        <v>208</v>
      </c>
      <c r="B3" s="9" t="s">
        <v>506</v>
      </c>
      <c r="C3" s="9" t="s">
        <v>15</v>
      </c>
      <c r="D3" s="9">
        <v>61</v>
      </c>
      <c r="E3" s="9" t="s">
        <v>16</v>
      </c>
      <c r="F3" s="9" t="s">
        <v>17</v>
      </c>
      <c r="G3" s="9">
        <v>0.17601107999999999</v>
      </c>
      <c r="H3" s="9">
        <v>12</v>
      </c>
      <c r="I3" s="29">
        <v>6.4000000000000001E-2</v>
      </c>
      <c r="J3" s="9"/>
      <c r="K3" s="9">
        <v>2.7</v>
      </c>
      <c r="L3" s="9">
        <v>5.2950000000000002E-3</v>
      </c>
      <c r="M3" s="9">
        <v>0.36099999999999999</v>
      </c>
      <c r="N3" s="9">
        <v>6</v>
      </c>
      <c r="O3" s="9" t="s">
        <v>152</v>
      </c>
      <c r="P3" s="9">
        <v>31.942227110000001</v>
      </c>
      <c r="Q3" s="9"/>
      <c r="R3" s="9"/>
      <c r="S3" s="9"/>
      <c r="T3">
        <v>3.6369290999999998E-2</v>
      </c>
      <c r="U3" s="9"/>
      <c r="V3" s="9"/>
      <c r="W3" s="9"/>
      <c r="X3" s="9" t="s">
        <v>220</v>
      </c>
    </row>
    <row r="4" spans="1:24" x14ac:dyDescent="0.2">
      <c r="A4" s="9" t="s">
        <v>209</v>
      </c>
      <c r="B4" s="9" t="s">
        <v>506</v>
      </c>
      <c r="C4" s="9" t="s">
        <v>15</v>
      </c>
      <c r="D4" s="9">
        <v>61</v>
      </c>
      <c r="E4" s="9" t="s">
        <v>16</v>
      </c>
      <c r="F4" s="9" t="s">
        <v>17</v>
      </c>
      <c r="G4" s="9">
        <v>0.17601107999999999</v>
      </c>
      <c r="H4" s="9">
        <v>12</v>
      </c>
      <c r="I4" s="29">
        <v>6.4000000000000001E-2</v>
      </c>
      <c r="J4" s="9"/>
      <c r="K4" s="9">
        <v>2.7</v>
      </c>
      <c r="L4" s="9">
        <v>5.2950000000000002E-3</v>
      </c>
      <c r="M4" s="9">
        <v>0.36099999999999999</v>
      </c>
      <c r="N4" s="9">
        <v>5</v>
      </c>
      <c r="O4" s="9" t="s">
        <v>152</v>
      </c>
      <c r="P4" s="9">
        <v>6.606940163</v>
      </c>
      <c r="Q4" s="9"/>
      <c r="R4" s="9"/>
      <c r="S4" s="9"/>
      <c r="T4">
        <v>1.3579212E-2</v>
      </c>
      <c r="U4" s="9"/>
      <c r="V4" s="9"/>
      <c r="W4" s="9"/>
      <c r="X4" s="9" t="s">
        <v>220</v>
      </c>
    </row>
    <row r="5" spans="1:24" x14ac:dyDescent="0.2">
      <c r="A5" s="9" t="s">
        <v>202</v>
      </c>
      <c r="B5" s="9" t="s">
        <v>506</v>
      </c>
      <c r="C5" s="9" t="s">
        <v>15</v>
      </c>
      <c r="D5" s="9">
        <v>77</v>
      </c>
      <c r="E5" s="9" t="s">
        <v>16</v>
      </c>
      <c r="F5" s="9" t="s">
        <v>17</v>
      </c>
      <c r="G5" s="9">
        <v>0.151187608</v>
      </c>
      <c r="H5" s="9">
        <v>14.4</v>
      </c>
      <c r="I5" s="29">
        <v>0.17599999999999999</v>
      </c>
      <c r="J5" s="9">
        <v>6.1000000000000004E-3</v>
      </c>
      <c r="K5" s="9">
        <v>3.39</v>
      </c>
      <c r="L5" s="9">
        <v>1.2200000000000001E-2</v>
      </c>
      <c r="M5" s="9">
        <v>1.1619999999999999</v>
      </c>
      <c r="N5" s="49">
        <v>17.8</v>
      </c>
      <c r="O5" s="9" t="s">
        <v>152</v>
      </c>
      <c r="P5" s="9">
        <v>19.394699710000001</v>
      </c>
      <c r="Q5" s="9"/>
      <c r="R5" s="9"/>
      <c r="S5" s="9"/>
      <c r="T5">
        <v>1.5766504000000001E-2</v>
      </c>
      <c r="U5" s="9"/>
      <c r="V5" s="9"/>
      <c r="W5" s="9"/>
      <c r="X5" s="9" t="s">
        <v>220</v>
      </c>
    </row>
    <row r="6" spans="1:24" x14ac:dyDescent="0.2">
      <c r="A6" s="9" t="s">
        <v>204</v>
      </c>
      <c r="B6" s="9" t="s">
        <v>506</v>
      </c>
      <c r="C6" s="9" t="s">
        <v>15</v>
      </c>
      <c r="D6" s="9">
        <v>120</v>
      </c>
      <c r="E6" s="9" t="s">
        <v>16</v>
      </c>
      <c r="F6" s="9" t="s">
        <v>17</v>
      </c>
      <c r="G6" s="9">
        <v>0.13784679</v>
      </c>
      <c r="H6" s="9">
        <v>18.66</v>
      </c>
      <c r="I6" s="29">
        <v>0.151</v>
      </c>
      <c r="J6" s="9"/>
      <c r="K6" s="9">
        <v>2.25</v>
      </c>
      <c r="L6" s="9">
        <v>8.0999999999999996E-3</v>
      </c>
      <c r="M6" s="29">
        <v>1.0960000000000001</v>
      </c>
      <c r="N6" s="49">
        <v>13.5</v>
      </c>
      <c r="O6" s="9" t="s">
        <v>152</v>
      </c>
      <c r="P6" s="9">
        <v>14.24115027</v>
      </c>
      <c r="Q6" s="9"/>
      <c r="R6" s="9"/>
      <c r="S6" s="9"/>
      <c r="T6">
        <v>3.3307675000000002E-2</v>
      </c>
      <c r="U6" s="9"/>
      <c r="V6" s="9"/>
      <c r="W6" s="9"/>
      <c r="X6" s="9" t="s">
        <v>220</v>
      </c>
    </row>
    <row r="7" spans="1:24" x14ac:dyDescent="0.2">
      <c r="A7" s="9" t="s">
        <v>205</v>
      </c>
      <c r="B7" s="9" t="s">
        <v>506</v>
      </c>
      <c r="C7" s="9" t="s">
        <v>15</v>
      </c>
      <c r="D7" s="9">
        <v>120</v>
      </c>
      <c r="E7" s="9" t="s">
        <v>16</v>
      </c>
      <c r="F7" s="9" t="s">
        <v>17</v>
      </c>
      <c r="G7" s="9">
        <v>0.13784679</v>
      </c>
      <c r="H7" s="9">
        <v>18.66</v>
      </c>
      <c r="I7" s="29">
        <v>0.151</v>
      </c>
      <c r="J7" s="9"/>
      <c r="K7" s="9">
        <v>2.25</v>
      </c>
      <c r="L7" s="9">
        <v>8.0999999999999996E-3</v>
      </c>
      <c r="M7" s="29">
        <v>1.0960000000000001</v>
      </c>
      <c r="N7" s="49">
        <v>13.5</v>
      </c>
      <c r="O7" s="9" t="s">
        <v>152</v>
      </c>
      <c r="P7" s="9">
        <v>9.4199324989999997</v>
      </c>
      <c r="Q7" s="9"/>
      <c r="R7" s="9"/>
      <c r="S7" s="9"/>
      <c r="T7">
        <v>1.8589939999999999E-2</v>
      </c>
      <c r="U7" s="9"/>
      <c r="V7" s="9"/>
      <c r="W7" s="9"/>
      <c r="X7" s="9" t="s">
        <v>220</v>
      </c>
    </row>
    <row r="8" spans="1:24" x14ac:dyDescent="0.2">
      <c r="A8" s="9" t="s">
        <v>206</v>
      </c>
      <c r="B8" s="9" t="s">
        <v>506</v>
      </c>
      <c r="C8" s="9" t="s">
        <v>15</v>
      </c>
      <c r="D8" s="9">
        <v>120</v>
      </c>
      <c r="E8" s="9" t="s">
        <v>16</v>
      </c>
      <c r="F8" s="9" t="s">
        <v>17</v>
      </c>
      <c r="G8" s="9">
        <v>0.13784679</v>
      </c>
      <c r="H8" s="9">
        <v>18.66</v>
      </c>
      <c r="I8" s="29">
        <v>0.151</v>
      </c>
      <c r="J8" s="9"/>
      <c r="K8" s="9">
        <v>2.25</v>
      </c>
      <c r="L8" s="9">
        <v>8.0999999999999996E-3</v>
      </c>
      <c r="M8" s="29">
        <v>1.0960000000000001</v>
      </c>
      <c r="N8" s="49">
        <v>13.5</v>
      </c>
      <c r="O8" s="9" t="s">
        <v>152</v>
      </c>
      <c r="P8" s="9">
        <v>34.848454029999999</v>
      </c>
      <c r="Q8" s="9"/>
      <c r="R8" s="9"/>
      <c r="S8" s="9"/>
      <c r="T8">
        <v>-1.2318419999999999E-3</v>
      </c>
      <c r="U8" s="9"/>
      <c r="V8" s="9"/>
      <c r="W8" s="9"/>
      <c r="X8" s="9" t="s">
        <v>220</v>
      </c>
    </row>
    <row r="9" spans="1:24" x14ac:dyDescent="0.2">
      <c r="A9" s="9" t="s">
        <v>207</v>
      </c>
      <c r="B9" s="9" t="s">
        <v>506</v>
      </c>
      <c r="C9" s="9" t="s">
        <v>15</v>
      </c>
      <c r="D9" s="51">
        <v>36.941666669999996</v>
      </c>
      <c r="E9" s="9" t="s">
        <v>19</v>
      </c>
      <c r="F9" s="9" t="s">
        <v>17</v>
      </c>
      <c r="G9" s="9">
        <v>0.21152944900000001</v>
      </c>
      <c r="H9" s="9">
        <v>12</v>
      </c>
      <c r="I9" s="29">
        <v>0.122</v>
      </c>
      <c r="J9" s="9">
        <v>2.8750000000000001E-2</v>
      </c>
      <c r="K9" s="9">
        <v>3.2099999999999997E-2</v>
      </c>
      <c r="L9" s="9">
        <v>1.018E-2</v>
      </c>
      <c r="M9" s="9">
        <v>0.57750824199999995</v>
      </c>
      <c r="N9" s="9">
        <v>10</v>
      </c>
      <c r="O9" s="9" t="s">
        <v>152</v>
      </c>
      <c r="P9" s="9">
        <v>24.178894660000001</v>
      </c>
      <c r="Q9" s="9"/>
      <c r="R9" s="9"/>
      <c r="S9" s="9"/>
      <c r="T9">
        <v>5.2998447999999997E-2</v>
      </c>
      <c r="U9" s="9"/>
      <c r="V9" s="9"/>
      <c r="W9" s="9"/>
      <c r="X9" s="9" t="s">
        <v>220</v>
      </c>
    </row>
    <row r="10" spans="1:24" x14ac:dyDescent="0.2">
      <c r="A10" s="9" t="s">
        <v>211</v>
      </c>
      <c r="B10" s="9" t="s">
        <v>506</v>
      </c>
      <c r="C10" s="9" t="s">
        <v>15</v>
      </c>
      <c r="D10" s="9">
        <v>19.966666669999999</v>
      </c>
      <c r="E10" s="9" t="s">
        <v>16</v>
      </c>
      <c r="F10" s="9" t="s">
        <v>17</v>
      </c>
      <c r="G10" s="9">
        <v>0.162808436</v>
      </c>
      <c r="H10" s="9">
        <v>18.2</v>
      </c>
      <c r="I10" s="29"/>
      <c r="J10" s="9">
        <v>5.4099999999999999E-3</v>
      </c>
      <c r="K10" s="9">
        <v>3</v>
      </c>
      <c r="L10" s="9">
        <v>1.018E-2</v>
      </c>
      <c r="M10" s="9">
        <v>1.1379999999999999</v>
      </c>
      <c r="N10" s="9">
        <v>9</v>
      </c>
      <c r="O10" s="9" t="s">
        <v>152</v>
      </c>
      <c r="P10" s="9">
        <v>8.7569330000000001</v>
      </c>
      <c r="Q10" s="9"/>
      <c r="R10" s="9"/>
      <c r="S10" s="9"/>
      <c r="T10">
        <v>-1.306445E-2</v>
      </c>
      <c r="U10" s="9"/>
      <c r="V10" s="9"/>
      <c r="W10" s="9"/>
      <c r="X10" s="9" t="s">
        <v>220</v>
      </c>
    </row>
    <row r="11" spans="1:24" x14ac:dyDescent="0.2">
      <c r="A11" s="9" t="s">
        <v>212</v>
      </c>
      <c r="B11" s="9" t="s">
        <v>506</v>
      </c>
      <c r="C11" s="9" t="s">
        <v>15</v>
      </c>
      <c r="D11" s="9">
        <v>11.8</v>
      </c>
      <c r="E11" s="9" t="s">
        <v>16</v>
      </c>
      <c r="F11" s="9" t="s">
        <v>17</v>
      </c>
      <c r="G11" s="9">
        <v>0.416881112</v>
      </c>
      <c r="H11" s="9">
        <v>9</v>
      </c>
      <c r="I11" s="29">
        <v>8.1000000000000003E-2</v>
      </c>
      <c r="J11" s="9"/>
      <c r="K11" s="9">
        <v>4.7300000000000004</v>
      </c>
      <c r="L11" s="9">
        <v>8.9999999999999993E-3</v>
      </c>
      <c r="M11" s="9">
        <v>0.1943</v>
      </c>
      <c r="N11" s="9">
        <v>14</v>
      </c>
      <c r="O11" s="9" t="s">
        <v>152</v>
      </c>
      <c r="P11" s="9">
        <v>11.879044499999999</v>
      </c>
      <c r="Q11" s="9"/>
      <c r="R11" s="9"/>
      <c r="S11" s="9"/>
      <c r="T11">
        <v>0.124046381</v>
      </c>
      <c r="U11" s="9"/>
      <c r="V11" s="9"/>
      <c r="W11" s="9"/>
      <c r="X11" s="9" t="s">
        <v>220</v>
      </c>
    </row>
    <row r="12" spans="1:24" x14ac:dyDescent="0.2">
      <c r="A12" s="9" t="s">
        <v>213</v>
      </c>
      <c r="B12" s="9" t="s">
        <v>506</v>
      </c>
      <c r="C12" s="9" t="s">
        <v>15</v>
      </c>
      <c r="D12" s="9">
        <v>42.4</v>
      </c>
      <c r="E12" s="9" t="s">
        <v>16</v>
      </c>
      <c r="F12" s="9" t="s">
        <v>17</v>
      </c>
      <c r="G12" s="9">
        <v>8.5275341000000004E-2</v>
      </c>
      <c r="H12" s="9">
        <v>4.78</v>
      </c>
      <c r="I12" s="29">
        <v>2.3E-2</v>
      </c>
      <c r="J12" s="9">
        <v>2.5100000000000001E-3</v>
      </c>
      <c r="K12" s="9">
        <v>2.5499999999999998</v>
      </c>
      <c r="L12" s="9">
        <v>4.8399999999999997E-3</v>
      </c>
      <c r="M12" s="9">
        <v>0.27129999999999999</v>
      </c>
      <c r="N12" s="9">
        <v>11</v>
      </c>
      <c r="O12" s="9" t="s">
        <v>152</v>
      </c>
      <c r="P12" s="9">
        <v>11.953288280000001</v>
      </c>
      <c r="Q12" s="9"/>
      <c r="R12" s="9"/>
      <c r="S12" s="9"/>
      <c r="T12">
        <v>3.9536068000000001E-2</v>
      </c>
      <c r="U12" s="9"/>
      <c r="V12" s="9"/>
      <c r="W12" s="9"/>
      <c r="X12" s="9" t="s">
        <v>220</v>
      </c>
    </row>
    <row r="13" spans="1:24" x14ac:dyDescent="0.2">
      <c r="A13" s="9" t="s">
        <v>214</v>
      </c>
      <c r="B13" s="9" t="s">
        <v>506</v>
      </c>
      <c r="C13" s="9" t="s">
        <v>15</v>
      </c>
      <c r="D13" s="9">
        <v>17.600000000000001</v>
      </c>
      <c r="E13" s="9" t="s">
        <v>16</v>
      </c>
      <c r="F13" s="9" t="s">
        <v>17</v>
      </c>
      <c r="G13" s="9">
        <v>0.19029126199999999</v>
      </c>
      <c r="H13" s="9">
        <v>5</v>
      </c>
      <c r="I13" s="29">
        <v>4.9000000000000002E-2</v>
      </c>
      <c r="J13" s="9"/>
      <c r="K13" s="9">
        <v>3.5</v>
      </c>
      <c r="L13" s="9">
        <v>9.7999999999999997E-3</v>
      </c>
      <c r="M13" s="9">
        <v>0.25750000000000001</v>
      </c>
      <c r="N13" s="9">
        <v>6</v>
      </c>
      <c r="O13" s="9" t="s">
        <v>152</v>
      </c>
      <c r="P13" s="9">
        <v>4.76625999</v>
      </c>
      <c r="Q13" s="9"/>
      <c r="R13" s="9"/>
      <c r="S13" s="9"/>
      <c r="T13">
        <v>9.5362106000000002E-2</v>
      </c>
      <c r="U13" s="9"/>
      <c r="V13" s="9"/>
      <c r="W13" s="9"/>
      <c r="X13" s="9" t="s">
        <v>220</v>
      </c>
    </row>
    <row r="14" spans="1:24" x14ac:dyDescent="0.2">
      <c r="A14" s="9" t="s">
        <v>215</v>
      </c>
      <c r="B14" s="9" t="s">
        <v>506</v>
      </c>
      <c r="C14" s="9" t="s">
        <v>15</v>
      </c>
      <c r="D14" s="9">
        <v>44</v>
      </c>
      <c r="E14" s="9" t="s">
        <v>16</v>
      </c>
      <c r="F14" s="9" t="s">
        <v>22</v>
      </c>
      <c r="G14" s="9">
        <v>1.0712483290000001</v>
      </c>
      <c r="H14" s="9">
        <v>26.5</v>
      </c>
      <c r="I14" s="29">
        <v>3.2050000000000001</v>
      </c>
      <c r="J14" s="9"/>
      <c r="K14" s="9"/>
      <c r="L14" s="9">
        <v>0.12095</v>
      </c>
      <c r="M14" s="9">
        <v>2.992</v>
      </c>
      <c r="N14" s="9">
        <v>14</v>
      </c>
      <c r="O14" s="9" t="s">
        <v>152</v>
      </c>
      <c r="P14" s="9">
        <v>14.967776519999999</v>
      </c>
      <c r="Q14" s="9"/>
      <c r="R14" s="9"/>
      <c r="S14" s="9"/>
      <c r="T14">
        <v>3.6546939000000001E-2</v>
      </c>
      <c r="U14" s="9"/>
      <c r="V14" s="9"/>
      <c r="W14" s="9"/>
      <c r="X14" s="9" t="s">
        <v>220</v>
      </c>
    </row>
    <row r="15" spans="1:24" x14ac:dyDescent="0.2">
      <c r="A15" s="9" t="s">
        <v>246</v>
      </c>
      <c r="B15" s="9" t="s">
        <v>506</v>
      </c>
      <c r="C15" s="9" t="s">
        <v>15</v>
      </c>
      <c r="D15" s="9">
        <v>54.8</v>
      </c>
      <c r="E15" s="9" t="s">
        <v>16</v>
      </c>
      <c r="F15" s="9" t="s">
        <v>17</v>
      </c>
      <c r="G15" s="9">
        <v>0.16285675099999999</v>
      </c>
      <c r="H15" s="9">
        <v>10.5875</v>
      </c>
      <c r="I15" s="29">
        <v>3.5000000000000003E-2</v>
      </c>
      <c r="J15" s="9"/>
      <c r="K15" s="9">
        <v>2.1</v>
      </c>
      <c r="L15" s="9">
        <v>3.3500000000000001E-3</v>
      </c>
      <c r="M15" s="9">
        <v>0.21778725700000001</v>
      </c>
      <c r="N15" s="9">
        <v>4.5</v>
      </c>
      <c r="O15" s="9" t="s">
        <v>152</v>
      </c>
      <c r="P15" s="9">
        <v>7.1564743200000001</v>
      </c>
      <c r="Q15" s="9"/>
      <c r="R15" s="9"/>
      <c r="S15" s="9"/>
      <c r="T15">
        <v>5.2158435000000003E-2</v>
      </c>
      <c r="U15" s="9"/>
      <c r="V15" s="9"/>
      <c r="W15" s="9"/>
      <c r="X15" s="9" t="s">
        <v>220</v>
      </c>
    </row>
    <row r="16" spans="1:24" x14ac:dyDescent="0.2">
      <c r="A16" s="9" t="s">
        <v>216</v>
      </c>
      <c r="B16" s="9" t="s">
        <v>506</v>
      </c>
      <c r="C16" s="9" t="s">
        <v>15</v>
      </c>
      <c r="D16" s="9">
        <v>80</v>
      </c>
      <c r="E16" s="9" t="s">
        <v>19</v>
      </c>
      <c r="F16" s="9" t="s">
        <v>17</v>
      </c>
      <c r="G16" s="9">
        <v>0.15797954</v>
      </c>
      <c r="H16" s="9">
        <v>6</v>
      </c>
      <c r="I16" s="29">
        <v>6.2E-2</v>
      </c>
      <c r="J16" s="9">
        <v>5.9500000000000004E-3</v>
      </c>
      <c r="K16" s="9"/>
      <c r="L16" s="9">
        <v>1.0295E-2</v>
      </c>
      <c r="M16" s="9">
        <v>0.39100000000000001</v>
      </c>
      <c r="N16" s="9">
        <v>9</v>
      </c>
      <c r="O16" s="9" t="s">
        <v>152</v>
      </c>
      <c r="P16" s="9">
        <v>9.0742993510000005</v>
      </c>
      <c r="Q16" s="9"/>
      <c r="R16" s="9"/>
      <c r="S16" s="9"/>
      <c r="T16">
        <v>-1.3409325E-2</v>
      </c>
      <c r="U16" s="9"/>
      <c r="V16" s="9"/>
      <c r="W16" s="9"/>
      <c r="X16" s="9" t="s">
        <v>220</v>
      </c>
    </row>
    <row r="17" spans="1:24" x14ac:dyDescent="0.2">
      <c r="A17" s="9" t="s">
        <v>217</v>
      </c>
      <c r="B17" s="9" t="s">
        <v>506</v>
      </c>
      <c r="C17" s="9" t="s">
        <v>15</v>
      </c>
      <c r="D17" s="9">
        <v>31.7</v>
      </c>
      <c r="E17" s="9" t="s">
        <v>19</v>
      </c>
      <c r="F17" s="9" t="s">
        <v>17</v>
      </c>
      <c r="G17" s="9">
        <v>8.8152418999999996E-2</v>
      </c>
      <c r="H17" s="9">
        <v>7.3643999999999998</v>
      </c>
      <c r="I17" s="29">
        <v>0.106</v>
      </c>
      <c r="J17" s="9">
        <v>8.0000000000000002E-3</v>
      </c>
      <c r="K17" s="9">
        <v>3.2</v>
      </c>
      <c r="L17" s="9">
        <v>1.44E-2</v>
      </c>
      <c r="M17" s="9">
        <v>1.2030000000000001</v>
      </c>
      <c r="N17" s="9">
        <v>9.5</v>
      </c>
      <c r="O17" s="9" t="s">
        <v>152</v>
      </c>
      <c r="P17" s="9">
        <v>22.502412119999999</v>
      </c>
      <c r="Q17" s="9"/>
      <c r="R17" s="9"/>
      <c r="S17" s="9"/>
      <c r="T17">
        <v>-3.7699869999999998E-3</v>
      </c>
      <c r="U17" s="9"/>
      <c r="V17" s="9"/>
      <c r="W17" s="9"/>
      <c r="X17" s="9" t="s">
        <v>220</v>
      </c>
    </row>
    <row r="18" spans="1:24" x14ac:dyDescent="0.2">
      <c r="A18" s="9" t="s">
        <v>218</v>
      </c>
      <c r="B18" s="9" t="s">
        <v>506</v>
      </c>
      <c r="C18" s="9" t="s">
        <v>15</v>
      </c>
      <c r="D18" s="9">
        <v>41.3</v>
      </c>
      <c r="E18" s="9" t="s">
        <v>16</v>
      </c>
      <c r="F18" s="9" t="s">
        <v>22</v>
      </c>
      <c r="G18" s="9">
        <v>9.8406331999999999E-2</v>
      </c>
      <c r="H18" s="9">
        <v>16.8</v>
      </c>
      <c r="I18" s="29">
        <v>0.186</v>
      </c>
      <c r="J18" s="9"/>
      <c r="K18" s="9">
        <v>2.9</v>
      </c>
      <c r="L18" s="9">
        <v>1.11E-2</v>
      </c>
      <c r="M18" s="9">
        <v>1.895</v>
      </c>
      <c r="N18" s="9">
        <v>6</v>
      </c>
      <c r="O18" s="9" t="s">
        <v>152</v>
      </c>
      <c r="P18" s="9">
        <v>5.2586882020000001</v>
      </c>
      <c r="Q18" s="9"/>
      <c r="R18" s="9"/>
      <c r="S18" s="9"/>
      <c r="T18">
        <v>0.22532949299999999</v>
      </c>
      <c r="U18" s="9"/>
      <c r="V18" s="9"/>
      <c r="W18" s="9"/>
      <c r="X18" s="9" t="s">
        <v>220</v>
      </c>
    </row>
    <row r="19" spans="1:24" x14ac:dyDescent="0.2">
      <c r="A19" s="9" t="s">
        <v>219</v>
      </c>
      <c r="B19" s="9" t="s">
        <v>506</v>
      </c>
      <c r="C19" s="9" t="s">
        <v>15</v>
      </c>
      <c r="D19" s="9">
        <v>41.3</v>
      </c>
      <c r="E19" s="9" t="s">
        <v>16</v>
      </c>
      <c r="F19" s="9" t="s">
        <v>22</v>
      </c>
      <c r="G19" s="9">
        <v>9.8406331999999999E-2</v>
      </c>
      <c r="H19" s="9">
        <v>16.8</v>
      </c>
      <c r="I19" s="29">
        <v>0.186</v>
      </c>
      <c r="J19" s="9"/>
      <c r="K19" s="9">
        <v>2.9</v>
      </c>
      <c r="L19" s="9">
        <v>1.11E-2</v>
      </c>
      <c r="M19" s="9">
        <v>1.895</v>
      </c>
      <c r="N19" s="9">
        <v>6</v>
      </c>
      <c r="O19" s="9" t="s">
        <v>152</v>
      </c>
      <c r="P19" s="9">
        <v>7.6449795920000003</v>
      </c>
      <c r="Q19" s="9"/>
      <c r="R19" s="9"/>
      <c r="S19" s="9"/>
      <c r="T19">
        <v>5.320717E-3</v>
      </c>
      <c r="U19" s="9"/>
      <c r="V19" s="9"/>
      <c r="W19" s="9"/>
      <c r="X19" s="9" t="s">
        <v>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4A312-5D0D-6347-9881-0092154337D4}">
  <dimension ref="A1:AF48"/>
  <sheetViews>
    <sheetView zoomScale="97" zoomScaleNormal="97" workbookViewId="0">
      <selection activeCell="E20" sqref="E20"/>
    </sheetView>
  </sheetViews>
  <sheetFormatPr baseColWidth="10" defaultRowHeight="16" x14ac:dyDescent="0.2"/>
  <cols>
    <col min="1" max="1" width="21.1640625" bestFit="1" customWidth="1"/>
    <col min="2" max="2" width="5.1640625" bestFit="1" customWidth="1"/>
    <col min="3" max="3" width="16.33203125" bestFit="1" customWidth="1"/>
    <col min="4" max="4" width="14.1640625" bestFit="1" customWidth="1"/>
    <col min="5" max="5" width="25" bestFit="1" customWidth="1"/>
    <col min="6" max="6" width="25" customWidth="1"/>
    <col min="7" max="7" width="8.5" bestFit="1" customWidth="1"/>
    <col min="8" max="8" width="7" bestFit="1" customWidth="1"/>
    <col min="9" max="9" width="10.5" bestFit="1" customWidth="1"/>
    <col min="10" max="10" width="12.6640625" bestFit="1" customWidth="1"/>
    <col min="11" max="11" width="12.33203125" bestFit="1" customWidth="1"/>
    <col min="12" max="12" width="10.33203125" bestFit="1" customWidth="1"/>
    <col min="13" max="13" width="13" bestFit="1" customWidth="1"/>
    <col min="14" max="14" width="14.1640625" bestFit="1" customWidth="1"/>
    <col min="15" max="15" width="8.5" bestFit="1" customWidth="1"/>
    <col min="16" max="16" width="16.6640625" bestFit="1" customWidth="1"/>
    <col min="17" max="17" width="11.33203125" bestFit="1" customWidth="1"/>
    <col min="18" max="18" width="9.6640625" customWidth="1"/>
    <col min="19" max="19" width="18.6640625" bestFit="1" customWidth="1"/>
    <col min="20" max="25" width="18.6640625" customWidth="1"/>
    <col min="26" max="26" width="12.5" bestFit="1" customWidth="1"/>
    <col min="27" max="28" width="15.33203125" bestFit="1" customWidth="1"/>
    <col min="29" max="29" width="12.83203125" bestFit="1" customWidth="1"/>
    <col min="30" max="31" width="15.6640625" bestFit="1" customWidth="1"/>
    <col min="32" max="32" width="15.83203125" customWidth="1"/>
    <col min="33" max="33" width="10.83203125" customWidth="1"/>
  </cols>
  <sheetData>
    <row r="1" spans="1:32" x14ac:dyDescent="0.2">
      <c r="A1" s="9" t="s">
        <v>0</v>
      </c>
      <c r="B1" s="9" t="s">
        <v>1</v>
      </c>
      <c r="C1" s="18" t="s">
        <v>328</v>
      </c>
      <c r="D1" s="18" t="s">
        <v>248</v>
      </c>
      <c r="E1" s="31" t="s">
        <v>408</v>
      </c>
      <c r="F1" s="31" t="s">
        <v>359</v>
      </c>
      <c r="G1" s="9" t="s">
        <v>2</v>
      </c>
      <c r="H1" s="9" t="s">
        <v>3</v>
      </c>
      <c r="I1" s="9" t="s">
        <v>4</v>
      </c>
      <c r="J1" s="9" t="s">
        <v>77</v>
      </c>
      <c r="K1" s="9" t="s">
        <v>76</v>
      </c>
      <c r="L1" s="9" t="s">
        <v>79</v>
      </c>
      <c r="M1" s="9" t="s">
        <v>98</v>
      </c>
      <c r="N1" s="9" t="s">
        <v>99</v>
      </c>
      <c r="O1" s="9" t="s">
        <v>97</v>
      </c>
      <c r="P1" s="9" t="s">
        <v>417</v>
      </c>
      <c r="Q1" s="9" t="s">
        <v>100</v>
      </c>
      <c r="R1" s="9" t="s">
        <v>5</v>
      </c>
      <c r="S1" s="9" t="s">
        <v>355</v>
      </c>
      <c r="T1" s="9" t="s">
        <v>6</v>
      </c>
      <c r="U1" s="9" t="s">
        <v>503</v>
      </c>
      <c r="V1" s="9" t="s">
        <v>10</v>
      </c>
      <c r="W1" s="50" t="s">
        <v>502</v>
      </c>
      <c r="X1" s="50" t="s">
        <v>288</v>
      </c>
      <c r="Y1" s="50" t="s">
        <v>366</v>
      </c>
      <c r="Z1" s="9" t="s">
        <v>7</v>
      </c>
      <c r="AA1" s="9" t="s">
        <v>8</v>
      </c>
      <c r="AB1" s="9" t="s">
        <v>9</v>
      </c>
      <c r="AC1" s="9" t="s">
        <v>11</v>
      </c>
      <c r="AD1" s="9" t="s">
        <v>12</v>
      </c>
      <c r="AE1" s="9" t="s">
        <v>13</v>
      </c>
      <c r="AF1" s="9" t="s">
        <v>356</v>
      </c>
    </row>
    <row r="2" spans="1:32" x14ac:dyDescent="0.2">
      <c r="A2" s="9" t="s">
        <v>223</v>
      </c>
      <c r="B2" s="9" t="s">
        <v>15</v>
      </c>
      <c r="C2" s="19" t="s">
        <v>329</v>
      </c>
      <c r="D2" s="19" t="s">
        <v>252</v>
      </c>
      <c r="E2" s="31" t="s">
        <v>367</v>
      </c>
      <c r="F2" s="31">
        <v>2017</v>
      </c>
      <c r="G2" s="9">
        <v>50.313958746435752</v>
      </c>
      <c r="H2" s="9" t="s">
        <v>16</v>
      </c>
      <c r="I2" s="9" t="s">
        <v>22</v>
      </c>
      <c r="J2" s="20">
        <f>2.84*52.4</f>
        <v>148.816</v>
      </c>
      <c r="K2" s="9"/>
      <c r="L2" s="9"/>
      <c r="M2">
        <f>AVERAGE(39.3,33.6,33.9,43.6)*0.001</f>
        <v>3.7600000000000001E-2</v>
      </c>
      <c r="N2" s="6">
        <f>AVERAGE(5.97,5.7,6.12,5.78,5.66)</f>
        <v>5.8460000000000001</v>
      </c>
      <c r="O2" s="9">
        <f>AVERAGE(77.8,72.7,72,67.5)*0.001</f>
        <v>7.2499999999999995E-2</v>
      </c>
      <c r="P2" s="20">
        <v>86.3</v>
      </c>
      <c r="Q2" s="20">
        <v>67.400000000000006</v>
      </c>
      <c r="R2" s="9">
        <v>21</v>
      </c>
      <c r="S2" s="9" t="s">
        <v>227</v>
      </c>
      <c r="T2" s="9">
        <f>1/V2</f>
        <v>32.830795105290562</v>
      </c>
      <c r="U2" s="9">
        <f>1.96*SQRT((1/(X2*LN(X2)^2))^2*Y2)</f>
        <v>32.669192322700809</v>
      </c>
      <c r="V2" s="9">
        <f>-LN(X2)</f>
        <v>3.0459207484708574E-2</v>
      </c>
      <c r="W2" s="9">
        <f>1.96*SQRT((1/X2)^2*Y2)</f>
        <v>3.0309278350515466E-2</v>
      </c>
      <c r="X2" s="9">
        <v>0.97</v>
      </c>
      <c r="Y2" s="9">
        <v>2.2499999999999997E-4</v>
      </c>
      <c r="Z2" s="28"/>
      <c r="AA2" s="29">
        <f>MAX(T2-U2,0)</f>
        <v>0.16160278258975325</v>
      </c>
      <c r="AB2" s="29">
        <f>T2+U2</f>
        <v>65.499987427991371</v>
      </c>
      <c r="AC2" s="9"/>
      <c r="AD2" s="29">
        <f>V2-W2</f>
        <v>1.4992913419310805E-4</v>
      </c>
      <c r="AE2" s="29">
        <f>V2+W2</f>
        <v>6.076848583522404E-2</v>
      </c>
      <c r="AF2" s="9" t="s">
        <v>228</v>
      </c>
    </row>
    <row r="3" spans="1:32" x14ac:dyDescent="0.2">
      <c r="A3" s="9" t="s">
        <v>223</v>
      </c>
      <c r="B3" s="9" t="s">
        <v>15</v>
      </c>
      <c r="C3" s="19" t="s">
        <v>330</v>
      </c>
      <c r="D3" s="19" t="s">
        <v>258</v>
      </c>
      <c r="E3" s="31" t="s">
        <v>368</v>
      </c>
      <c r="F3" s="31" t="s">
        <v>369</v>
      </c>
      <c r="G3" s="9">
        <v>50.313958746435752</v>
      </c>
      <c r="H3" s="9" t="s">
        <v>16</v>
      </c>
      <c r="I3" s="9" t="s">
        <v>22</v>
      </c>
      <c r="J3" s="20">
        <f t="shared" ref="J3:J7" si="0">2.84*AVERAGE(50.2,53.35,55.9,57,52,52.2,52.4,51.52,49.29)</f>
        <v>149.52915555555555</v>
      </c>
      <c r="K3" s="9"/>
      <c r="L3" s="9"/>
      <c r="M3">
        <f t="shared" ref="M3:M7" si="1">AVERAGE(39.3,33.6,33.9,43.6)*0.001</f>
        <v>3.7600000000000001E-2</v>
      </c>
      <c r="N3" s="6">
        <f t="shared" ref="N3:N7" si="2">AVERAGE(5.97,5.7,6.12,5.78,5.66)</f>
        <v>5.8460000000000001</v>
      </c>
      <c r="O3" s="9">
        <f t="shared" ref="O3:O7" si="3">AVERAGE(77.8,72.7,72,67.5)*0.001</f>
        <v>7.2499999999999995E-2</v>
      </c>
      <c r="P3" s="20">
        <f t="shared" ref="P3:P7" si="4">AVERAGE(93.2, 94, 89.3, 88.2, 88.8,87.6,89.3,86.4,86.3,86.3,85.5,72)</f>
        <v>87.24166666666666</v>
      </c>
      <c r="Q3" s="20">
        <f t="shared" ref="Q3:Q7" si="5">AVERAGE(71,67.8,67.4,65.3)</f>
        <v>67.875</v>
      </c>
      <c r="R3" s="9">
        <v>21</v>
      </c>
      <c r="S3" s="9" t="s">
        <v>227</v>
      </c>
      <c r="T3" s="9">
        <f t="shared" ref="T3:T23" si="6">1/V3</f>
        <v>24.496598261601779</v>
      </c>
      <c r="U3" s="9">
        <f t="shared" ref="U3:U23" si="7">1.96*SQRT((1/(X3*LN(X3)^2))^2*Y3)</f>
        <v>9.8013609977084162</v>
      </c>
      <c r="V3" s="9">
        <f t="shared" ref="V3:V23" si="8">-LN(X3)</f>
        <v>4.0821994520255166E-2</v>
      </c>
      <c r="W3" s="9">
        <f t="shared" ref="W3:W23" si="9">1.96*SQRT((1/X3)^2*Y3)</f>
        <v>1.6333333333333335E-2</v>
      </c>
      <c r="X3" s="9">
        <v>0.96</v>
      </c>
      <c r="Y3" s="9">
        <v>6.3999999999999997E-5</v>
      </c>
      <c r="Z3" s="28"/>
      <c r="AA3" s="29">
        <f t="shared" ref="AA3:AA23" si="10">MAX(T3-U3,0)</f>
        <v>14.695237263893363</v>
      </c>
      <c r="AB3" s="29">
        <f t="shared" ref="AB3:AB23" si="11">T3+U3</f>
        <v>34.297959259310197</v>
      </c>
      <c r="AC3" s="9"/>
      <c r="AD3" s="29">
        <f t="shared" ref="AD3:AD23" si="12">V3-W3</f>
        <v>2.4488661186921831E-2</v>
      </c>
      <c r="AE3" s="29">
        <f t="shared" ref="AE3:AE23" si="13">V3+W3</f>
        <v>5.7155327853588497E-2</v>
      </c>
      <c r="AF3" s="9" t="s">
        <v>228</v>
      </c>
    </row>
    <row r="4" spans="1:32" x14ac:dyDescent="0.2">
      <c r="A4" s="9" t="s">
        <v>223</v>
      </c>
      <c r="B4" s="9" t="s">
        <v>15</v>
      </c>
      <c r="C4" s="19" t="s">
        <v>330</v>
      </c>
      <c r="D4" s="19" t="s">
        <v>260</v>
      </c>
      <c r="E4" s="31" t="s">
        <v>368</v>
      </c>
      <c r="F4" s="31" t="s">
        <v>370</v>
      </c>
      <c r="G4" s="9">
        <v>50.313958746435752</v>
      </c>
      <c r="H4" s="9" t="s">
        <v>16</v>
      </c>
      <c r="I4" s="9" t="s">
        <v>22</v>
      </c>
      <c r="J4" s="20">
        <f>2.84*53.8</f>
        <v>152.79199999999997</v>
      </c>
      <c r="K4" s="9"/>
      <c r="L4" s="9"/>
      <c r="M4">
        <f t="shared" si="1"/>
        <v>3.7600000000000001E-2</v>
      </c>
      <c r="N4" s="6">
        <f t="shared" si="2"/>
        <v>5.8460000000000001</v>
      </c>
      <c r="O4" s="9">
        <f t="shared" si="3"/>
        <v>7.2499999999999995E-2</v>
      </c>
      <c r="P4" s="20">
        <v>94</v>
      </c>
      <c r="Q4" s="20">
        <f t="shared" si="5"/>
        <v>67.875</v>
      </c>
      <c r="R4" s="9">
        <v>21</v>
      </c>
      <c r="S4" s="9" t="s">
        <v>227</v>
      </c>
      <c r="T4" s="9">
        <f t="shared" si="6"/>
        <v>13.779667258736438</v>
      </c>
      <c r="U4" s="9">
        <f t="shared" si="7"/>
        <v>2.0008779050135819</v>
      </c>
      <c r="V4" s="9">
        <f t="shared" si="8"/>
        <v>7.2570692834835374E-2</v>
      </c>
      <c r="W4" s="9">
        <f t="shared" si="9"/>
        <v>1.0537634408602149E-2</v>
      </c>
      <c r="X4" s="9">
        <v>0.93</v>
      </c>
      <c r="Y4" s="9">
        <v>2.4999999999999998E-5</v>
      </c>
      <c r="Z4" s="28"/>
      <c r="AA4" s="29">
        <f t="shared" si="10"/>
        <v>11.778789353722857</v>
      </c>
      <c r="AB4" s="29">
        <f t="shared" si="11"/>
        <v>15.78054516375002</v>
      </c>
      <c r="AC4" s="9"/>
      <c r="AD4" s="29">
        <f t="shared" si="12"/>
        <v>6.2033058426233224E-2</v>
      </c>
      <c r="AE4" s="29">
        <f t="shared" si="13"/>
        <v>8.310832724343753E-2</v>
      </c>
      <c r="AF4" s="9" t="s">
        <v>228</v>
      </c>
    </row>
    <row r="5" spans="1:32" x14ac:dyDescent="0.2">
      <c r="A5" s="9" t="s">
        <v>223</v>
      </c>
      <c r="B5" s="9" t="s">
        <v>15</v>
      </c>
      <c r="C5" s="19" t="s">
        <v>329</v>
      </c>
      <c r="D5" s="19" t="s">
        <v>262</v>
      </c>
      <c r="E5" s="31" t="s">
        <v>368</v>
      </c>
      <c r="F5" s="31" t="s">
        <v>371</v>
      </c>
      <c r="G5" s="9">
        <v>50.313958746435752</v>
      </c>
      <c r="H5" s="9" t="s">
        <v>16</v>
      </c>
      <c r="I5" s="9" t="s">
        <v>22</v>
      </c>
      <c r="J5" s="20">
        <f t="shared" si="0"/>
        <v>149.52915555555555</v>
      </c>
      <c r="K5" s="9"/>
      <c r="L5" s="9"/>
      <c r="M5">
        <f t="shared" si="1"/>
        <v>3.7600000000000001E-2</v>
      </c>
      <c r="N5" s="6">
        <f t="shared" si="2"/>
        <v>5.8460000000000001</v>
      </c>
      <c r="O5" s="9">
        <f t="shared" si="3"/>
        <v>7.2499999999999995E-2</v>
      </c>
      <c r="P5" s="20">
        <f t="shared" si="4"/>
        <v>87.24166666666666</v>
      </c>
      <c r="Q5" s="20">
        <f t="shared" si="5"/>
        <v>67.875</v>
      </c>
      <c r="R5" s="9">
        <v>21</v>
      </c>
      <c r="S5" s="9" t="s">
        <v>227</v>
      </c>
      <c r="T5" s="9">
        <f t="shared" si="6"/>
        <v>11.993052337607978</v>
      </c>
      <c r="U5" s="9">
        <f t="shared" si="7"/>
        <v>8.8863967614552397</v>
      </c>
      <c r="V5" s="9">
        <f t="shared" si="8"/>
        <v>8.3381608939051013E-2</v>
      </c>
      <c r="W5" s="9">
        <f t="shared" si="9"/>
        <v>6.1782608695652171E-2</v>
      </c>
      <c r="X5" s="9">
        <v>0.92</v>
      </c>
      <c r="Y5" s="9">
        <v>8.4099999999999995E-4</v>
      </c>
      <c r="Z5" s="28"/>
      <c r="AA5" s="29">
        <f t="shared" si="10"/>
        <v>3.1066555761527379</v>
      </c>
      <c r="AB5" s="29">
        <f t="shared" si="11"/>
        <v>20.879449099063216</v>
      </c>
      <c r="AC5" s="9"/>
      <c r="AD5" s="29">
        <f t="shared" si="12"/>
        <v>2.1599000243398843E-2</v>
      </c>
      <c r="AE5" s="29">
        <f t="shared" si="13"/>
        <v>0.14516421763470319</v>
      </c>
      <c r="AF5" s="9" t="s">
        <v>228</v>
      </c>
    </row>
    <row r="6" spans="1:32" x14ac:dyDescent="0.2">
      <c r="A6" s="9" t="s">
        <v>223</v>
      </c>
      <c r="B6" s="9" t="s">
        <v>15</v>
      </c>
      <c r="C6" s="19" t="s">
        <v>330</v>
      </c>
      <c r="D6" s="19" t="s">
        <v>263</v>
      </c>
      <c r="E6" s="31" t="s">
        <v>368</v>
      </c>
      <c r="F6" s="31" t="s">
        <v>372</v>
      </c>
      <c r="G6" s="9">
        <v>50.313958746435752</v>
      </c>
      <c r="H6" s="9" t="s">
        <v>16</v>
      </c>
      <c r="I6" s="9" t="s">
        <v>22</v>
      </c>
      <c r="J6" s="20">
        <f t="shared" si="0"/>
        <v>149.52915555555555</v>
      </c>
      <c r="M6">
        <f>43.6*0.001</f>
        <v>4.36E-2</v>
      </c>
      <c r="N6" s="6">
        <v>6.12</v>
      </c>
      <c r="O6" s="9">
        <f t="shared" si="3"/>
        <v>7.2499999999999995E-2</v>
      </c>
      <c r="P6" s="20">
        <v>94.1</v>
      </c>
      <c r="Q6" s="20">
        <f t="shared" si="5"/>
        <v>67.875</v>
      </c>
      <c r="R6" s="9">
        <v>21</v>
      </c>
      <c r="S6" s="9" t="s">
        <v>227</v>
      </c>
      <c r="T6" s="9">
        <f t="shared" si="6"/>
        <v>11.993052337607978</v>
      </c>
      <c r="U6" s="9">
        <f t="shared" si="7"/>
        <v>4.5964121179940891</v>
      </c>
      <c r="V6" s="9">
        <f t="shared" si="8"/>
        <v>8.3381608939051013E-2</v>
      </c>
      <c r="W6" s="9">
        <f>1.96*SQRT((1/X6)^2*Y6)</f>
        <v>3.1956521739130432E-2</v>
      </c>
      <c r="X6" s="9">
        <v>0.92</v>
      </c>
      <c r="Y6" s="9">
        <v>2.2499999999999999E-4</v>
      </c>
      <c r="Z6" s="28"/>
      <c r="AA6" s="29">
        <f t="shared" si="10"/>
        <v>7.3966402196138885</v>
      </c>
      <c r="AB6" s="29">
        <f t="shared" si="11"/>
        <v>16.589464455602066</v>
      </c>
      <c r="AD6" s="29">
        <f t="shared" si="12"/>
        <v>5.1425087199920581E-2</v>
      </c>
      <c r="AE6" s="29">
        <f t="shared" si="13"/>
        <v>0.11533813067818144</v>
      </c>
      <c r="AF6" s="9" t="s">
        <v>228</v>
      </c>
    </row>
    <row r="7" spans="1:32" x14ac:dyDescent="0.2">
      <c r="A7" s="9" t="s">
        <v>223</v>
      </c>
      <c r="B7" s="9" t="s">
        <v>15</v>
      </c>
      <c r="C7" s="19" t="s">
        <v>330</v>
      </c>
      <c r="D7" s="19" t="s">
        <v>265</v>
      </c>
      <c r="E7" s="31" t="s">
        <v>368</v>
      </c>
      <c r="F7" s="31" t="s">
        <v>373</v>
      </c>
      <c r="G7" s="9">
        <v>50.313958746435752</v>
      </c>
      <c r="H7" s="9" t="s">
        <v>16</v>
      </c>
      <c r="I7" s="9" t="s">
        <v>22</v>
      </c>
      <c r="J7" s="20">
        <f t="shared" si="0"/>
        <v>149.52915555555555</v>
      </c>
      <c r="M7">
        <f t="shared" si="1"/>
        <v>3.7600000000000001E-2</v>
      </c>
      <c r="N7" s="6">
        <f t="shared" si="2"/>
        <v>5.8460000000000001</v>
      </c>
      <c r="O7" s="9">
        <f t="shared" si="3"/>
        <v>7.2499999999999995E-2</v>
      </c>
      <c r="P7" s="20">
        <f t="shared" si="4"/>
        <v>87.24166666666666</v>
      </c>
      <c r="Q7" s="20">
        <f t="shared" si="5"/>
        <v>67.875</v>
      </c>
      <c r="R7" s="9">
        <v>21</v>
      </c>
      <c r="S7" s="9" t="s">
        <v>227</v>
      </c>
      <c r="T7" s="9">
        <f t="shared" si="6"/>
        <v>5.7354779071176294</v>
      </c>
      <c r="U7" s="9">
        <f t="shared" si="7"/>
        <v>0.99783644029871099</v>
      </c>
      <c r="V7" s="9">
        <f t="shared" si="8"/>
        <v>0.1743533871447778</v>
      </c>
      <c r="W7" s="9">
        <f t="shared" si="9"/>
        <v>3.033333333333333E-2</v>
      </c>
      <c r="X7" s="9">
        <v>0.84</v>
      </c>
      <c r="Y7" s="9">
        <v>1.6899999999999999E-4</v>
      </c>
      <c r="Z7" s="28"/>
      <c r="AA7" s="29">
        <f t="shared" si="10"/>
        <v>4.7376414668189186</v>
      </c>
      <c r="AB7" s="29">
        <f t="shared" si="11"/>
        <v>6.7333143474163402</v>
      </c>
      <c r="AD7" s="29">
        <f t="shared" si="12"/>
        <v>0.14402005381144448</v>
      </c>
      <c r="AE7" s="29">
        <f t="shared" si="13"/>
        <v>0.20468672047811112</v>
      </c>
      <c r="AF7" s="9" t="s">
        <v>228</v>
      </c>
    </row>
    <row r="8" spans="1:32" x14ac:dyDescent="0.2">
      <c r="A8" s="9" t="s">
        <v>203</v>
      </c>
      <c r="B8" s="9" t="s">
        <v>15</v>
      </c>
      <c r="C8" s="19" t="s">
        <v>332</v>
      </c>
      <c r="D8" s="19" t="s">
        <v>297</v>
      </c>
      <c r="E8" s="31" t="s">
        <v>377</v>
      </c>
      <c r="F8" s="31">
        <v>2016</v>
      </c>
      <c r="G8">
        <v>74.851972660942081</v>
      </c>
      <c r="H8" s="9" t="s">
        <v>16</v>
      </c>
      <c r="I8" s="9" t="s">
        <v>22</v>
      </c>
      <c r="J8" s="20">
        <f>AVERAGE(104,92.4,89.7)*AVERAGE(1.8,4,2.8)</f>
        <v>273.38444444444445</v>
      </c>
      <c r="M8" s="33">
        <f>AVERAGE(31,29)*0.001</f>
        <v>0.03</v>
      </c>
      <c r="N8" s="6">
        <f>AVERAGE(53,51.1)*0.1</f>
        <v>5.2050000000000001</v>
      </c>
      <c r="O8" s="9">
        <f>AVERAGE(50,52.3)*0.001</f>
        <v>5.1150000000000001E-2</v>
      </c>
      <c r="P8" s="20">
        <f>AVERAGE(97,97.3,97.6)</f>
        <v>97.3</v>
      </c>
      <c r="Q8">
        <v>102.6</v>
      </c>
      <c r="R8" s="9">
        <v>27.3</v>
      </c>
      <c r="S8" s="9" t="s">
        <v>227</v>
      </c>
      <c r="T8" s="9">
        <f t="shared" si="6"/>
        <v>13.578370385286</v>
      </c>
      <c r="U8" s="9">
        <f t="shared" si="7"/>
        <v>0.77797502464418344</v>
      </c>
      <c r="V8" s="9">
        <f t="shared" si="8"/>
        <v>7.3646540168298483E-2</v>
      </c>
      <c r="W8" s="9">
        <f t="shared" si="9"/>
        <v>4.2195909580193753E-3</v>
      </c>
      <c r="X8" s="9">
        <v>0.92900000000000005</v>
      </c>
      <c r="Y8" s="9">
        <v>3.9999999999999998E-6</v>
      </c>
      <c r="Z8" s="29"/>
      <c r="AA8" s="29">
        <f t="shared" si="10"/>
        <v>12.800395360641817</v>
      </c>
      <c r="AB8" s="29">
        <f t="shared" si="11"/>
        <v>14.356345409930183</v>
      </c>
      <c r="AD8" s="29">
        <f t="shared" si="12"/>
        <v>6.9426949210279101E-2</v>
      </c>
      <c r="AE8" s="29">
        <f t="shared" si="13"/>
        <v>7.7866131126317864E-2</v>
      </c>
      <c r="AF8" s="9" t="s">
        <v>228</v>
      </c>
    </row>
    <row r="9" spans="1:32" x14ac:dyDescent="0.2">
      <c r="A9" s="9" t="s">
        <v>203</v>
      </c>
      <c r="B9" s="9" t="s">
        <v>15</v>
      </c>
      <c r="C9" s="19" t="s">
        <v>333</v>
      </c>
      <c r="D9" s="19" t="s">
        <v>298</v>
      </c>
      <c r="E9" s="31" t="s">
        <v>378</v>
      </c>
      <c r="F9" s="31" t="s">
        <v>379</v>
      </c>
      <c r="G9">
        <v>74.851972660942081</v>
      </c>
      <c r="H9" s="9" t="s">
        <v>16</v>
      </c>
      <c r="I9" s="9" t="s">
        <v>22</v>
      </c>
      <c r="J9" s="20">
        <f>3.4*116.8</f>
        <v>397.12</v>
      </c>
      <c r="M9">
        <f>25.87*0.001</f>
        <v>2.5870000000000001E-2</v>
      </c>
      <c r="N9" s="6">
        <f>51.52*0.1</f>
        <v>5.152000000000001</v>
      </c>
      <c r="O9">
        <f>48.2*0.001</f>
        <v>4.8200000000000007E-2</v>
      </c>
      <c r="P9">
        <v>127</v>
      </c>
      <c r="Q9">
        <v>105.5</v>
      </c>
      <c r="R9" s="9">
        <v>27.3</v>
      </c>
      <c r="S9" s="9" t="s">
        <v>227</v>
      </c>
      <c r="T9" s="9">
        <f t="shared" si="6"/>
        <v>6.1531293806220342</v>
      </c>
      <c r="U9" s="9">
        <f t="shared" si="7"/>
        <v>1.3095452171004924</v>
      </c>
      <c r="V9" s="9">
        <f t="shared" si="8"/>
        <v>0.16251892949777494</v>
      </c>
      <c r="W9" s="9">
        <f t="shared" si="9"/>
        <v>3.4588235294117649E-2</v>
      </c>
      <c r="X9" s="9">
        <v>0.85</v>
      </c>
      <c r="Y9" s="9">
        <v>2.2499999999999997E-4</v>
      </c>
      <c r="Z9" s="28"/>
      <c r="AA9" s="29">
        <f t="shared" si="10"/>
        <v>4.843584163521542</v>
      </c>
      <c r="AB9" s="29">
        <f t="shared" si="11"/>
        <v>7.4626745977225264</v>
      </c>
      <c r="AD9" s="29">
        <f t="shared" si="12"/>
        <v>0.1279306942036573</v>
      </c>
      <c r="AE9" s="29">
        <f t="shared" si="13"/>
        <v>0.19710716479189258</v>
      </c>
      <c r="AF9" s="9" t="s">
        <v>228</v>
      </c>
    </row>
    <row r="10" spans="1:32" x14ac:dyDescent="0.2">
      <c r="A10" s="9" t="s">
        <v>225</v>
      </c>
      <c r="B10" s="9" t="s">
        <v>15</v>
      </c>
      <c r="C10" s="19" t="s">
        <v>333</v>
      </c>
      <c r="D10" s="19" t="s">
        <v>309</v>
      </c>
      <c r="E10" s="31" t="s">
        <v>381</v>
      </c>
      <c r="F10" s="31">
        <v>2001</v>
      </c>
      <c r="G10">
        <v>53.150642540497749</v>
      </c>
      <c r="H10" s="9" t="s">
        <v>16</v>
      </c>
      <c r="I10" s="9" t="s">
        <v>22</v>
      </c>
      <c r="J10">
        <f>5*155</f>
        <v>775</v>
      </c>
      <c r="M10">
        <f>14.5*0.001</f>
        <v>1.4500000000000001E-2</v>
      </c>
      <c r="N10">
        <f>40.7*0.1</f>
        <v>4.07</v>
      </c>
      <c r="O10">
        <f>26*0.001</f>
        <v>2.6000000000000002E-2</v>
      </c>
      <c r="P10">
        <v>88.4</v>
      </c>
      <c r="Q10">
        <v>68.400000000000006</v>
      </c>
      <c r="R10" s="9">
        <v>14</v>
      </c>
      <c r="S10" s="9" t="s">
        <v>227</v>
      </c>
      <c r="T10" s="9">
        <f t="shared" si="6"/>
        <v>19.495725746223673</v>
      </c>
      <c r="U10" s="9">
        <f t="shared" si="7"/>
        <v>10.194234793723956</v>
      </c>
      <c r="V10" s="9">
        <f t="shared" si="8"/>
        <v>5.1293294387550578E-2</v>
      </c>
      <c r="W10" s="9">
        <f t="shared" si="9"/>
        <v>2.6821052631578943E-2</v>
      </c>
      <c r="X10" s="9">
        <v>0.95</v>
      </c>
      <c r="Y10" s="9">
        <v>1.6899999999999999E-4</v>
      </c>
      <c r="Z10" s="28"/>
      <c r="AA10" s="29">
        <f t="shared" si="10"/>
        <v>9.3014909524997176</v>
      </c>
      <c r="AB10" s="29">
        <f t="shared" si="11"/>
        <v>29.689960539947627</v>
      </c>
      <c r="AD10" s="29">
        <f t="shared" si="12"/>
        <v>2.4472241755971635E-2</v>
      </c>
      <c r="AE10" s="29">
        <f t="shared" si="13"/>
        <v>7.8114347019129518E-2</v>
      </c>
      <c r="AF10" s="9" t="s">
        <v>228</v>
      </c>
    </row>
    <row r="11" spans="1:32" x14ac:dyDescent="0.2">
      <c r="A11" s="9" t="s">
        <v>225</v>
      </c>
      <c r="B11" s="9" t="s">
        <v>15</v>
      </c>
      <c r="C11" s="19" t="s">
        <v>331</v>
      </c>
      <c r="D11" s="19" t="s">
        <v>305</v>
      </c>
      <c r="E11" s="31" t="s">
        <v>382</v>
      </c>
      <c r="F11" s="31">
        <v>2012</v>
      </c>
      <c r="G11">
        <v>53.150642540497749</v>
      </c>
      <c r="H11" s="9" t="s">
        <v>16</v>
      </c>
      <c r="I11" s="9" t="s">
        <v>22</v>
      </c>
      <c r="J11">
        <f>3.2*120.1</f>
        <v>384.32</v>
      </c>
      <c r="M11">
        <f>12.8*0.001</f>
        <v>1.2800000000000001E-2</v>
      </c>
      <c r="N11">
        <f>38.7*0.1</f>
        <v>3.8700000000000006</v>
      </c>
      <c r="O11">
        <f>23.7*0.001</f>
        <v>2.3699999999999999E-2</v>
      </c>
      <c r="P11">
        <v>80.900000000000006</v>
      </c>
      <c r="Q11">
        <v>48.1</v>
      </c>
      <c r="R11">
        <f>AVERAGE(20,40)</f>
        <v>30</v>
      </c>
      <c r="S11" s="9" t="s">
        <v>227</v>
      </c>
      <c r="T11" s="9">
        <f t="shared" si="6"/>
        <v>19.495725746223673</v>
      </c>
      <c r="U11" s="9">
        <f t="shared" si="7"/>
        <v>11.762578608143027</v>
      </c>
      <c r="V11" s="9">
        <f t="shared" si="8"/>
        <v>5.1293294387550578E-2</v>
      </c>
      <c r="W11" s="9">
        <f t="shared" si="9"/>
        <v>3.0947368421052633E-2</v>
      </c>
      <c r="X11" s="9">
        <v>0.95</v>
      </c>
      <c r="Y11" s="9">
        <v>2.2499999999999999E-4</v>
      </c>
      <c r="Z11" s="28"/>
      <c r="AA11" s="29">
        <f t="shared" si="10"/>
        <v>7.7331471380806462</v>
      </c>
      <c r="AB11" s="29">
        <f t="shared" si="11"/>
        <v>31.2583043543667</v>
      </c>
      <c r="AD11" s="29">
        <f t="shared" si="12"/>
        <v>2.0345925966497945E-2</v>
      </c>
      <c r="AE11" s="29">
        <f t="shared" si="13"/>
        <v>8.2240662808603204E-2</v>
      </c>
      <c r="AF11" s="9" t="s">
        <v>228</v>
      </c>
    </row>
    <row r="12" spans="1:32" x14ac:dyDescent="0.2">
      <c r="A12" s="9" t="s">
        <v>226</v>
      </c>
      <c r="B12" s="9" t="s">
        <v>15</v>
      </c>
      <c r="C12" s="19" t="s">
        <v>330</v>
      </c>
      <c r="D12" s="19" t="s">
        <v>353</v>
      </c>
      <c r="E12" s="31" t="s">
        <v>383</v>
      </c>
      <c r="F12" s="31">
        <v>1988</v>
      </c>
      <c r="G12">
        <v>90.316855101657794</v>
      </c>
      <c r="H12" s="9" t="s">
        <v>16</v>
      </c>
      <c r="I12" s="9" t="s">
        <v>22</v>
      </c>
      <c r="J12">
        <f>5.6*83.5</f>
        <v>467.59999999999997</v>
      </c>
      <c r="M12">
        <f>42.1*0.001</f>
        <v>4.2100000000000005E-2</v>
      </c>
      <c r="N12">
        <f>56.66*0.1</f>
        <v>5.6660000000000004</v>
      </c>
      <c r="O12">
        <f>76.8*0.001</f>
        <v>7.6799999999999993E-2</v>
      </c>
      <c r="P12">
        <v>160.80000000000001</v>
      </c>
      <c r="Q12">
        <v>409</v>
      </c>
      <c r="R12">
        <v>17</v>
      </c>
      <c r="S12" s="9" t="s">
        <v>227</v>
      </c>
      <c r="T12" s="9">
        <f t="shared" si="6"/>
        <v>8.5812001368223356</v>
      </c>
      <c r="U12" s="9">
        <f t="shared" si="7"/>
        <v>13.784183705970861</v>
      </c>
      <c r="V12" s="9">
        <f t="shared" si="8"/>
        <v>0.11653381625595151</v>
      </c>
      <c r="W12" s="9">
        <f t="shared" si="9"/>
        <v>0.18719101123595508</v>
      </c>
      <c r="X12" s="9">
        <v>0.89</v>
      </c>
      <c r="Y12" s="9">
        <v>7.2250000000000014E-3</v>
      </c>
      <c r="Z12" s="28"/>
      <c r="AA12" s="29">
        <f t="shared" si="10"/>
        <v>0</v>
      </c>
      <c r="AB12" s="29">
        <f t="shared" si="11"/>
        <v>22.365383842793197</v>
      </c>
      <c r="AD12" s="29">
        <f t="shared" si="12"/>
        <v>-7.0657194980003571E-2</v>
      </c>
      <c r="AE12" s="29">
        <f t="shared" si="13"/>
        <v>0.3037248274919066</v>
      </c>
      <c r="AF12" s="9" t="s">
        <v>228</v>
      </c>
    </row>
    <row r="13" spans="1:32" x14ac:dyDescent="0.2">
      <c r="A13" s="9" t="s">
        <v>226</v>
      </c>
      <c r="B13" s="9" t="s">
        <v>15</v>
      </c>
      <c r="C13" s="19" t="s">
        <v>333</v>
      </c>
      <c r="D13" s="19" t="s">
        <v>324</v>
      </c>
      <c r="E13" s="31" t="s">
        <v>387</v>
      </c>
      <c r="F13" s="31">
        <v>2005</v>
      </c>
      <c r="G13">
        <v>90.316855101657794</v>
      </c>
      <c r="H13" s="9" t="s">
        <v>16</v>
      </c>
      <c r="I13" s="9" t="s">
        <v>22</v>
      </c>
      <c r="J13">
        <f>((80+85)/2)*6.17</f>
        <v>509.02499999999998</v>
      </c>
      <c r="M13">
        <f>45.2*0.001</f>
        <v>4.5200000000000004E-2</v>
      </c>
      <c r="N13">
        <f>59.2*0.1</f>
        <v>5.9200000000000008</v>
      </c>
      <c r="O13">
        <f>79.3*0.001</f>
        <v>7.9299999999999995E-2</v>
      </c>
      <c r="P13">
        <v>152</v>
      </c>
      <c r="Q13">
        <v>327.9</v>
      </c>
      <c r="R13">
        <v>19</v>
      </c>
      <c r="S13" s="9" t="s">
        <v>227</v>
      </c>
      <c r="T13" s="9">
        <f t="shared" si="6"/>
        <v>8.5812001368223356</v>
      </c>
      <c r="U13" s="9">
        <f t="shared" si="7"/>
        <v>2.1081692726778964</v>
      </c>
      <c r="V13" s="9">
        <f t="shared" si="8"/>
        <v>0.11653381625595151</v>
      </c>
      <c r="W13" s="9">
        <f t="shared" si="9"/>
        <v>2.8629213483146069E-2</v>
      </c>
      <c r="X13" s="9">
        <v>0.89</v>
      </c>
      <c r="Y13" s="9">
        <v>1.6899999999999999E-4</v>
      </c>
      <c r="Z13" s="28"/>
      <c r="AA13" s="29">
        <f t="shared" si="10"/>
        <v>6.4730308641444392</v>
      </c>
      <c r="AB13" s="29">
        <f t="shared" si="11"/>
        <v>10.689369409500232</v>
      </c>
      <c r="AD13" s="29">
        <f t="shared" si="12"/>
        <v>8.7904602772805443E-2</v>
      </c>
      <c r="AE13" s="29">
        <f t="shared" si="13"/>
        <v>0.14516302973909759</v>
      </c>
      <c r="AF13" s="9" t="s">
        <v>228</v>
      </c>
    </row>
    <row r="14" spans="1:32" x14ac:dyDescent="0.2">
      <c r="A14" s="9" t="s">
        <v>226</v>
      </c>
      <c r="B14" s="9" t="s">
        <v>15</v>
      </c>
      <c r="C14" s="19" t="s">
        <v>330</v>
      </c>
      <c r="D14" s="19" t="s">
        <v>325</v>
      </c>
      <c r="E14" s="31" t="s">
        <v>388</v>
      </c>
      <c r="F14" s="31">
        <v>2013</v>
      </c>
      <c r="G14">
        <v>90.316855101657794</v>
      </c>
      <c r="H14" s="9" t="s">
        <v>16</v>
      </c>
      <c r="I14" s="9" t="s">
        <v>22</v>
      </c>
      <c r="J14">
        <f>88.2*5.5</f>
        <v>485.1</v>
      </c>
      <c r="M14">
        <f>44.4*0.001</f>
        <v>4.4400000000000002E-2</v>
      </c>
      <c r="N14">
        <f>56.66*0.1</f>
        <v>5.6660000000000004</v>
      </c>
      <c r="O14">
        <f>81.05*0.001</f>
        <v>8.1049999999999997E-2</v>
      </c>
      <c r="P14">
        <v>161.35</v>
      </c>
      <c r="Q14">
        <v>409</v>
      </c>
      <c r="R14">
        <v>17</v>
      </c>
      <c r="S14" s="9" t="s">
        <v>227</v>
      </c>
      <c r="T14" s="9">
        <f t="shared" si="6"/>
        <v>6.1531293806220342</v>
      </c>
      <c r="U14" s="9">
        <f t="shared" si="7"/>
        <v>6.4604230710290951</v>
      </c>
      <c r="V14" s="9">
        <f t="shared" si="8"/>
        <v>0.16251892949777494</v>
      </c>
      <c r="W14" s="9">
        <f t="shared" si="9"/>
        <v>0.17063529411764705</v>
      </c>
      <c r="X14" s="9">
        <v>0.85</v>
      </c>
      <c r="Y14" s="9">
        <v>5.4759999999999991E-3</v>
      </c>
      <c r="Z14" s="28"/>
      <c r="AA14" s="29">
        <f t="shared" si="10"/>
        <v>0</v>
      </c>
      <c r="AB14" s="29">
        <f t="shared" si="11"/>
        <v>12.613552451651129</v>
      </c>
      <c r="AD14" s="29">
        <f t="shared" si="12"/>
        <v>-8.1163646198721129E-3</v>
      </c>
      <c r="AE14" s="29">
        <f t="shared" si="13"/>
        <v>0.33315422361542202</v>
      </c>
      <c r="AF14" s="9" t="s">
        <v>228</v>
      </c>
    </row>
    <row r="15" spans="1:32" x14ac:dyDescent="0.2">
      <c r="A15" s="9" t="s">
        <v>226</v>
      </c>
      <c r="B15" s="9" t="s">
        <v>15</v>
      </c>
      <c r="C15" s="19" t="s">
        <v>333</v>
      </c>
      <c r="D15" s="19" t="s">
        <v>320</v>
      </c>
      <c r="E15" s="31" t="s">
        <v>389</v>
      </c>
      <c r="F15" s="31">
        <v>2005</v>
      </c>
      <c r="G15">
        <v>90.316855101657794</v>
      </c>
      <c r="H15" s="9" t="s">
        <v>16</v>
      </c>
      <c r="I15" s="9" t="s">
        <v>22</v>
      </c>
      <c r="J15">
        <f>((4.9+9.92)/2)*87.8</f>
        <v>650.59799999999996</v>
      </c>
      <c r="M15">
        <f>44.4*0.001</f>
        <v>4.4400000000000002E-2</v>
      </c>
      <c r="N15">
        <f>59.2*0.1</f>
        <v>5.9200000000000008</v>
      </c>
      <c r="O15">
        <f>79.3*0.001</f>
        <v>7.9299999999999995E-2</v>
      </c>
      <c r="P15">
        <v>159.1</v>
      </c>
      <c r="Q15">
        <v>408.1</v>
      </c>
      <c r="R15">
        <v>19</v>
      </c>
      <c r="S15" s="9" t="s">
        <v>227</v>
      </c>
      <c r="T15" s="9">
        <f t="shared" si="6"/>
        <v>10.603253052640087</v>
      </c>
      <c r="U15" s="9">
        <f t="shared" si="7"/>
        <v>13.560664097520606</v>
      </c>
      <c r="V15" s="9">
        <f t="shared" si="8"/>
        <v>9.431067947124129E-2</v>
      </c>
      <c r="W15" s="9">
        <f t="shared" si="9"/>
        <v>0.12061538461538461</v>
      </c>
      <c r="X15" s="9">
        <v>0.91</v>
      </c>
      <c r="Y15" s="9">
        <v>3.1360000000000003E-3</v>
      </c>
      <c r="Z15" s="28"/>
      <c r="AA15" s="29">
        <f t="shared" si="10"/>
        <v>0</v>
      </c>
      <c r="AB15" s="29">
        <f t="shared" si="11"/>
        <v>24.163917150160692</v>
      </c>
      <c r="AD15" s="29">
        <f t="shared" si="12"/>
        <v>-2.630470514414332E-2</v>
      </c>
      <c r="AE15" s="29">
        <f t="shared" si="13"/>
        <v>0.2149260640866259</v>
      </c>
      <c r="AF15" s="9" t="s">
        <v>228</v>
      </c>
    </row>
    <row r="16" spans="1:32" x14ac:dyDescent="0.2">
      <c r="A16" s="9" t="s">
        <v>226</v>
      </c>
      <c r="B16" s="9" t="s">
        <v>15</v>
      </c>
      <c r="C16" s="19" t="s">
        <v>333</v>
      </c>
      <c r="D16" s="19" t="s">
        <v>323</v>
      </c>
      <c r="E16" s="31" t="s">
        <v>390</v>
      </c>
      <c r="F16" s="31">
        <v>2014</v>
      </c>
      <c r="G16">
        <v>90.316855101657794</v>
      </c>
      <c r="H16" s="9" t="s">
        <v>16</v>
      </c>
      <c r="I16" s="9" t="s">
        <v>22</v>
      </c>
      <c r="J16">
        <f>4.2*73</f>
        <v>306.60000000000002</v>
      </c>
      <c r="M16">
        <f>42.8*0.001</f>
        <v>4.2799999999999998E-2</v>
      </c>
      <c r="N16">
        <f>58.3*0.1</f>
        <v>5.83</v>
      </c>
      <c r="O16">
        <f>79.3*0.001</f>
        <v>7.9299999999999995E-2</v>
      </c>
      <c r="P16">
        <f>151.8</f>
        <v>151.80000000000001</v>
      </c>
      <c r="Q16">
        <v>408.1</v>
      </c>
      <c r="R16">
        <v>19</v>
      </c>
      <c r="S16" s="9" t="s">
        <v>227</v>
      </c>
      <c r="T16" s="9">
        <f t="shared" si="6"/>
        <v>8.5812001368223356</v>
      </c>
      <c r="U16" s="9">
        <f t="shared" si="7"/>
        <v>1.9460024055488274</v>
      </c>
      <c r="V16" s="9">
        <f t="shared" si="8"/>
        <v>0.11653381625595151</v>
      </c>
      <c r="W16" s="9">
        <f t="shared" si="9"/>
        <v>2.6426966292134833E-2</v>
      </c>
      <c r="X16" s="9">
        <v>0.89</v>
      </c>
      <c r="Y16" s="9">
        <v>1.44E-4</v>
      </c>
      <c r="Z16" s="28"/>
      <c r="AA16" s="29">
        <f t="shared" si="10"/>
        <v>6.6351977312735082</v>
      </c>
      <c r="AB16" s="29">
        <f t="shared" si="11"/>
        <v>10.527202542371164</v>
      </c>
      <c r="AD16" s="29">
        <f t="shared" si="12"/>
        <v>9.0106849963816682E-2</v>
      </c>
      <c r="AE16" s="29">
        <f t="shared" si="13"/>
        <v>0.14296078254808633</v>
      </c>
      <c r="AF16" s="9" t="s">
        <v>228</v>
      </c>
    </row>
    <row r="17" spans="1:32" x14ac:dyDescent="0.2">
      <c r="A17" s="9" t="s">
        <v>226</v>
      </c>
      <c r="B17" s="9" t="s">
        <v>15</v>
      </c>
      <c r="C17" s="19" t="s">
        <v>334</v>
      </c>
      <c r="D17" s="19" t="s">
        <v>316</v>
      </c>
      <c r="E17" s="31" t="s">
        <v>391</v>
      </c>
      <c r="F17" s="31" t="s">
        <v>392</v>
      </c>
      <c r="G17">
        <v>90.316855101657794</v>
      </c>
      <c r="H17" s="9" t="s">
        <v>16</v>
      </c>
      <c r="I17" s="9" t="s">
        <v>22</v>
      </c>
      <c r="J17">
        <f>100*7</f>
        <v>700</v>
      </c>
      <c r="M17">
        <f>42.8*0.001</f>
        <v>4.2799999999999998E-2</v>
      </c>
      <c r="N17">
        <f>58.3*0.1</f>
        <v>5.83</v>
      </c>
      <c r="O17">
        <f>79.3*0.001</f>
        <v>7.9299999999999995E-2</v>
      </c>
      <c r="P17">
        <v>160.9</v>
      </c>
      <c r="Q17">
        <v>408.1</v>
      </c>
      <c r="R17">
        <v>17</v>
      </c>
      <c r="S17" s="9" t="s">
        <v>227</v>
      </c>
      <c r="T17" s="9">
        <f t="shared" si="6"/>
        <v>5.0390288220888015</v>
      </c>
      <c r="U17" s="9">
        <f t="shared" si="7"/>
        <v>3.6415573522602185</v>
      </c>
      <c r="V17" s="9">
        <f t="shared" si="8"/>
        <v>0.19845093872383832</v>
      </c>
      <c r="W17" s="9">
        <f t="shared" si="9"/>
        <v>0.14341463414634145</v>
      </c>
      <c r="X17" s="9">
        <v>0.82</v>
      </c>
      <c r="Y17" s="9">
        <v>3.5999999999999995E-3</v>
      </c>
      <c r="Z17" s="28"/>
      <c r="AA17" s="29">
        <f t="shared" si="10"/>
        <v>1.3974714698285831</v>
      </c>
      <c r="AB17" s="29">
        <f t="shared" si="11"/>
        <v>8.6805861743490205</v>
      </c>
      <c r="AD17" s="29">
        <f t="shared" si="12"/>
        <v>5.5036304577496864E-2</v>
      </c>
      <c r="AE17" s="29">
        <f t="shared" si="13"/>
        <v>0.34186557287017977</v>
      </c>
      <c r="AF17" s="9" t="s">
        <v>228</v>
      </c>
    </row>
    <row r="18" spans="1:32" x14ac:dyDescent="0.2">
      <c r="A18" s="9" t="s">
        <v>496</v>
      </c>
      <c r="B18" s="9" t="s">
        <v>15</v>
      </c>
      <c r="C18" s="19" t="s">
        <v>333</v>
      </c>
      <c r="D18" s="19" t="s">
        <v>311</v>
      </c>
      <c r="E18" s="31" t="s">
        <v>394</v>
      </c>
      <c r="F18" s="31">
        <v>2013</v>
      </c>
      <c r="G18">
        <v>62.761082756819988</v>
      </c>
      <c r="H18" s="9" t="s">
        <v>16</v>
      </c>
      <c r="I18" s="9" t="s">
        <v>22</v>
      </c>
      <c r="J18">
        <f>3.91*110</f>
        <v>430.1</v>
      </c>
      <c r="M18">
        <f>18.7*0.001</f>
        <v>1.8700000000000001E-2</v>
      </c>
      <c r="N18">
        <f>44.3*0.1</f>
        <v>4.43</v>
      </c>
      <c r="O18">
        <f>39.1*0.001</f>
        <v>3.9100000000000003E-2</v>
      </c>
      <c r="P18">
        <v>99.2</v>
      </c>
      <c r="Q18">
        <v>97.7</v>
      </c>
      <c r="R18">
        <v>26.5</v>
      </c>
      <c r="S18" s="9" t="s">
        <v>227</v>
      </c>
      <c r="T18" s="9">
        <f t="shared" si="6"/>
        <v>7.1807062694623047</v>
      </c>
      <c r="U18" s="9">
        <f t="shared" si="7"/>
        <v>1.510130555886164</v>
      </c>
      <c r="V18" s="9">
        <f t="shared" si="8"/>
        <v>0.13926206733350766</v>
      </c>
      <c r="W18" s="9">
        <f t="shared" si="9"/>
        <v>2.9287356321839077E-2</v>
      </c>
      <c r="X18" s="9">
        <v>0.87</v>
      </c>
      <c r="Y18" s="9">
        <v>1.6899999999999999E-4</v>
      </c>
      <c r="Z18" s="28"/>
      <c r="AA18" s="29">
        <f t="shared" si="10"/>
        <v>5.6705757135761408</v>
      </c>
      <c r="AB18" s="29">
        <f t="shared" si="11"/>
        <v>8.6908368253484696</v>
      </c>
      <c r="AD18" s="29">
        <f t="shared" si="12"/>
        <v>0.10997471101166859</v>
      </c>
      <c r="AE18" s="29">
        <f t="shared" si="13"/>
        <v>0.16854942365534673</v>
      </c>
      <c r="AF18" s="9" t="s">
        <v>228</v>
      </c>
    </row>
    <row r="19" spans="1:32" x14ac:dyDescent="0.2">
      <c r="A19" s="9" t="s">
        <v>496</v>
      </c>
      <c r="B19" s="9" t="s">
        <v>15</v>
      </c>
      <c r="C19" s="19" t="s">
        <v>333</v>
      </c>
      <c r="D19" s="19" t="s">
        <v>312</v>
      </c>
      <c r="E19" s="31" t="s">
        <v>395</v>
      </c>
      <c r="F19" s="31">
        <v>2014</v>
      </c>
      <c r="G19">
        <v>62.761082756819988</v>
      </c>
      <c r="H19" s="9" t="s">
        <v>16</v>
      </c>
      <c r="I19" s="9" t="s">
        <v>22</v>
      </c>
      <c r="J19">
        <f>3.91*110</f>
        <v>430.1</v>
      </c>
      <c r="M19">
        <f t="shared" ref="M19:M21" si="14">18.7*0.001</f>
        <v>1.8700000000000001E-2</v>
      </c>
      <c r="N19">
        <f t="shared" ref="N19:N21" si="15">44.3*0.1</f>
        <v>4.43</v>
      </c>
      <c r="O19">
        <f t="shared" ref="O19:O22" si="16">39.1*0.001</f>
        <v>3.9100000000000003E-2</v>
      </c>
      <c r="P19">
        <v>96.4</v>
      </c>
      <c r="Q19">
        <v>97.7</v>
      </c>
      <c r="R19">
        <v>26.5</v>
      </c>
      <c r="S19" s="9" t="s">
        <v>227</v>
      </c>
      <c r="T19" s="9">
        <f t="shared" si="6"/>
        <v>6.6302933312031627</v>
      </c>
      <c r="U19" s="9">
        <f t="shared" si="7"/>
        <v>4.6087265064499876</v>
      </c>
      <c r="V19" s="9">
        <f t="shared" si="8"/>
        <v>0.15082288973458366</v>
      </c>
      <c r="W19" s="9">
        <f t="shared" si="9"/>
        <v>0.10483720930232558</v>
      </c>
      <c r="X19" s="9">
        <v>0.86</v>
      </c>
      <c r="Y19" s="9">
        <v>2.1159999999999998E-3</v>
      </c>
      <c r="Z19" s="28"/>
      <c r="AA19" s="29">
        <f t="shared" si="10"/>
        <v>2.0215668247531751</v>
      </c>
      <c r="AB19" s="29">
        <f t="shared" si="11"/>
        <v>11.239019837653149</v>
      </c>
      <c r="AD19" s="29">
        <f t="shared" si="12"/>
        <v>4.5985680432258078E-2</v>
      </c>
      <c r="AE19" s="29">
        <f t="shared" si="13"/>
        <v>0.25566009903690923</v>
      </c>
      <c r="AF19" s="9" t="s">
        <v>228</v>
      </c>
    </row>
    <row r="20" spans="1:32" x14ac:dyDescent="0.2">
      <c r="A20" s="9" t="s">
        <v>496</v>
      </c>
      <c r="B20" s="9" t="s">
        <v>15</v>
      </c>
      <c r="C20" s="19" t="s">
        <v>333</v>
      </c>
      <c r="D20" s="19" t="s">
        <v>313</v>
      </c>
      <c r="E20" s="31" t="s">
        <v>396</v>
      </c>
      <c r="F20" s="31">
        <v>2011</v>
      </c>
      <c r="G20">
        <v>62.761082756819988</v>
      </c>
      <c r="H20" s="9" t="s">
        <v>16</v>
      </c>
      <c r="I20" s="9" t="s">
        <v>22</v>
      </c>
      <c r="J20">
        <f t="shared" ref="J20" si="17">3.91*110</f>
        <v>430.1</v>
      </c>
      <c r="M20">
        <f t="shared" si="14"/>
        <v>1.8700000000000001E-2</v>
      </c>
      <c r="N20">
        <f t="shared" si="15"/>
        <v>4.43</v>
      </c>
      <c r="O20">
        <f t="shared" si="16"/>
        <v>3.9100000000000003E-2</v>
      </c>
      <c r="P20">
        <v>99.2</v>
      </c>
      <c r="Q20">
        <v>97.7</v>
      </c>
      <c r="R20">
        <v>26.5</v>
      </c>
      <c r="S20" s="9" t="s">
        <v>227</v>
      </c>
      <c r="T20" s="9">
        <f t="shared" si="6"/>
        <v>6.1531293806220342</v>
      </c>
      <c r="U20" s="9">
        <f t="shared" si="7"/>
        <v>3.317514549987914</v>
      </c>
      <c r="V20" s="9">
        <f t="shared" si="8"/>
        <v>0.16251892949777494</v>
      </c>
      <c r="W20" s="9">
        <f t="shared" si="9"/>
        <v>8.7623529411764711E-2</v>
      </c>
      <c r="X20" s="9">
        <v>0.85</v>
      </c>
      <c r="Y20" s="9">
        <v>1.444E-3</v>
      </c>
      <c r="Z20" s="28"/>
      <c r="AA20" s="29">
        <f t="shared" si="10"/>
        <v>2.8356148306341202</v>
      </c>
      <c r="AB20" s="29">
        <f t="shared" si="11"/>
        <v>9.470643930609949</v>
      </c>
      <c r="AD20" s="29">
        <f t="shared" si="12"/>
        <v>7.4895400086010228E-2</v>
      </c>
      <c r="AE20" s="29">
        <f t="shared" si="13"/>
        <v>0.25014245890953968</v>
      </c>
      <c r="AF20" s="9" t="s">
        <v>228</v>
      </c>
    </row>
    <row r="21" spans="1:32" x14ac:dyDescent="0.2">
      <c r="A21" s="9" t="s">
        <v>496</v>
      </c>
      <c r="B21" s="9" t="s">
        <v>15</v>
      </c>
      <c r="C21" s="19" t="s">
        <v>333</v>
      </c>
      <c r="D21" s="19" t="s">
        <v>315</v>
      </c>
      <c r="E21" s="31" t="s">
        <v>403</v>
      </c>
      <c r="F21" s="31" t="s">
        <v>404</v>
      </c>
      <c r="G21">
        <v>62.761082756819988</v>
      </c>
      <c r="H21" s="9" t="s">
        <v>16</v>
      </c>
      <c r="I21" s="9" t="s">
        <v>22</v>
      </c>
      <c r="J21">
        <f>108.6*4</f>
        <v>434.4</v>
      </c>
      <c r="M21">
        <f t="shared" si="14"/>
        <v>1.8700000000000001E-2</v>
      </c>
      <c r="N21">
        <f t="shared" si="15"/>
        <v>4.43</v>
      </c>
      <c r="O21">
        <f t="shared" si="16"/>
        <v>3.9100000000000003E-2</v>
      </c>
      <c r="P21" s="35" t="s">
        <v>469</v>
      </c>
      <c r="Q21">
        <v>97.7</v>
      </c>
      <c r="R21">
        <v>22.75</v>
      </c>
      <c r="S21" s="9" t="s">
        <v>227</v>
      </c>
      <c r="T21" s="9">
        <f t="shared" si="6"/>
        <v>6.1531293806220342</v>
      </c>
      <c r="U21" s="9">
        <f t="shared" si="7"/>
        <v>1.5714542605205908</v>
      </c>
      <c r="V21" s="9">
        <f t="shared" si="8"/>
        <v>0.16251892949777494</v>
      </c>
      <c r="W21" s="9">
        <f t="shared" si="9"/>
        <v>4.1505882352941177E-2</v>
      </c>
      <c r="X21" s="9">
        <v>0.85</v>
      </c>
      <c r="Y21" s="9">
        <v>3.2399999999999996E-4</v>
      </c>
      <c r="Z21" s="28"/>
      <c r="AA21" s="29">
        <f t="shared" si="10"/>
        <v>4.5816751201014432</v>
      </c>
      <c r="AB21" s="29">
        <f>T21+U21</f>
        <v>7.7245836411426252</v>
      </c>
      <c r="AD21" s="29">
        <f t="shared" si="12"/>
        <v>0.12101304714483377</v>
      </c>
      <c r="AE21" s="29">
        <f t="shared" si="13"/>
        <v>0.20402481185071611</v>
      </c>
      <c r="AF21" s="9" t="s">
        <v>228</v>
      </c>
    </row>
    <row r="22" spans="1:32" x14ac:dyDescent="0.2">
      <c r="A22" s="9" t="s">
        <v>496</v>
      </c>
      <c r="B22" s="9" t="s">
        <v>15</v>
      </c>
      <c r="C22" s="19" t="s">
        <v>333</v>
      </c>
      <c r="D22" s="19" t="s">
        <v>311</v>
      </c>
      <c r="E22" s="31" t="s">
        <v>403</v>
      </c>
      <c r="F22" s="31" t="s">
        <v>405</v>
      </c>
      <c r="G22">
        <v>62.761082756819988</v>
      </c>
      <c r="H22" s="9" t="s">
        <v>16</v>
      </c>
      <c r="I22" s="9" t="s">
        <v>22</v>
      </c>
      <c r="J22">
        <f>3.91*110</f>
        <v>430.1</v>
      </c>
      <c r="M22">
        <f>18.7*0.001</f>
        <v>1.8700000000000001E-2</v>
      </c>
      <c r="N22">
        <f>44.3*0.1</f>
        <v>4.43</v>
      </c>
      <c r="O22">
        <f t="shared" si="16"/>
        <v>3.9100000000000003E-2</v>
      </c>
      <c r="P22">
        <v>99.2</v>
      </c>
      <c r="Q22">
        <v>97.7</v>
      </c>
      <c r="R22">
        <v>22.75</v>
      </c>
      <c r="S22" s="9" t="s">
        <v>227</v>
      </c>
      <c r="T22" s="9">
        <f t="shared" si="6"/>
        <v>4.7456107905149532</v>
      </c>
      <c r="U22" s="9">
        <f t="shared" si="7"/>
        <v>0.98090690398004055</v>
      </c>
      <c r="V22" s="9">
        <f t="shared" si="8"/>
        <v>0.21072103131565253</v>
      </c>
      <c r="W22" s="9">
        <f t="shared" si="9"/>
        <v>4.3555555555555549E-2</v>
      </c>
      <c r="X22" s="9">
        <v>0.81</v>
      </c>
      <c r="Y22" s="9">
        <v>3.2399999999999996E-4</v>
      </c>
      <c r="Z22" s="28"/>
      <c r="AA22" s="29">
        <f>MAX(T22-U22,0)</f>
        <v>3.7647038865349125</v>
      </c>
      <c r="AB22" s="29">
        <f t="shared" si="11"/>
        <v>5.7265176944949934</v>
      </c>
      <c r="AD22" s="29">
        <f t="shared" si="12"/>
        <v>0.16716547576009699</v>
      </c>
      <c r="AE22" s="29">
        <f t="shared" si="13"/>
        <v>0.25427658687120808</v>
      </c>
      <c r="AF22" s="9" t="s">
        <v>228</v>
      </c>
    </row>
    <row r="23" spans="1:32" x14ac:dyDescent="0.2">
      <c r="A23" s="9" t="s">
        <v>496</v>
      </c>
      <c r="B23" s="9" t="s">
        <v>15</v>
      </c>
      <c r="C23" s="19" t="s">
        <v>334</v>
      </c>
      <c r="D23" s="19" t="s">
        <v>316</v>
      </c>
      <c r="E23" s="31" t="s">
        <v>391</v>
      </c>
      <c r="F23" s="31" t="s">
        <v>407</v>
      </c>
      <c r="G23">
        <v>62.761082756819988</v>
      </c>
      <c r="H23" s="9" t="s">
        <v>16</v>
      </c>
      <c r="I23" s="9" t="s">
        <v>22</v>
      </c>
      <c r="J23">
        <f>82.4*3.91</f>
        <v>322.18400000000003</v>
      </c>
      <c r="M23">
        <f>17.51*0.001</f>
        <v>1.7510000000000001E-2</v>
      </c>
      <c r="N23">
        <f>42.62*0.1</f>
        <v>4.2619999999999996</v>
      </c>
      <c r="O23">
        <f>33.02*0.001</f>
        <v>3.3020000000000001E-2</v>
      </c>
      <c r="P23">
        <v>82.14</v>
      </c>
      <c r="Q23">
        <v>63.3</v>
      </c>
      <c r="R23" s="9">
        <v>36.200000000000003</v>
      </c>
      <c r="S23" s="9" t="s">
        <v>227</v>
      </c>
      <c r="T23" s="9">
        <f t="shared" si="6"/>
        <v>4.481420117724551</v>
      </c>
      <c r="U23" s="9">
        <f t="shared" si="7"/>
        <v>2.4601829682644252</v>
      </c>
      <c r="V23" s="9">
        <f t="shared" si="8"/>
        <v>0.22314355131420971</v>
      </c>
      <c r="W23" s="9">
        <f t="shared" si="9"/>
        <v>0.1225</v>
      </c>
      <c r="X23" s="9">
        <v>0.8</v>
      </c>
      <c r="Y23" s="9">
        <v>2.5000000000000005E-3</v>
      </c>
      <c r="Z23" s="28"/>
      <c r="AA23" s="29">
        <f t="shared" si="10"/>
        <v>2.0212371494601258</v>
      </c>
      <c r="AB23" s="29">
        <f t="shared" si="11"/>
        <v>6.9416030859889766</v>
      </c>
      <c r="AD23" s="29">
        <f t="shared" si="12"/>
        <v>0.10064355131420971</v>
      </c>
      <c r="AE23" s="29">
        <f t="shared" si="13"/>
        <v>0.34564355131420971</v>
      </c>
      <c r="AF23" s="9" t="s">
        <v>228</v>
      </c>
    </row>
    <row r="24" spans="1:32" x14ac:dyDescent="0.2">
      <c r="A24" s="9"/>
      <c r="B24" s="9"/>
      <c r="C24" s="19"/>
      <c r="D24" s="19"/>
      <c r="E24" s="19"/>
      <c r="F24" s="19"/>
      <c r="I24" s="9"/>
      <c r="S24" s="9"/>
      <c r="T24" s="9"/>
      <c r="U24" s="9"/>
      <c r="V24" s="9"/>
      <c r="W24" s="9"/>
      <c r="X24" s="9"/>
      <c r="Y24" s="9"/>
      <c r="AF24" s="9"/>
    </row>
    <row r="28" spans="1:32" x14ac:dyDescent="0.2">
      <c r="M28" s="9"/>
      <c r="N28" s="32"/>
    </row>
    <row r="29" spans="1:32" x14ac:dyDescent="0.2">
      <c r="M29" s="9"/>
      <c r="N29" s="32"/>
    </row>
    <row r="30" spans="1:32" x14ac:dyDescent="0.2">
      <c r="M30" s="9"/>
      <c r="N30" s="32"/>
    </row>
    <row r="31" spans="1:32" x14ac:dyDescent="0.2">
      <c r="M31" s="9"/>
      <c r="N31" s="32"/>
    </row>
    <row r="32" spans="1:32" x14ac:dyDescent="0.2">
      <c r="M32" s="9"/>
      <c r="N32" s="32"/>
    </row>
    <row r="43" spans="1:2" x14ac:dyDescent="0.2">
      <c r="A43" s="9"/>
      <c r="B43" s="9"/>
    </row>
    <row r="44" spans="1:2" x14ac:dyDescent="0.2">
      <c r="A44" s="9"/>
      <c r="B44" s="9"/>
    </row>
    <row r="45" spans="1:2" x14ac:dyDescent="0.2">
      <c r="A45" s="9"/>
    </row>
    <row r="46" spans="1:2" x14ac:dyDescent="0.2">
      <c r="A46" s="9"/>
    </row>
    <row r="47" spans="1:2" x14ac:dyDescent="0.2">
      <c r="A47" s="9"/>
    </row>
    <row r="48" spans="1:2" x14ac:dyDescent="0.2">
      <c r="A48" s="9"/>
    </row>
  </sheetData>
  <autoFilter ref="A1:AF23" xr:uid="{5664A312-5D0D-6347-9881-0092154337D4}"/>
  <phoneticPr fontId="24" type="noConversion"/>
  <pageMargins left="0.7" right="0.7" top="0.75" bottom="0.75" header="0.3" footer="0.3"/>
  <ignoredErrors>
    <ignoredError sqref="J4 M6" formula="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4CE1-9D85-3F4A-83A6-3574F23D7E87}">
  <sheetPr filterMode="1"/>
  <dimension ref="A1:AM31"/>
  <sheetViews>
    <sheetView topLeftCell="AA1" zoomScaleNormal="100" workbookViewId="0">
      <selection activeCell="AG22" sqref="AG22"/>
    </sheetView>
  </sheetViews>
  <sheetFormatPr baseColWidth="10" defaultRowHeight="16" x14ac:dyDescent="0.2"/>
  <cols>
    <col min="1" max="1" width="15.5" bestFit="1" customWidth="1"/>
    <col min="2" max="2" width="19.1640625" bestFit="1" customWidth="1"/>
    <col min="3" max="3" width="18.33203125" bestFit="1" customWidth="1"/>
    <col min="4" max="4" width="10.5" bestFit="1" customWidth="1"/>
    <col min="5" max="5" width="18.33203125" bestFit="1" customWidth="1"/>
    <col min="6" max="6" width="9.6640625" bestFit="1" customWidth="1"/>
    <col min="7" max="7" width="10.1640625" bestFit="1" customWidth="1"/>
    <col min="8" max="8" width="16.33203125" bestFit="1" customWidth="1"/>
    <col min="9" max="9" width="14.1640625" bestFit="1" customWidth="1"/>
    <col min="10" max="10" width="12" bestFit="1" customWidth="1"/>
    <col min="11" max="11" width="12.1640625" bestFit="1" customWidth="1"/>
    <col min="12" max="12" width="14.1640625" bestFit="1" customWidth="1"/>
    <col min="13" max="13" width="12.83203125" bestFit="1" customWidth="1"/>
    <col min="14" max="14" width="14" bestFit="1" customWidth="1"/>
    <col min="15" max="15" width="18.1640625" bestFit="1" customWidth="1"/>
    <col min="16" max="16" width="12.33203125" bestFit="1" customWidth="1"/>
    <col min="17" max="17" width="14" bestFit="1" customWidth="1"/>
    <col min="18" max="18" width="16.33203125" bestFit="1" customWidth="1"/>
    <col min="19" max="19" width="18.1640625" bestFit="1" customWidth="1"/>
    <col min="20" max="20" width="13" bestFit="1" customWidth="1"/>
    <col min="21" max="21" width="10" bestFit="1" customWidth="1"/>
    <col min="22" max="22" width="9.6640625" bestFit="1" customWidth="1"/>
    <col min="23" max="23" width="12.5" bestFit="1" customWidth="1"/>
    <col min="24" max="24" width="11.33203125" bestFit="1" customWidth="1"/>
    <col min="25" max="25" width="12.5" bestFit="1" customWidth="1"/>
    <col min="26" max="26" width="20" bestFit="1" customWidth="1"/>
    <col min="27" max="27" width="13.83203125" bestFit="1" customWidth="1"/>
    <col min="28" max="28" width="14.6640625" bestFit="1" customWidth="1"/>
    <col min="29" max="29" width="13.5" bestFit="1" customWidth="1"/>
    <col min="30" max="30" width="15.33203125" bestFit="1" customWidth="1"/>
    <col min="31" max="31" width="10.1640625" bestFit="1" customWidth="1"/>
    <col min="32" max="32" width="12" bestFit="1" customWidth="1"/>
    <col min="33" max="33" width="8.6640625" bestFit="1" customWidth="1"/>
    <col min="34" max="34" width="8" bestFit="1" customWidth="1"/>
    <col min="35" max="35" width="8.5" bestFit="1" customWidth="1"/>
    <col min="36" max="36" width="8.6640625" bestFit="1" customWidth="1"/>
    <col min="37" max="37" width="8" bestFit="1" customWidth="1"/>
    <col min="38" max="38" width="14.83203125" bestFit="1" customWidth="1"/>
    <col min="39" max="39" width="13.6640625" bestFit="1" customWidth="1"/>
  </cols>
  <sheetData>
    <row r="1" spans="1:39" x14ac:dyDescent="0.2">
      <c r="A1" s="17" t="s">
        <v>357</v>
      </c>
      <c r="B1" s="17" t="s">
        <v>358</v>
      </c>
      <c r="C1" s="17" t="s">
        <v>359</v>
      </c>
      <c r="D1" s="17" t="s">
        <v>349</v>
      </c>
      <c r="E1" s="17" t="s">
        <v>350</v>
      </c>
      <c r="F1" s="17" t="s">
        <v>351</v>
      </c>
      <c r="G1" s="17" t="s">
        <v>352</v>
      </c>
      <c r="H1" s="17" t="s">
        <v>328</v>
      </c>
      <c r="I1" s="17" t="s">
        <v>248</v>
      </c>
      <c r="J1" s="17" t="s">
        <v>3</v>
      </c>
      <c r="K1" s="17" t="s">
        <v>0</v>
      </c>
      <c r="L1" s="17" t="s">
        <v>249</v>
      </c>
      <c r="M1" s="17" t="s">
        <v>250</v>
      </c>
      <c r="N1" s="17" t="s">
        <v>251</v>
      </c>
      <c r="O1" s="17" t="s">
        <v>267</v>
      </c>
      <c r="P1" s="21" t="s">
        <v>269</v>
      </c>
      <c r="Q1" s="17" t="s">
        <v>272</v>
      </c>
      <c r="R1" s="17" t="s">
        <v>360</v>
      </c>
      <c r="S1" s="17" t="s">
        <v>361</v>
      </c>
      <c r="T1" s="17" t="s">
        <v>273</v>
      </c>
      <c r="U1" s="17" t="s">
        <v>274</v>
      </c>
      <c r="V1" s="17" t="s">
        <v>276</v>
      </c>
      <c r="W1" s="17" t="s">
        <v>279</v>
      </c>
      <c r="X1" s="17" t="s">
        <v>280</v>
      </c>
      <c r="Y1" s="17" t="s">
        <v>284</v>
      </c>
      <c r="Z1" s="17" t="s">
        <v>285</v>
      </c>
      <c r="AA1" s="17" t="s">
        <v>286</v>
      </c>
      <c r="AB1" s="17" t="s">
        <v>287</v>
      </c>
      <c r="AC1" s="17" t="s">
        <v>362</v>
      </c>
      <c r="AD1" s="17" t="s">
        <v>363</v>
      </c>
      <c r="AE1" s="17" t="s">
        <v>364</v>
      </c>
      <c r="AF1" s="17" t="s">
        <v>365</v>
      </c>
      <c r="AG1" s="22" t="s">
        <v>288</v>
      </c>
      <c r="AH1" s="22" t="s">
        <v>289</v>
      </c>
      <c r="AI1" s="22" t="s">
        <v>290</v>
      </c>
      <c r="AJ1" s="23" t="s">
        <v>366</v>
      </c>
      <c r="AK1" s="21" t="s">
        <v>291</v>
      </c>
      <c r="AL1" s="17" t="s">
        <v>292</v>
      </c>
      <c r="AM1" s="22" t="s">
        <v>295</v>
      </c>
    </row>
    <row r="2" spans="1:39" x14ac:dyDescent="0.2">
      <c r="A2" s="10">
        <v>32</v>
      </c>
      <c r="B2" s="34" t="s">
        <v>367</v>
      </c>
      <c r="C2" s="10">
        <v>2017</v>
      </c>
      <c r="D2" s="10">
        <v>22</v>
      </c>
      <c r="E2" s="10">
        <v>1</v>
      </c>
      <c r="F2" s="10" t="s">
        <v>336</v>
      </c>
      <c r="G2" s="10" t="s">
        <v>337</v>
      </c>
      <c r="H2" s="10" t="s">
        <v>329</v>
      </c>
      <c r="I2" s="10" t="s">
        <v>252</v>
      </c>
      <c r="J2" s="10" t="s">
        <v>253</v>
      </c>
      <c r="K2" s="10" t="s">
        <v>254</v>
      </c>
      <c r="L2" s="10" t="s">
        <v>255</v>
      </c>
      <c r="M2" s="10" t="s">
        <v>256</v>
      </c>
      <c r="N2" s="10" t="s">
        <v>257</v>
      </c>
      <c r="O2" s="10" t="s">
        <v>268</v>
      </c>
      <c r="P2" s="11" t="s">
        <v>270</v>
      </c>
      <c r="Q2" s="10">
        <v>2002</v>
      </c>
      <c r="R2" s="10">
        <v>257</v>
      </c>
      <c r="S2" s="12">
        <v>129.33333333333346</v>
      </c>
      <c r="T2" s="10">
        <v>12</v>
      </c>
      <c r="U2" s="10" t="s">
        <v>275</v>
      </c>
      <c r="V2" s="10" t="s">
        <v>277</v>
      </c>
      <c r="W2" s="10" t="s">
        <v>280</v>
      </c>
      <c r="X2" s="10" t="s">
        <v>281</v>
      </c>
      <c r="Y2" s="10">
        <v>2</v>
      </c>
      <c r="Z2" s="10">
        <v>1</v>
      </c>
      <c r="AA2" s="10">
        <v>1</v>
      </c>
      <c r="AB2" s="10">
        <v>1</v>
      </c>
      <c r="AC2" s="13">
        <f>1/AE2</f>
        <v>32.830795105290562</v>
      </c>
      <c r="AD2" s="13">
        <f>1.96*SQRT((1/(AG2*LN(AG2)^2))^2*AJ2)</f>
        <v>32.669192322700809</v>
      </c>
      <c r="AE2" s="13">
        <f>-LN(AG2)</f>
        <v>3.0459207484708574E-2</v>
      </c>
      <c r="AF2" s="13">
        <f>1.96*SQRT((1/AG2)^2*AJ2)</f>
        <v>3.0309278350515466E-2</v>
      </c>
      <c r="AG2" s="11">
        <v>0.97</v>
      </c>
      <c r="AH2" s="14">
        <v>0.94</v>
      </c>
      <c r="AI2" s="14">
        <v>0.98</v>
      </c>
      <c r="AJ2" s="24">
        <v>2.2499999999999997E-4</v>
      </c>
      <c r="AK2" s="14">
        <v>1.4999999999999999E-2</v>
      </c>
      <c r="AL2" s="10" t="s">
        <v>293</v>
      </c>
      <c r="AM2" s="15">
        <v>0</v>
      </c>
    </row>
    <row r="3" spans="1:39" x14ac:dyDescent="0.2">
      <c r="A3" s="10">
        <v>28</v>
      </c>
      <c r="B3" s="34" t="s">
        <v>368</v>
      </c>
      <c r="C3" s="10" t="s">
        <v>369</v>
      </c>
      <c r="D3" s="10">
        <v>20</v>
      </c>
      <c r="E3" s="10">
        <v>1</v>
      </c>
      <c r="F3" s="10">
        <v>2013</v>
      </c>
      <c r="G3" s="10" t="s">
        <v>337</v>
      </c>
      <c r="H3" s="10" t="s">
        <v>330</v>
      </c>
      <c r="I3" s="10" t="s">
        <v>258</v>
      </c>
      <c r="J3" s="10" t="s">
        <v>253</v>
      </c>
      <c r="K3" s="10" t="s">
        <v>254</v>
      </c>
      <c r="L3" s="10" t="s">
        <v>255</v>
      </c>
      <c r="M3" s="10" t="s">
        <v>256</v>
      </c>
      <c r="N3" s="10" t="s">
        <v>259</v>
      </c>
      <c r="O3" s="10" t="s">
        <v>268</v>
      </c>
      <c r="P3" s="11" t="s">
        <v>270</v>
      </c>
      <c r="Q3" s="10">
        <v>1995</v>
      </c>
      <c r="R3" s="10">
        <v>271</v>
      </c>
      <c r="S3" s="12">
        <v>600.00000000000057</v>
      </c>
      <c r="T3" s="10">
        <v>17</v>
      </c>
      <c r="U3" s="10" t="s">
        <v>275</v>
      </c>
      <c r="V3" s="10" t="s">
        <v>278</v>
      </c>
      <c r="W3" s="10" t="s">
        <v>280</v>
      </c>
      <c r="X3" s="10" t="s">
        <v>281</v>
      </c>
      <c r="Y3" s="10">
        <v>2</v>
      </c>
      <c r="Z3" s="10">
        <v>1</v>
      </c>
      <c r="AA3" s="10">
        <v>1</v>
      </c>
      <c r="AB3" s="10">
        <v>1</v>
      </c>
      <c r="AC3" s="13">
        <f t="shared" ref="AC3:AC31" si="0">1/AE3</f>
        <v>24.496598261601779</v>
      </c>
      <c r="AD3" s="13">
        <f t="shared" ref="AD3:AD8" si="1">1.96*SQRT((1/(AG3*LN(AG3)^2))^2*AJ3)</f>
        <v>9.8013609977084162</v>
      </c>
      <c r="AE3" s="13">
        <f t="shared" ref="AE3:AE8" si="2">-LN(AG3)</f>
        <v>4.0821994520255166E-2</v>
      </c>
      <c r="AF3" s="13">
        <f t="shared" ref="AF3:AF8" si="3">1.96*SQRT((1/AG3)^2*AJ3)</f>
        <v>1.6333333333333335E-2</v>
      </c>
      <c r="AG3" s="11">
        <v>0.96</v>
      </c>
      <c r="AH3" s="14">
        <v>0.94</v>
      </c>
      <c r="AI3" s="14">
        <v>0.97</v>
      </c>
      <c r="AJ3" s="24">
        <v>6.3999999999999997E-5</v>
      </c>
      <c r="AK3" s="14">
        <v>8.0000000000000002E-3</v>
      </c>
      <c r="AL3" s="10" t="s">
        <v>294</v>
      </c>
      <c r="AM3" s="15">
        <v>0</v>
      </c>
    </row>
    <row r="4" spans="1:39" x14ac:dyDescent="0.2">
      <c r="A4" s="10">
        <v>26</v>
      </c>
      <c r="B4" s="34" t="s">
        <v>368</v>
      </c>
      <c r="C4" s="10" t="s">
        <v>370</v>
      </c>
      <c r="D4" s="10">
        <v>20</v>
      </c>
      <c r="E4" s="10">
        <v>1</v>
      </c>
      <c r="F4" s="10">
        <v>2013</v>
      </c>
      <c r="G4" s="10" t="s">
        <v>337</v>
      </c>
      <c r="H4" s="10" t="s">
        <v>330</v>
      </c>
      <c r="I4" s="10" t="s">
        <v>260</v>
      </c>
      <c r="J4" s="10" t="s">
        <v>253</v>
      </c>
      <c r="K4" s="10" t="s">
        <v>254</v>
      </c>
      <c r="L4" s="10" t="s">
        <v>255</v>
      </c>
      <c r="M4" s="10" t="s">
        <v>261</v>
      </c>
      <c r="N4" s="10" t="s">
        <v>257</v>
      </c>
      <c r="O4" s="10" t="s">
        <v>268</v>
      </c>
      <c r="P4" s="11" t="s">
        <v>270</v>
      </c>
      <c r="Q4" s="10">
        <v>1979</v>
      </c>
      <c r="R4" s="10">
        <v>1265</v>
      </c>
      <c r="S4" s="12">
        <v>2603.9999999999986</v>
      </c>
      <c r="T4" s="10">
        <v>29</v>
      </c>
      <c r="U4" s="10" t="s">
        <v>275</v>
      </c>
      <c r="V4" s="10" t="s">
        <v>278</v>
      </c>
      <c r="W4" s="10" t="s">
        <v>280</v>
      </c>
      <c r="X4" s="10" t="s">
        <v>281</v>
      </c>
      <c r="Y4" s="10">
        <v>2</v>
      </c>
      <c r="Z4" s="10">
        <v>1</v>
      </c>
      <c r="AA4" s="10">
        <v>1</v>
      </c>
      <c r="AB4" s="10">
        <v>1</v>
      </c>
      <c r="AC4" s="13">
        <f t="shared" si="0"/>
        <v>13.779667258736438</v>
      </c>
      <c r="AD4" s="13">
        <f t="shared" si="1"/>
        <v>2.0008779050135819</v>
      </c>
      <c r="AE4" s="13">
        <f t="shared" si="2"/>
        <v>7.2570692834835374E-2</v>
      </c>
      <c r="AF4" s="13">
        <f t="shared" si="3"/>
        <v>1.0537634408602149E-2</v>
      </c>
      <c r="AG4" s="11">
        <v>0.93</v>
      </c>
      <c r="AH4" s="14">
        <v>0.92</v>
      </c>
      <c r="AI4" s="14">
        <v>0.94</v>
      </c>
      <c r="AJ4" s="24">
        <v>2.4999999999999998E-5</v>
      </c>
      <c r="AK4" s="14">
        <v>5.0000000000000001E-3</v>
      </c>
      <c r="AL4" s="10" t="s">
        <v>294</v>
      </c>
      <c r="AM4" s="15">
        <v>0</v>
      </c>
    </row>
    <row r="5" spans="1:39" x14ac:dyDescent="0.2">
      <c r="A5" s="10">
        <v>30</v>
      </c>
      <c r="B5" s="34" t="s">
        <v>368</v>
      </c>
      <c r="C5" s="10" t="s">
        <v>371</v>
      </c>
      <c r="D5" s="10">
        <v>20</v>
      </c>
      <c r="E5" s="10">
        <v>1</v>
      </c>
      <c r="F5" s="10">
        <v>2013</v>
      </c>
      <c r="G5" s="10" t="s">
        <v>337</v>
      </c>
      <c r="H5" s="10" t="s">
        <v>329</v>
      </c>
      <c r="I5" s="10" t="s">
        <v>262</v>
      </c>
      <c r="J5" s="10" t="s">
        <v>253</v>
      </c>
      <c r="K5" s="10" t="s">
        <v>254</v>
      </c>
      <c r="L5" s="10" t="s">
        <v>255</v>
      </c>
      <c r="M5" s="10" t="s">
        <v>261</v>
      </c>
      <c r="N5" s="10" t="s">
        <v>259</v>
      </c>
      <c r="O5" s="10" t="s">
        <v>268</v>
      </c>
      <c r="P5" s="11" t="s">
        <v>271</v>
      </c>
      <c r="Q5" s="10">
        <v>2004</v>
      </c>
      <c r="R5" s="25"/>
      <c r="S5" s="12">
        <v>87.514863258026125</v>
      </c>
      <c r="T5" s="10">
        <v>9</v>
      </c>
      <c r="U5" s="10" t="s">
        <v>275</v>
      </c>
      <c r="V5" s="10" t="s">
        <v>278</v>
      </c>
      <c r="W5" s="10" t="s">
        <v>280</v>
      </c>
      <c r="X5" s="10" t="s">
        <v>282</v>
      </c>
      <c r="Y5" s="10">
        <v>2</v>
      </c>
      <c r="Z5" s="10">
        <v>3</v>
      </c>
      <c r="AA5" s="10">
        <v>1</v>
      </c>
      <c r="AB5" s="10">
        <v>3</v>
      </c>
      <c r="AC5" s="13">
        <f t="shared" si="0"/>
        <v>11.993052337607978</v>
      </c>
      <c r="AD5" s="13">
        <f t="shared" si="1"/>
        <v>8.8863967614552397</v>
      </c>
      <c r="AE5" s="13">
        <f t="shared" si="2"/>
        <v>8.3381608939051013E-2</v>
      </c>
      <c r="AF5" s="13">
        <f t="shared" si="3"/>
        <v>6.1782608695652171E-2</v>
      </c>
      <c r="AG5" s="11">
        <v>0.92</v>
      </c>
      <c r="AH5" s="14">
        <v>0.84</v>
      </c>
      <c r="AI5" s="14">
        <v>0.96</v>
      </c>
      <c r="AJ5" s="24">
        <v>8.4099999999999995E-4</v>
      </c>
      <c r="AK5" s="14">
        <v>2.9000000000000001E-2</v>
      </c>
      <c r="AL5" s="10" t="s">
        <v>293</v>
      </c>
      <c r="AM5" s="15">
        <v>0</v>
      </c>
    </row>
    <row r="6" spans="1:39" x14ac:dyDescent="0.2">
      <c r="A6" s="10">
        <v>29</v>
      </c>
      <c r="B6" s="34" t="s">
        <v>368</v>
      </c>
      <c r="C6" s="10" t="s">
        <v>372</v>
      </c>
      <c r="D6" s="10">
        <v>20</v>
      </c>
      <c r="E6" s="10">
        <v>1</v>
      </c>
      <c r="F6" s="10">
        <v>2013</v>
      </c>
      <c r="G6" s="10" t="s">
        <v>337</v>
      </c>
      <c r="H6" s="10" t="s">
        <v>330</v>
      </c>
      <c r="I6" s="10" t="s">
        <v>263</v>
      </c>
      <c r="J6" s="10" t="s">
        <v>253</v>
      </c>
      <c r="K6" s="10" t="s">
        <v>254</v>
      </c>
      <c r="L6" s="10" t="s">
        <v>255</v>
      </c>
      <c r="M6" s="10" t="s">
        <v>256</v>
      </c>
      <c r="N6" s="10" t="s">
        <v>257</v>
      </c>
      <c r="O6" s="10" t="s">
        <v>268</v>
      </c>
      <c r="P6" s="11" t="s">
        <v>270</v>
      </c>
      <c r="Q6" s="10">
        <v>1968</v>
      </c>
      <c r="R6" s="10">
        <v>90</v>
      </c>
      <c r="S6" s="12">
        <v>327.11111111111097</v>
      </c>
      <c r="T6" s="10">
        <v>44</v>
      </c>
      <c r="U6" s="10" t="s">
        <v>275</v>
      </c>
      <c r="V6" s="10" t="s">
        <v>278</v>
      </c>
      <c r="W6" s="10" t="s">
        <v>280</v>
      </c>
      <c r="X6" s="10" t="s">
        <v>281</v>
      </c>
      <c r="Y6" s="10">
        <v>2</v>
      </c>
      <c r="Z6" s="10">
        <v>1</v>
      </c>
      <c r="AA6" s="10">
        <v>1</v>
      </c>
      <c r="AB6" s="10">
        <v>1</v>
      </c>
      <c r="AC6" s="13">
        <f t="shared" si="0"/>
        <v>11.993052337607978</v>
      </c>
      <c r="AD6" s="13">
        <f t="shared" si="1"/>
        <v>4.5964121179940891</v>
      </c>
      <c r="AE6" s="13">
        <f t="shared" si="2"/>
        <v>8.3381608939051013E-2</v>
      </c>
      <c r="AF6" s="13">
        <f>1.96*SQRT((1/AG6)^2*AJ6)</f>
        <v>3.1956521739130432E-2</v>
      </c>
      <c r="AG6" s="11">
        <v>0.92</v>
      </c>
      <c r="AH6" s="14">
        <v>0.89</v>
      </c>
      <c r="AI6" s="14">
        <v>0.95</v>
      </c>
      <c r="AJ6" s="24">
        <v>2.2499999999999999E-4</v>
      </c>
      <c r="AK6" s="14">
        <v>1.4999999999999999E-2</v>
      </c>
      <c r="AL6" s="10" t="s">
        <v>294</v>
      </c>
      <c r="AM6" s="15">
        <v>0</v>
      </c>
    </row>
    <row r="7" spans="1:39" x14ac:dyDescent="0.2">
      <c r="A7" s="10">
        <v>27</v>
      </c>
      <c r="B7" s="34" t="s">
        <v>368</v>
      </c>
      <c r="C7" s="10" t="s">
        <v>373</v>
      </c>
      <c r="D7" s="10">
        <v>20</v>
      </c>
      <c r="E7" s="10">
        <v>1</v>
      </c>
      <c r="F7" s="10">
        <v>2015</v>
      </c>
      <c r="G7" s="10" t="s">
        <v>337</v>
      </c>
      <c r="H7" s="10" t="s">
        <v>330</v>
      </c>
      <c r="I7" s="10" t="s">
        <v>265</v>
      </c>
      <c r="J7" s="10" t="s">
        <v>253</v>
      </c>
      <c r="K7" s="10" t="s">
        <v>254</v>
      </c>
      <c r="L7" s="10" t="s">
        <v>255</v>
      </c>
      <c r="M7" s="10" t="s">
        <v>264</v>
      </c>
      <c r="N7" s="10" t="s">
        <v>266</v>
      </c>
      <c r="O7" s="10" t="s">
        <v>268</v>
      </c>
      <c r="P7" s="11" t="s">
        <v>271</v>
      </c>
      <c r="Q7" s="10">
        <v>1980</v>
      </c>
      <c r="R7" s="10">
        <v>2686</v>
      </c>
      <c r="S7" s="12">
        <v>795.26627218934925</v>
      </c>
      <c r="T7" s="10">
        <v>32</v>
      </c>
      <c r="U7" s="10" t="s">
        <v>275</v>
      </c>
      <c r="V7" s="10" t="s">
        <v>278</v>
      </c>
      <c r="W7" s="10" t="s">
        <v>280</v>
      </c>
      <c r="X7" s="10" t="s">
        <v>281</v>
      </c>
      <c r="Y7" s="10">
        <v>2</v>
      </c>
      <c r="Z7" s="10">
        <v>1</v>
      </c>
      <c r="AA7" s="10">
        <v>1</v>
      </c>
      <c r="AB7" s="10">
        <v>1</v>
      </c>
      <c r="AC7" s="13">
        <f t="shared" si="0"/>
        <v>5.7354779071176294</v>
      </c>
      <c r="AD7" s="13">
        <f t="shared" si="1"/>
        <v>0.99783644029871099</v>
      </c>
      <c r="AE7" s="13">
        <f t="shared" si="2"/>
        <v>0.1743533871447778</v>
      </c>
      <c r="AF7" s="13">
        <f>1.96*SQRT((1/AG7)^2*AJ7)</f>
        <v>3.033333333333333E-2</v>
      </c>
      <c r="AG7" s="11">
        <v>0.84</v>
      </c>
      <c r="AH7" s="14">
        <v>0.82</v>
      </c>
      <c r="AI7" s="14">
        <v>0.87</v>
      </c>
      <c r="AJ7" s="24">
        <v>1.6899999999999999E-4</v>
      </c>
      <c r="AK7" s="14">
        <v>1.2999999999999999E-2</v>
      </c>
      <c r="AL7" s="10" t="s">
        <v>294</v>
      </c>
      <c r="AM7" s="15">
        <v>0</v>
      </c>
    </row>
    <row r="8" spans="1:39" hidden="1" x14ac:dyDescent="0.2">
      <c r="A8" s="10">
        <v>38</v>
      </c>
      <c r="B8" s="10" t="s">
        <v>374</v>
      </c>
      <c r="C8" s="10" t="s">
        <v>375</v>
      </c>
      <c r="D8" s="10">
        <v>23</v>
      </c>
      <c r="E8" s="10">
        <v>17</v>
      </c>
      <c r="F8" s="10">
        <v>2005</v>
      </c>
      <c r="G8" s="10" t="s">
        <v>341</v>
      </c>
      <c r="H8" s="10" t="s">
        <v>333</v>
      </c>
      <c r="I8" s="10" t="s">
        <v>298</v>
      </c>
      <c r="J8" s="10" t="s">
        <v>253</v>
      </c>
      <c r="K8" s="10" t="s">
        <v>296</v>
      </c>
      <c r="L8" s="10" t="s">
        <v>255</v>
      </c>
      <c r="M8" s="10" t="s">
        <v>264</v>
      </c>
      <c r="N8" s="10" t="s">
        <v>266</v>
      </c>
      <c r="O8" s="10" t="s">
        <v>275</v>
      </c>
      <c r="P8" s="11" t="s">
        <v>270</v>
      </c>
      <c r="Q8" s="10">
        <v>1995</v>
      </c>
      <c r="R8" s="10">
        <v>8025</v>
      </c>
      <c r="S8" s="12">
        <v>87.804878048780495</v>
      </c>
      <c r="T8" s="10">
        <v>6</v>
      </c>
      <c r="U8" s="10" t="s">
        <v>275</v>
      </c>
      <c r="V8" s="10" t="s">
        <v>299</v>
      </c>
      <c r="W8" s="10" t="s">
        <v>280</v>
      </c>
      <c r="X8" s="10" t="s">
        <v>303</v>
      </c>
      <c r="Y8" s="10">
        <v>3</v>
      </c>
      <c r="Z8" s="10">
        <v>3</v>
      </c>
      <c r="AA8" s="10">
        <v>1</v>
      </c>
      <c r="AB8" s="10">
        <v>3</v>
      </c>
      <c r="AC8" s="13">
        <f t="shared" si="0"/>
        <v>5.0390288220888015</v>
      </c>
      <c r="AD8" s="13">
        <f t="shared" si="1"/>
        <v>2.4883975240444829</v>
      </c>
      <c r="AE8" s="13">
        <f t="shared" si="2"/>
        <v>0.19845093872383832</v>
      </c>
      <c r="AF8" s="13">
        <f t="shared" si="3"/>
        <v>9.8000000000000004E-2</v>
      </c>
      <c r="AG8" s="11">
        <v>0.82</v>
      </c>
      <c r="AH8" s="14">
        <v>0.73</v>
      </c>
      <c r="AI8" s="14">
        <v>0.89</v>
      </c>
      <c r="AJ8" s="24">
        <v>1.6810000000000002E-3</v>
      </c>
      <c r="AK8" s="14">
        <v>4.1000000000000002E-2</v>
      </c>
      <c r="AL8" s="10" t="s">
        <v>293</v>
      </c>
      <c r="AM8" s="15">
        <v>0</v>
      </c>
    </row>
    <row r="9" spans="1:39" hidden="1" x14ac:dyDescent="0.2">
      <c r="A9" s="10">
        <v>46</v>
      </c>
      <c r="B9" s="10" t="s">
        <v>376</v>
      </c>
      <c r="C9" s="10">
        <v>2015</v>
      </c>
      <c r="D9" s="10">
        <v>28</v>
      </c>
      <c r="E9" s="10">
        <v>18</v>
      </c>
      <c r="F9" s="10" t="s">
        <v>338</v>
      </c>
      <c r="G9" s="10" t="s">
        <v>341</v>
      </c>
      <c r="H9" s="10" t="s">
        <v>333</v>
      </c>
      <c r="I9" s="10" t="s">
        <v>304</v>
      </c>
      <c r="J9" s="10" t="s">
        <v>253</v>
      </c>
      <c r="K9" s="10" t="s">
        <v>296</v>
      </c>
      <c r="L9" s="10" t="s">
        <v>255</v>
      </c>
      <c r="M9" s="10" t="s">
        <v>261</v>
      </c>
      <c r="N9" s="10" t="s">
        <v>266</v>
      </c>
      <c r="O9" s="10" t="s">
        <v>275</v>
      </c>
      <c r="P9" s="11" t="s">
        <v>270</v>
      </c>
      <c r="Q9" s="10">
        <v>1979</v>
      </c>
      <c r="R9" s="10">
        <v>7689</v>
      </c>
      <c r="S9" s="12">
        <v>211.60714285714283</v>
      </c>
      <c r="T9" s="10">
        <v>26</v>
      </c>
      <c r="U9" s="10" t="s">
        <v>275</v>
      </c>
      <c r="V9" s="10" t="s">
        <v>299</v>
      </c>
      <c r="W9" s="10" t="s">
        <v>280</v>
      </c>
      <c r="X9" s="10" t="s">
        <v>283</v>
      </c>
      <c r="Y9" s="10">
        <v>1</v>
      </c>
      <c r="Z9" s="10">
        <v>1</v>
      </c>
      <c r="AA9" s="10">
        <v>1</v>
      </c>
      <c r="AB9" s="10">
        <v>1</v>
      </c>
      <c r="AC9" s="13">
        <f t="shared" si="0"/>
        <v>9.7682093105031615</v>
      </c>
      <c r="AD9" s="13">
        <f>1.96*SQRT((1/(AG9*LOG(AG9)^2))^2*AJ9)</f>
        <v>6.6285254085860501</v>
      </c>
      <c r="AE9" s="13">
        <f t="shared" ref="AE9:AE30" si="4">-LOG(AG9)</f>
        <v>0.10237290870955855</v>
      </c>
      <c r="AF9" s="13">
        <f>1.96*SQRT((1/AG9)^2*AJ9)</f>
        <v>6.9468354430379742E-2</v>
      </c>
      <c r="AG9" s="11">
        <v>0.79</v>
      </c>
      <c r="AH9" s="14">
        <v>0.73</v>
      </c>
      <c r="AI9" s="14">
        <v>0.84</v>
      </c>
      <c r="AJ9" s="24">
        <v>7.8400000000000008E-4</v>
      </c>
      <c r="AK9" s="14">
        <v>2.8000000000000001E-2</v>
      </c>
      <c r="AL9" s="10" t="s">
        <v>294</v>
      </c>
      <c r="AM9" s="15">
        <v>0</v>
      </c>
    </row>
    <row r="10" spans="1:39" x14ac:dyDescent="0.2">
      <c r="A10" s="10">
        <v>48</v>
      </c>
      <c r="B10" s="34" t="s">
        <v>377</v>
      </c>
      <c r="C10" s="10">
        <v>2016</v>
      </c>
      <c r="D10" s="10">
        <v>30</v>
      </c>
      <c r="E10" s="10">
        <v>26</v>
      </c>
      <c r="F10" s="10" t="s">
        <v>340</v>
      </c>
      <c r="G10" s="10" t="s">
        <v>341</v>
      </c>
      <c r="H10" s="10" t="s">
        <v>332</v>
      </c>
      <c r="I10" s="10" t="s">
        <v>297</v>
      </c>
      <c r="J10" s="10" t="s">
        <v>253</v>
      </c>
      <c r="K10" s="10" t="s">
        <v>296</v>
      </c>
      <c r="L10" s="10" t="s">
        <v>255</v>
      </c>
      <c r="M10" s="10" t="s">
        <v>256</v>
      </c>
      <c r="N10" s="10" t="s">
        <v>259</v>
      </c>
      <c r="O10" s="10" t="s">
        <v>275</v>
      </c>
      <c r="P10" s="11" t="s">
        <v>270</v>
      </c>
      <c r="Q10" s="10">
        <v>1973</v>
      </c>
      <c r="R10" s="10">
        <v>3405</v>
      </c>
      <c r="S10" s="12">
        <v>16489.749999999993</v>
      </c>
      <c r="T10" s="10">
        <v>38</v>
      </c>
      <c r="U10" s="10" t="s">
        <v>275</v>
      </c>
      <c r="V10" s="10" t="s">
        <v>300</v>
      </c>
      <c r="W10" s="10" t="s">
        <v>280</v>
      </c>
      <c r="X10" s="10" t="s">
        <v>283</v>
      </c>
      <c r="Y10" s="10">
        <v>2</v>
      </c>
      <c r="Z10" s="10">
        <v>1</v>
      </c>
      <c r="AA10" s="10">
        <v>1</v>
      </c>
      <c r="AB10" s="10">
        <v>1</v>
      </c>
      <c r="AC10" s="13">
        <f t="shared" si="0"/>
        <v>13.578370385286</v>
      </c>
      <c r="AD10" s="13">
        <f>1.96*SQRT((1/(AG10*LN(AG10)^2))^2*AJ10)</f>
        <v>0.77797502464418344</v>
      </c>
      <c r="AE10" s="13">
        <f t="shared" ref="AE10:AE19" si="5">-LN(AG10)</f>
        <v>7.3646540168298483E-2</v>
      </c>
      <c r="AF10" s="13">
        <f t="shared" ref="AF10:AF16" si="6">1.96*SQRT((1/AG10)^2*AJ10)</f>
        <v>4.2195909580193753E-3</v>
      </c>
      <c r="AG10" s="11">
        <v>0.92900000000000005</v>
      </c>
      <c r="AH10" s="11">
        <v>0.92400000000000004</v>
      </c>
      <c r="AI10" s="11">
        <v>0.93300000000000005</v>
      </c>
      <c r="AJ10" s="24">
        <v>3.9999999999999998E-6</v>
      </c>
      <c r="AK10" s="11">
        <v>2E-3</v>
      </c>
      <c r="AL10" s="10" t="s">
        <v>294</v>
      </c>
      <c r="AM10" s="15">
        <v>0</v>
      </c>
    </row>
    <row r="11" spans="1:39" x14ac:dyDescent="0.2">
      <c r="A11" s="10">
        <v>40</v>
      </c>
      <c r="B11" s="34" t="s">
        <v>378</v>
      </c>
      <c r="C11" s="10" t="s">
        <v>379</v>
      </c>
      <c r="D11" s="10">
        <v>24</v>
      </c>
      <c r="E11" s="10">
        <v>1</v>
      </c>
      <c r="F11" s="10">
        <v>2007</v>
      </c>
      <c r="G11" s="10" t="s">
        <v>341</v>
      </c>
      <c r="H11" s="10" t="s">
        <v>333</v>
      </c>
      <c r="I11" s="10" t="s">
        <v>298</v>
      </c>
      <c r="J11" s="10" t="s">
        <v>253</v>
      </c>
      <c r="K11" s="10" t="s">
        <v>296</v>
      </c>
      <c r="L11" s="10" t="s">
        <v>255</v>
      </c>
      <c r="M11" s="10" t="s">
        <v>264</v>
      </c>
      <c r="N11" s="10" t="s">
        <v>266</v>
      </c>
      <c r="O11" s="10" t="s">
        <v>275</v>
      </c>
      <c r="P11" s="11" t="s">
        <v>270</v>
      </c>
      <c r="Q11" s="10">
        <v>1998</v>
      </c>
      <c r="R11" s="26">
        <v>7161</v>
      </c>
      <c r="S11" s="12">
        <v>566.66666666666674</v>
      </c>
      <c r="T11" s="10">
        <v>7</v>
      </c>
      <c r="U11" s="10" t="s">
        <v>275</v>
      </c>
      <c r="V11" s="10" t="s">
        <v>299</v>
      </c>
      <c r="W11" s="10" t="s">
        <v>280</v>
      </c>
      <c r="X11" s="10" t="s">
        <v>302</v>
      </c>
      <c r="Y11" s="10">
        <v>1</v>
      </c>
      <c r="Z11" s="10">
        <v>1</v>
      </c>
      <c r="AA11" s="10">
        <v>1</v>
      </c>
      <c r="AB11" s="10">
        <v>3</v>
      </c>
      <c r="AC11" s="13">
        <f t="shared" si="0"/>
        <v>6.1531293806220342</v>
      </c>
      <c r="AD11" s="13">
        <f t="shared" ref="AD11:AD20" si="7">1.96*SQRT((1/(AG11*LN(AG11)^2))^2*AJ11)</f>
        <v>1.3095452171004924</v>
      </c>
      <c r="AE11" s="13">
        <f t="shared" si="5"/>
        <v>0.16251892949777494</v>
      </c>
      <c r="AF11" s="13">
        <f t="shared" si="6"/>
        <v>3.4588235294117649E-2</v>
      </c>
      <c r="AG11" s="11">
        <v>0.85</v>
      </c>
      <c r="AH11" s="14">
        <v>0.83</v>
      </c>
      <c r="AI11" s="14">
        <v>0.89</v>
      </c>
      <c r="AJ11" s="24">
        <v>2.2499999999999997E-4</v>
      </c>
      <c r="AK11" s="14">
        <v>1.4999999999999999E-2</v>
      </c>
      <c r="AL11" s="10" t="s">
        <v>294</v>
      </c>
      <c r="AM11" s="15">
        <v>0</v>
      </c>
    </row>
    <row r="12" spans="1:39" hidden="1" x14ac:dyDescent="0.2">
      <c r="A12" s="10">
        <v>39</v>
      </c>
      <c r="B12" s="10" t="s">
        <v>378</v>
      </c>
      <c r="C12" s="10" t="s">
        <v>380</v>
      </c>
      <c r="D12" s="10">
        <v>24</v>
      </c>
      <c r="E12" s="10">
        <v>1</v>
      </c>
      <c r="F12" s="10">
        <v>2007</v>
      </c>
      <c r="G12" s="10" t="s">
        <v>341</v>
      </c>
      <c r="H12" s="10" t="s">
        <v>333</v>
      </c>
      <c r="I12" s="10" t="s">
        <v>298</v>
      </c>
      <c r="J12" s="10" t="s">
        <v>253</v>
      </c>
      <c r="K12" s="10" t="s">
        <v>296</v>
      </c>
      <c r="L12" s="10" t="s">
        <v>255</v>
      </c>
      <c r="M12" s="10" t="s">
        <v>264</v>
      </c>
      <c r="N12" s="10" t="s">
        <v>266</v>
      </c>
      <c r="O12" s="10" t="s">
        <v>275</v>
      </c>
      <c r="P12" s="11" t="s">
        <v>270</v>
      </c>
      <c r="Q12" s="10">
        <v>1998</v>
      </c>
      <c r="R12" s="10">
        <v>8408</v>
      </c>
      <c r="S12" s="12">
        <v>68.956192536506236</v>
      </c>
      <c r="T12" s="10">
        <v>7</v>
      </c>
      <c r="U12" s="10" t="s">
        <v>275</v>
      </c>
      <c r="V12" s="10" t="s">
        <v>299</v>
      </c>
      <c r="W12" s="10" t="s">
        <v>280</v>
      </c>
      <c r="X12" s="10" t="s">
        <v>303</v>
      </c>
      <c r="Y12" s="10">
        <v>1</v>
      </c>
      <c r="Z12" s="10">
        <v>2</v>
      </c>
      <c r="AA12" s="10">
        <v>1</v>
      </c>
      <c r="AB12" s="10">
        <v>1</v>
      </c>
      <c r="AC12" s="13">
        <f t="shared" si="0"/>
        <v>6.1531293806220342</v>
      </c>
      <c r="AD12" s="13">
        <f t="shared" si="7"/>
        <v>3.7540296223547442</v>
      </c>
      <c r="AE12" s="13">
        <f t="shared" si="5"/>
        <v>0.16251892949777494</v>
      </c>
      <c r="AF12" s="13">
        <f t="shared" si="6"/>
        <v>9.9152941176470583E-2</v>
      </c>
      <c r="AG12" s="11">
        <v>0.85</v>
      </c>
      <c r="AH12" s="14">
        <v>0.75</v>
      </c>
      <c r="AI12" s="14">
        <v>0.92</v>
      </c>
      <c r="AJ12" s="24">
        <v>1.8489999999999995E-3</v>
      </c>
      <c r="AK12" s="14">
        <v>4.2999999999999997E-2</v>
      </c>
      <c r="AL12" s="10" t="s">
        <v>294</v>
      </c>
      <c r="AM12" s="15">
        <v>0</v>
      </c>
    </row>
    <row r="13" spans="1:39" x14ac:dyDescent="0.2">
      <c r="A13" s="10">
        <v>21</v>
      </c>
      <c r="B13" s="34" t="s">
        <v>381</v>
      </c>
      <c r="C13" s="10">
        <v>2001</v>
      </c>
      <c r="D13" s="10">
        <v>15</v>
      </c>
      <c r="E13" s="10">
        <v>14</v>
      </c>
      <c r="F13" s="10" t="s">
        <v>343</v>
      </c>
      <c r="G13" s="10" t="s">
        <v>341</v>
      </c>
      <c r="H13" s="10" t="s">
        <v>333</v>
      </c>
      <c r="I13" s="10" t="s">
        <v>309</v>
      </c>
      <c r="J13" s="10" t="s">
        <v>253</v>
      </c>
      <c r="K13" s="10" t="s">
        <v>306</v>
      </c>
      <c r="L13" s="10" t="s">
        <v>307</v>
      </c>
      <c r="M13" s="10" t="s">
        <v>256</v>
      </c>
      <c r="N13" s="10" t="s">
        <v>266</v>
      </c>
      <c r="O13" s="10" t="s">
        <v>268</v>
      </c>
      <c r="P13" s="11" t="s">
        <v>271</v>
      </c>
      <c r="Q13" s="10">
        <v>1987</v>
      </c>
      <c r="R13" s="10">
        <v>123</v>
      </c>
      <c r="S13" s="12">
        <v>281.06508875739672</v>
      </c>
      <c r="T13" s="10">
        <v>10</v>
      </c>
      <c r="U13" s="10" t="s">
        <v>275</v>
      </c>
      <c r="V13" s="10" t="s">
        <v>299</v>
      </c>
      <c r="W13" s="10" t="s">
        <v>280</v>
      </c>
      <c r="X13" s="10" t="s">
        <v>302</v>
      </c>
      <c r="Y13" s="10">
        <v>2</v>
      </c>
      <c r="Z13" s="10">
        <v>1</v>
      </c>
      <c r="AA13" s="10">
        <v>1</v>
      </c>
      <c r="AB13" s="10">
        <v>3</v>
      </c>
      <c r="AC13" s="13">
        <f t="shared" si="0"/>
        <v>19.495725746223673</v>
      </c>
      <c r="AD13" s="13">
        <f t="shared" si="7"/>
        <v>10.194234793723956</v>
      </c>
      <c r="AE13" s="13">
        <f t="shared" si="5"/>
        <v>5.1293294387550578E-2</v>
      </c>
      <c r="AF13" s="13">
        <f t="shared" si="6"/>
        <v>2.6821052631578943E-2</v>
      </c>
      <c r="AG13" s="11">
        <v>0.95</v>
      </c>
      <c r="AH13" s="14">
        <v>0.92</v>
      </c>
      <c r="AI13" s="14">
        <v>0.98</v>
      </c>
      <c r="AJ13" s="24">
        <v>1.6899999999999999E-4</v>
      </c>
      <c r="AK13" s="14">
        <v>1.2999999999999999E-2</v>
      </c>
      <c r="AL13" s="10" t="s">
        <v>293</v>
      </c>
      <c r="AM13" s="15">
        <v>0</v>
      </c>
    </row>
    <row r="14" spans="1:39" x14ac:dyDescent="0.2">
      <c r="A14" s="10">
        <v>22</v>
      </c>
      <c r="B14" s="34" t="s">
        <v>382</v>
      </c>
      <c r="C14" s="10">
        <v>2012</v>
      </c>
      <c r="D14" s="10">
        <v>16</v>
      </c>
      <c r="E14" s="10">
        <v>1</v>
      </c>
      <c r="F14" s="10" t="s">
        <v>342</v>
      </c>
      <c r="G14" s="10" t="s">
        <v>341</v>
      </c>
      <c r="H14" s="10" t="s">
        <v>331</v>
      </c>
      <c r="I14" s="10" t="s">
        <v>305</v>
      </c>
      <c r="J14" s="10" t="s">
        <v>253</v>
      </c>
      <c r="K14" s="10" t="s">
        <v>306</v>
      </c>
      <c r="L14" s="10" t="s">
        <v>307</v>
      </c>
      <c r="M14" s="10" t="s">
        <v>261</v>
      </c>
      <c r="N14" s="10" t="s">
        <v>308</v>
      </c>
      <c r="O14" s="10" t="s">
        <v>268</v>
      </c>
      <c r="P14" s="11" t="s">
        <v>270</v>
      </c>
      <c r="Q14" s="10">
        <v>1987</v>
      </c>
      <c r="R14" s="10">
        <v>413</v>
      </c>
      <c r="S14" s="12">
        <v>211.11111111111131</v>
      </c>
      <c r="T14" s="10">
        <v>20</v>
      </c>
      <c r="U14" s="10" t="s">
        <v>275</v>
      </c>
      <c r="V14" s="10" t="s">
        <v>277</v>
      </c>
      <c r="W14" s="10" t="s">
        <v>280</v>
      </c>
      <c r="X14" s="10" t="s">
        <v>283</v>
      </c>
      <c r="Y14" s="10">
        <v>3</v>
      </c>
      <c r="Z14" s="10">
        <v>1</v>
      </c>
      <c r="AA14" s="10">
        <v>1</v>
      </c>
      <c r="AB14" s="10">
        <v>1</v>
      </c>
      <c r="AC14" s="13">
        <f t="shared" si="0"/>
        <v>19.495725746223673</v>
      </c>
      <c r="AD14" s="13">
        <f t="shared" si="7"/>
        <v>11.762578608143027</v>
      </c>
      <c r="AE14" s="13">
        <f t="shared" si="5"/>
        <v>5.1293294387550578E-2</v>
      </c>
      <c r="AF14" s="13">
        <f t="shared" si="6"/>
        <v>3.0947368421052633E-2</v>
      </c>
      <c r="AG14" s="11">
        <v>0.95</v>
      </c>
      <c r="AH14" s="14">
        <v>0.91</v>
      </c>
      <c r="AI14" s="14">
        <v>0.97</v>
      </c>
      <c r="AJ14" s="24">
        <v>2.2499999999999999E-4</v>
      </c>
      <c r="AK14" s="14">
        <v>1.4999999999999999E-2</v>
      </c>
      <c r="AL14" s="10" t="s">
        <v>294</v>
      </c>
      <c r="AM14" s="15">
        <v>0</v>
      </c>
    </row>
    <row r="15" spans="1:39" x14ac:dyDescent="0.2">
      <c r="A15" s="10">
        <v>56</v>
      </c>
      <c r="B15" s="34" t="s">
        <v>383</v>
      </c>
      <c r="C15" s="10">
        <v>1988</v>
      </c>
      <c r="D15" s="10">
        <v>36</v>
      </c>
      <c r="E15" s="10">
        <v>23</v>
      </c>
      <c r="F15" s="10" t="s">
        <v>384</v>
      </c>
      <c r="G15" s="10" t="s">
        <v>341</v>
      </c>
      <c r="H15" s="10" t="s">
        <v>330</v>
      </c>
      <c r="I15" s="10" t="s">
        <v>353</v>
      </c>
      <c r="J15" s="10" t="s">
        <v>253</v>
      </c>
      <c r="K15" s="10" t="s">
        <v>321</v>
      </c>
      <c r="L15" s="10" t="s">
        <v>322</v>
      </c>
      <c r="M15" s="10" t="s">
        <v>256</v>
      </c>
      <c r="N15" s="10" t="s">
        <v>266</v>
      </c>
      <c r="O15" s="10" t="s">
        <v>268</v>
      </c>
      <c r="P15" s="11" t="s">
        <v>270</v>
      </c>
      <c r="Q15" s="10">
        <v>1967</v>
      </c>
      <c r="R15" s="10">
        <v>13052</v>
      </c>
      <c r="S15" s="12">
        <v>13.550173010380618</v>
      </c>
      <c r="T15" s="10">
        <v>10</v>
      </c>
      <c r="U15" s="10" t="s">
        <v>275</v>
      </c>
      <c r="V15" s="10" t="s">
        <v>385</v>
      </c>
      <c r="W15" s="10" t="s">
        <v>280</v>
      </c>
      <c r="X15" s="10" t="s">
        <v>386</v>
      </c>
      <c r="Y15" s="10">
        <v>3</v>
      </c>
      <c r="Z15" s="10">
        <v>1</v>
      </c>
      <c r="AA15" s="10">
        <v>3</v>
      </c>
      <c r="AB15" s="10">
        <v>3</v>
      </c>
      <c r="AC15" s="13">
        <f t="shared" si="0"/>
        <v>8.5812001368223356</v>
      </c>
      <c r="AD15" s="13">
        <f t="shared" si="7"/>
        <v>13.784183705970861</v>
      </c>
      <c r="AE15" s="13">
        <f t="shared" si="5"/>
        <v>0.11653381625595151</v>
      </c>
      <c r="AF15" s="13">
        <f t="shared" si="6"/>
        <v>0.18719101123595508</v>
      </c>
      <c r="AG15" s="11">
        <v>0.89</v>
      </c>
      <c r="AH15" s="14">
        <v>0.72</v>
      </c>
      <c r="AI15" s="14">
        <v>1</v>
      </c>
      <c r="AJ15" s="24">
        <v>7.2250000000000014E-3</v>
      </c>
      <c r="AK15" s="14">
        <v>8.5000000000000006E-2</v>
      </c>
      <c r="AL15" s="10" t="s">
        <v>293</v>
      </c>
      <c r="AM15" s="15">
        <v>0</v>
      </c>
    </row>
    <row r="16" spans="1:39" x14ac:dyDescent="0.2">
      <c r="A16" s="10">
        <v>50</v>
      </c>
      <c r="B16" s="34" t="s">
        <v>387</v>
      </c>
      <c r="C16" s="10">
        <v>2005</v>
      </c>
      <c r="D16" s="10">
        <v>32</v>
      </c>
      <c r="E16" s="10">
        <v>1</v>
      </c>
      <c r="F16" s="10" t="s">
        <v>347</v>
      </c>
      <c r="G16" s="10" t="s">
        <v>341</v>
      </c>
      <c r="H16" s="10" t="s">
        <v>333</v>
      </c>
      <c r="I16" s="10" t="s">
        <v>324</v>
      </c>
      <c r="J16" s="10" t="s">
        <v>253</v>
      </c>
      <c r="K16" s="10" t="s">
        <v>321</v>
      </c>
      <c r="L16" s="10" t="s">
        <v>322</v>
      </c>
      <c r="M16" s="10" t="s">
        <v>256</v>
      </c>
      <c r="N16" s="10" t="s">
        <v>259</v>
      </c>
      <c r="O16" s="10" t="s">
        <v>268</v>
      </c>
      <c r="P16" s="11" t="s">
        <v>271</v>
      </c>
      <c r="Q16" s="10">
        <v>1992</v>
      </c>
      <c r="R16" s="10">
        <v>483</v>
      </c>
      <c r="S16" s="12">
        <v>579.28994082840234</v>
      </c>
      <c r="T16" s="10">
        <v>10</v>
      </c>
      <c r="U16" s="10" t="s">
        <v>275</v>
      </c>
      <c r="V16" s="10" t="s">
        <v>300</v>
      </c>
      <c r="W16" s="10" t="s">
        <v>280</v>
      </c>
      <c r="X16" s="10" t="s">
        <v>302</v>
      </c>
      <c r="Y16" s="10">
        <v>2</v>
      </c>
      <c r="Z16" s="10">
        <v>1</v>
      </c>
      <c r="AA16" s="10">
        <v>1</v>
      </c>
      <c r="AB16" s="10">
        <v>3</v>
      </c>
      <c r="AC16" s="13">
        <f t="shared" si="0"/>
        <v>8.5812001368223356</v>
      </c>
      <c r="AD16" s="13">
        <f t="shared" si="7"/>
        <v>2.1081692726778964</v>
      </c>
      <c r="AE16" s="13">
        <f t="shared" si="5"/>
        <v>0.11653381625595151</v>
      </c>
      <c r="AF16" s="13">
        <f t="shared" si="6"/>
        <v>2.8629213483146069E-2</v>
      </c>
      <c r="AG16" s="11">
        <v>0.89</v>
      </c>
      <c r="AH16" s="14">
        <v>0.87</v>
      </c>
      <c r="AI16" s="14">
        <v>0.92</v>
      </c>
      <c r="AJ16" s="24">
        <v>1.6899999999999999E-4</v>
      </c>
      <c r="AK16" s="14">
        <v>1.2999999999999999E-2</v>
      </c>
      <c r="AL16" s="10" t="s">
        <v>294</v>
      </c>
      <c r="AM16" s="15">
        <v>0</v>
      </c>
    </row>
    <row r="17" spans="1:39" x14ac:dyDescent="0.2">
      <c r="A17" s="10">
        <v>57</v>
      </c>
      <c r="B17" s="34" t="s">
        <v>388</v>
      </c>
      <c r="C17" s="10">
        <v>2013</v>
      </c>
      <c r="D17" s="10">
        <v>37</v>
      </c>
      <c r="E17" s="10">
        <v>1</v>
      </c>
      <c r="F17" s="10" t="s">
        <v>345</v>
      </c>
      <c r="G17" s="10" t="s">
        <v>341</v>
      </c>
      <c r="H17" s="10" t="s">
        <v>330</v>
      </c>
      <c r="I17" s="10" t="s">
        <v>325</v>
      </c>
      <c r="J17" s="10" t="s">
        <v>253</v>
      </c>
      <c r="K17" s="10" t="s">
        <v>321</v>
      </c>
      <c r="L17" s="10" t="s">
        <v>322</v>
      </c>
      <c r="M17" s="10" t="s">
        <v>261</v>
      </c>
      <c r="N17" s="10" t="s">
        <v>266</v>
      </c>
      <c r="O17" s="10" t="s">
        <v>275</v>
      </c>
      <c r="P17" s="11" t="s">
        <v>270</v>
      </c>
      <c r="Q17" s="10">
        <v>2000</v>
      </c>
      <c r="R17" s="10">
        <v>178</v>
      </c>
      <c r="S17" s="12">
        <v>23.283418553688829</v>
      </c>
      <c r="T17" s="10">
        <v>10</v>
      </c>
      <c r="U17" s="10" t="s">
        <v>275</v>
      </c>
      <c r="V17" s="10" t="s">
        <v>300</v>
      </c>
      <c r="W17" s="10" t="s">
        <v>280</v>
      </c>
      <c r="X17" s="10" t="s">
        <v>283</v>
      </c>
      <c r="Y17" s="10">
        <v>2</v>
      </c>
      <c r="Z17" s="10">
        <v>1</v>
      </c>
      <c r="AA17" s="10">
        <v>1</v>
      </c>
      <c r="AB17" s="10">
        <v>1</v>
      </c>
      <c r="AC17" s="13">
        <f t="shared" si="0"/>
        <v>6.1531293806220342</v>
      </c>
      <c r="AD17" s="13">
        <f t="shared" si="7"/>
        <v>6.4604230710290951</v>
      </c>
      <c r="AE17" s="13">
        <f t="shared" si="5"/>
        <v>0.16251892949777494</v>
      </c>
      <c r="AF17" s="13">
        <f>1.96*SQRT((1/AG17)^2*AJ17)</f>
        <v>0.17063529411764705</v>
      </c>
      <c r="AG17" s="11">
        <v>0.85</v>
      </c>
      <c r="AH17" s="14">
        <v>0.66</v>
      </c>
      <c r="AI17" s="14">
        <v>0.95</v>
      </c>
      <c r="AJ17" s="24">
        <v>5.4759999999999991E-3</v>
      </c>
      <c r="AK17" s="14">
        <v>7.3999999999999996E-2</v>
      </c>
      <c r="AL17" s="10" t="s">
        <v>294</v>
      </c>
      <c r="AM17" s="15">
        <v>0</v>
      </c>
    </row>
    <row r="18" spans="1:39" x14ac:dyDescent="0.2">
      <c r="A18" s="10">
        <v>51</v>
      </c>
      <c r="B18" s="34" t="s">
        <v>389</v>
      </c>
      <c r="C18" s="10">
        <v>2005</v>
      </c>
      <c r="D18" s="10">
        <v>33</v>
      </c>
      <c r="E18" s="10">
        <v>21</v>
      </c>
      <c r="F18" s="10" t="s">
        <v>347</v>
      </c>
      <c r="G18" s="10" t="s">
        <v>341</v>
      </c>
      <c r="H18" s="10" t="s">
        <v>333</v>
      </c>
      <c r="I18" s="10" t="s">
        <v>320</v>
      </c>
      <c r="J18" s="10" t="s">
        <v>253</v>
      </c>
      <c r="K18" s="10" t="s">
        <v>321</v>
      </c>
      <c r="L18" s="10" t="s">
        <v>322</v>
      </c>
      <c r="M18" s="10" t="s">
        <v>264</v>
      </c>
      <c r="N18" s="10" t="s">
        <v>259</v>
      </c>
      <c r="O18" s="10" t="s">
        <v>268</v>
      </c>
      <c r="P18" s="11" t="s">
        <v>271</v>
      </c>
      <c r="Q18" s="10">
        <v>1995</v>
      </c>
      <c r="S18" s="12">
        <v>26.116071428571416</v>
      </c>
      <c r="T18" s="10">
        <v>8</v>
      </c>
      <c r="U18" s="10" t="s">
        <v>275</v>
      </c>
      <c r="V18" s="10" t="s">
        <v>300</v>
      </c>
      <c r="W18" s="10" t="s">
        <v>280</v>
      </c>
      <c r="X18" s="10" t="s">
        <v>301</v>
      </c>
      <c r="Y18" s="10">
        <v>2</v>
      </c>
      <c r="Z18" s="10">
        <v>1</v>
      </c>
      <c r="AA18" s="10">
        <v>1</v>
      </c>
      <c r="AB18" s="10">
        <v>1</v>
      </c>
      <c r="AC18" s="13">
        <f t="shared" si="0"/>
        <v>10.603253052640087</v>
      </c>
      <c r="AD18" s="13">
        <f t="shared" si="7"/>
        <v>13.560664097520606</v>
      </c>
      <c r="AE18" s="13">
        <f t="shared" si="5"/>
        <v>9.431067947124129E-2</v>
      </c>
      <c r="AF18" s="13">
        <f>1.96*SQRT((1/AG18)^2*AJ18)</f>
        <v>0.12061538461538461</v>
      </c>
      <c r="AG18" s="11">
        <v>0.91</v>
      </c>
      <c r="AH18" s="14">
        <v>0.75</v>
      </c>
      <c r="AI18" s="14">
        <v>0.97</v>
      </c>
      <c r="AJ18" s="24">
        <v>3.1360000000000003E-3</v>
      </c>
      <c r="AK18" s="14">
        <v>5.6000000000000001E-2</v>
      </c>
      <c r="AL18" s="10" t="s">
        <v>294</v>
      </c>
      <c r="AM18" s="15">
        <v>0</v>
      </c>
    </row>
    <row r="19" spans="1:39" x14ac:dyDescent="0.2">
      <c r="A19" s="10">
        <v>58</v>
      </c>
      <c r="B19" s="34" t="s">
        <v>390</v>
      </c>
      <c r="C19" s="10">
        <v>2014</v>
      </c>
      <c r="D19" s="10">
        <v>38</v>
      </c>
      <c r="E19" s="10">
        <v>24</v>
      </c>
      <c r="F19" s="10" t="s">
        <v>339</v>
      </c>
      <c r="G19" s="10" t="s">
        <v>341</v>
      </c>
      <c r="H19" s="10" t="s">
        <v>333</v>
      </c>
      <c r="I19" s="10" t="s">
        <v>323</v>
      </c>
      <c r="J19" s="10" t="s">
        <v>253</v>
      </c>
      <c r="K19" s="10" t="s">
        <v>321</v>
      </c>
      <c r="L19" s="10" t="s">
        <v>322</v>
      </c>
      <c r="M19" s="10" t="s">
        <v>256</v>
      </c>
      <c r="N19" s="10" t="s">
        <v>259</v>
      </c>
      <c r="O19" s="10" t="s">
        <v>268</v>
      </c>
      <c r="P19" s="11" t="s">
        <v>271</v>
      </c>
      <c r="Q19" s="10">
        <v>2001</v>
      </c>
      <c r="R19" s="10">
        <v>466</v>
      </c>
      <c r="S19" s="12">
        <v>679.86111111111097</v>
      </c>
      <c r="T19" s="10">
        <v>11</v>
      </c>
      <c r="U19" s="10" t="s">
        <v>275</v>
      </c>
      <c r="V19" s="10" t="s">
        <v>300</v>
      </c>
      <c r="W19" s="10" t="s">
        <v>280</v>
      </c>
      <c r="X19" s="10" t="s">
        <v>301</v>
      </c>
      <c r="Y19" s="10">
        <v>2</v>
      </c>
      <c r="Z19" s="10">
        <v>1</v>
      </c>
      <c r="AA19" s="10">
        <v>1</v>
      </c>
      <c r="AB19" s="10">
        <v>3</v>
      </c>
      <c r="AC19" s="13">
        <f t="shared" si="0"/>
        <v>8.5812001368223356</v>
      </c>
      <c r="AD19" s="13">
        <f t="shared" si="7"/>
        <v>1.9460024055488274</v>
      </c>
      <c r="AE19" s="13">
        <f t="shared" si="5"/>
        <v>0.11653381625595151</v>
      </c>
      <c r="AF19" s="13">
        <f t="shared" ref="AF19:AF31" si="8">1.96*SQRT((1/AG19)^2*AJ19)</f>
        <v>2.6426966292134833E-2</v>
      </c>
      <c r="AG19" s="11">
        <v>0.89</v>
      </c>
      <c r="AH19" s="14">
        <v>0.86</v>
      </c>
      <c r="AI19" s="14">
        <v>0.91</v>
      </c>
      <c r="AJ19" s="24">
        <v>1.44E-4</v>
      </c>
      <c r="AK19" s="14">
        <v>1.2E-2</v>
      </c>
      <c r="AL19" s="10" t="s">
        <v>293</v>
      </c>
      <c r="AM19" s="15">
        <v>0</v>
      </c>
    </row>
    <row r="20" spans="1:39" x14ac:dyDescent="0.2">
      <c r="A20" s="10">
        <v>54</v>
      </c>
      <c r="B20" s="34" t="s">
        <v>391</v>
      </c>
      <c r="C20" s="10" t="s">
        <v>392</v>
      </c>
      <c r="D20" s="10">
        <v>12</v>
      </c>
      <c r="E20" s="10">
        <v>12</v>
      </c>
      <c r="F20" s="10">
        <v>2012</v>
      </c>
      <c r="G20" s="10" t="s">
        <v>341</v>
      </c>
      <c r="H20" s="10" t="s">
        <v>334</v>
      </c>
      <c r="I20" s="10" t="s">
        <v>316</v>
      </c>
      <c r="J20" s="10" t="s">
        <v>253</v>
      </c>
      <c r="K20" s="10" t="s">
        <v>321</v>
      </c>
      <c r="L20" s="10" t="s">
        <v>322</v>
      </c>
      <c r="M20" s="10" t="s">
        <v>256</v>
      </c>
      <c r="N20" s="10" t="s">
        <v>257</v>
      </c>
      <c r="O20" s="10" t="s">
        <v>268</v>
      </c>
      <c r="P20" s="11" t="s">
        <v>270</v>
      </c>
      <c r="Q20" s="10">
        <v>1965</v>
      </c>
      <c r="R20" s="10"/>
      <c r="S20" s="12">
        <v>41.000000000000014</v>
      </c>
      <c r="T20" s="10">
        <v>44</v>
      </c>
      <c r="U20" s="10" t="s">
        <v>275</v>
      </c>
      <c r="V20" s="10" t="s">
        <v>277</v>
      </c>
      <c r="W20" s="10" t="s">
        <v>280</v>
      </c>
      <c r="X20" s="10" t="s">
        <v>301</v>
      </c>
      <c r="Y20" s="10">
        <v>1</v>
      </c>
      <c r="Z20" s="10">
        <v>1</v>
      </c>
      <c r="AA20" s="10">
        <v>1</v>
      </c>
      <c r="AB20" s="10">
        <v>3</v>
      </c>
      <c r="AC20" s="13">
        <f t="shared" si="0"/>
        <v>5.0390288220888015</v>
      </c>
      <c r="AD20" s="13">
        <f t="shared" si="7"/>
        <v>3.6415573522602185</v>
      </c>
      <c r="AE20" s="13">
        <f>-LN(AG20)</f>
        <v>0.19845093872383832</v>
      </c>
      <c r="AF20" s="13">
        <f t="shared" si="8"/>
        <v>0.14341463414634145</v>
      </c>
      <c r="AG20" s="11">
        <v>0.82</v>
      </c>
      <c r="AH20" s="14">
        <v>0.69</v>
      </c>
      <c r="AI20" s="14">
        <v>0.93</v>
      </c>
      <c r="AJ20" s="24">
        <v>3.5999999999999995E-3</v>
      </c>
      <c r="AK20" s="14">
        <v>0.06</v>
      </c>
      <c r="AL20" s="10" t="s">
        <v>317</v>
      </c>
      <c r="AM20" s="15">
        <v>0</v>
      </c>
    </row>
    <row r="21" spans="1:39" hidden="1" x14ac:dyDescent="0.2">
      <c r="A21" s="10">
        <v>59</v>
      </c>
      <c r="B21" s="10" t="s">
        <v>393</v>
      </c>
      <c r="C21" s="10">
        <v>2007</v>
      </c>
      <c r="D21" s="10">
        <v>39</v>
      </c>
      <c r="E21" s="10">
        <v>25</v>
      </c>
      <c r="F21" s="10" t="s">
        <v>348</v>
      </c>
      <c r="G21" s="10" t="s">
        <v>337</v>
      </c>
      <c r="H21" s="10" t="s">
        <v>335</v>
      </c>
      <c r="I21" s="10" t="s">
        <v>326</v>
      </c>
      <c r="J21" s="10" t="s">
        <v>253</v>
      </c>
      <c r="K21" s="10" t="s">
        <v>321</v>
      </c>
      <c r="L21" s="10" t="s">
        <v>322</v>
      </c>
      <c r="M21" s="10" t="s">
        <v>256</v>
      </c>
      <c r="N21" s="10" t="s">
        <v>266</v>
      </c>
      <c r="O21" s="10" t="s">
        <v>275</v>
      </c>
      <c r="P21" s="11" t="s">
        <v>270</v>
      </c>
      <c r="Q21" s="10">
        <v>1993</v>
      </c>
      <c r="R21" s="10">
        <v>1246</v>
      </c>
      <c r="S21" s="12">
        <v>1015.3846153846154</v>
      </c>
      <c r="T21" s="10">
        <v>11</v>
      </c>
      <c r="U21" s="10" t="s">
        <v>275</v>
      </c>
      <c r="V21" s="10" t="s">
        <v>300</v>
      </c>
      <c r="W21" s="10" t="s">
        <v>280</v>
      </c>
      <c r="X21" s="10" t="s">
        <v>282</v>
      </c>
      <c r="Y21" s="10">
        <v>2</v>
      </c>
      <c r="Z21" s="10">
        <v>1</v>
      </c>
      <c r="AA21" s="10">
        <v>1</v>
      </c>
      <c r="AB21" s="10">
        <v>3</v>
      </c>
      <c r="AC21" s="13">
        <f t="shared" si="0"/>
        <v>9.2673770259291608</v>
      </c>
      <c r="AD21" s="13">
        <f t="shared" ref="AD21:AD30" si="9">1.96*SQRT((1/(AG21*LOG(AG21)^2))^2*AJ21)</f>
        <v>2.8055530467301741</v>
      </c>
      <c r="AE21" s="13">
        <f t="shared" si="4"/>
        <v>0.10790539730951958</v>
      </c>
      <c r="AF21" s="13">
        <f t="shared" si="8"/>
        <v>3.2666666666666663E-2</v>
      </c>
      <c r="AG21" s="11">
        <v>0.78</v>
      </c>
      <c r="AH21" s="14">
        <v>0.75</v>
      </c>
      <c r="AI21" s="14">
        <v>0.8</v>
      </c>
      <c r="AJ21" s="24">
        <v>1.6899999999999999E-4</v>
      </c>
      <c r="AK21" s="14">
        <v>1.2999999999999999E-2</v>
      </c>
      <c r="AL21" s="10" t="s">
        <v>294</v>
      </c>
      <c r="AM21" s="15">
        <v>0</v>
      </c>
    </row>
    <row r="22" spans="1:39" x14ac:dyDescent="0.2">
      <c r="A22" s="10">
        <v>1</v>
      </c>
      <c r="B22" s="34" t="s">
        <v>394</v>
      </c>
      <c r="C22" s="10">
        <v>2013</v>
      </c>
      <c r="D22" s="10">
        <v>1</v>
      </c>
      <c r="E22" s="10">
        <v>1</v>
      </c>
      <c r="F22" s="10" t="s">
        <v>345</v>
      </c>
      <c r="G22" s="10" t="s">
        <v>341</v>
      </c>
      <c r="H22" s="10" t="s">
        <v>333</v>
      </c>
      <c r="I22" s="10" t="s">
        <v>311</v>
      </c>
      <c r="J22" s="10" t="s">
        <v>253</v>
      </c>
      <c r="K22" s="10" t="s">
        <v>310</v>
      </c>
      <c r="L22" s="10" t="s">
        <v>307</v>
      </c>
      <c r="M22" s="10" t="s">
        <v>261</v>
      </c>
      <c r="N22" s="10" t="s">
        <v>266</v>
      </c>
      <c r="O22" s="10" t="s">
        <v>268</v>
      </c>
      <c r="P22" s="11" t="s">
        <v>271</v>
      </c>
      <c r="Q22" s="10">
        <v>1973</v>
      </c>
      <c r="R22" s="10">
        <v>1164</v>
      </c>
      <c r="S22" s="12">
        <v>669.23076923076928</v>
      </c>
      <c r="T22" s="10">
        <v>39</v>
      </c>
      <c r="U22" s="10" t="s">
        <v>275</v>
      </c>
      <c r="V22" s="10" t="s">
        <v>278</v>
      </c>
      <c r="W22" s="10" t="s">
        <v>280</v>
      </c>
      <c r="X22" s="10" t="s">
        <v>283</v>
      </c>
      <c r="Y22" s="10">
        <v>2</v>
      </c>
      <c r="Z22" s="10">
        <v>1</v>
      </c>
      <c r="AA22" s="10">
        <v>1</v>
      </c>
      <c r="AB22" s="10">
        <v>1</v>
      </c>
      <c r="AC22" s="13">
        <f t="shared" si="0"/>
        <v>7.1807062694623047</v>
      </c>
      <c r="AD22" s="13">
        <f t="shared" ref="AD22:AD24" si="10">1.96*SQRT((1/(AG22*LN(AG22)^2))^2*AJ22)</f>
        <v>1.510130555886164</v>
      </c>
      <c r="AE22" s="13">
        <f>-LN(AG22)</f>
        <v>0.13926206733350766</v>
      </c>
      <c r="AF22" s="13">
        <f t="shared" si="8"/>
        <v>2.9287356321839077E-2</v>
      </c>
      <c r="AG22" s="11">
        <v>0.87</v>
      </c>
      <c r="AH22" s="14">
        <v>0.85</v>
      </c>
      <c r="AI22" s="14">
        <v>0.9</v>
      </c>
      <c r="AJ22" s="24">
        <v>1.6899999999999999E-4</v>
      </c>
      <c r="AK22" s="14">
        <v>1.2999999999999999E-2</v>
      </c>
      <c r="AL22" s="10" t="s">
        <v>293</v>
      </c>
      <c r="AM22" s="15">
        <v>0</v>
      </c>
    </row>
    <row r="23" spans="1:39" x14ac:dyDescent="0.2">
      <c r="A23" s="10">
        <v>13</v>
      </c>
      <c r="B23" s="34" t="s">
        <v>395</v>
      </c>
      <c r="C23" s="10">
        <v>2014</v>
      </c>
      <c r="D23" s="10">
        <v>9</v>
      </c>
      <c r="E23" s="10">
        <v>9</v>
      </c>
      <c r="F23" s="10" t="s">
        <v>339</v>
      </c>
      <c r="G23" s="10" t="s">
        <v>341</v>
      </c>
      <c r="H23" s="10" t="s">
        <v>333</v>
      </c>
      <c r="I23" s="10" t="s">
        <v>312</v>
      </c>
      <c r="J23" s="10" t="s">
        <v>253</v>
      </c>
      <c r="K23" s="10" t="s">
        <v>310</v>
      </c>
      <c r="L23" s="10" t="s">
        <v>307</v>
      </c>
      <c r="M23" s="10" t="s">
        <v>256</v>
      </c>
      <c r="N23" s="10" t="s">
        <v>266</v>
      </c>
      <c r="O23" s="10" t="s">
        <v>268</v>
      </c>
      <c r="P23" s="11" t="s">
        <v>271</v>
      </c>
      <c r="Q23" s="10">
        <v>1998</v>
      </c>
      <c r="R23" s="10">
        <v>433</v>
      </c>
      <c r="S23" s="12">
        <v>56.899810964083187</v>
      </c>
      <c r="T23" s="10">
        <v>14</v>
      </c>
      <c r="U23" s="10" t="s">
        <v>275</v>
      </c>
      <c r="V23" s="10" t="s">
        <v>300</v>
      </c>
      <c r="W23" s="10" t="s">
        <v>280</v>
      </c>
      <c r="X23" s="10" t="s">
        <v>301</v>
      </c>
      <c r="Y23" s="10">
        <v>2</v>
      </c>
      <c r="Z23" s="10">
        <v>1</v>
      </c>
      <c r="AA23" s="10">
        <v>1</v>
      </c>
      <c r="AB23" s="10">
        <v>3</v>
      </c>
      <c r="AC23" s="13">
        <f t="shared" si="0"/>
        <v>6.6302933312031627</v>
      </c>
      <c r="AD23" s="13">
        <f t="shared" si="10"/>
        <v>4.6087265064499876</v>
      </c>
      <c r="AE23" s="13">
        <f t="shared" ref="AE23:AE24" si="11">-LN(AG23)</f>
        <v>0.15082288973458366</v>
      </c>
      <c r="AF23" s="13">
        <f t="shared" si="8"/>
        <v>0.10483720930232558</v>
      </c>
      <c r="AG23" s="11">
        <v>0.86</v>
      </c>
      <c r="AH23" s="14">
        <v>0.75</v>
      </c>
      <c r="AI23" s="14">
        <v>0.93</v>
      </c>
      <c r="AJ23" s="24">
        <v>2.1159999999999998E-3</v>
      </c>
      <c r="AK23" s="14">
        <v>4.5999999999999999E-2</v>
      </c>
      <c r="AL23" s="10" t="s">
        <v>294</v>
      </c>
      <c r="AM23" s="15">
        <v>0</v>
      </c>
    </row>
    <row r="24" spans="1:39" x14ac:dyDescent="0.2">
      <c r="A24" s="10">
        <v>11</v>
      </c>
      <c r="B24" s="34" t="s">
        <v>396</v>
      </c>
      <c r="C24" s="10">
        <v>2011</v>
      </c>
      <c r="D24" s="10">
        <v>7</v>
      </c>
      <c r="E24" s="10">
        <v>7</v>
      </c>
      <c r="F24" s="10" t="s">
        <v>346</v>
      </c>
      <c r="G24" s="10" t="s">
        <v>341</v>
      </c>
      <c r="H24" s="10" t="s">
        <v>333</v>
      </c>
      <c r="I24" s="10" t="s">
        <v>313</v>
      </c>
      <c r="J24" s="10" t="s">
        <v>253</v>
      </c>
      <c r="K24" s="10" t="s">
        <v>310</v>
      </c>
      <c r="L24" s="10" t="s">
        <v>307</v>
      </c>
      <c r="M24" s="10" t="s">
        <v>261</v>
      </c>
      <c r="N24" s="10" t="s">
        <v>266</v>
      </c>
      <c r="O24" s="10" t="s">
        <v>268</v>
      </c>
      <c r="P24" s="11" t="s">
        <v>271</v>
      </c>
      <c r="Q24" s="10">
        <v>1991</v>
      </c>
      <c r="R24" s="10">
        <v>415</v>
      </c>
      <c r="S24" s="12">
        <v>88.29639889196676</v>
      </c>
      <c r="T24" s="10">
        <v>16</v>
      </c>
      <c r="U24" s="10" t="s">
        <v>275</v>
      </c>
      <c r="V24" s="10" t="s">
        <v>299</v>
      </c>
      <c r="W24" s="10" t="s">
        <v>280</v>
      </c>
      <c r="X24" s="10" t="s">
        <v>314</v>
      </c>
      <c r="Y24" s="10">
        <v>2</v>
      </c>
      <c r="Z24" s="10">
        <v>1</v>
      </c>
      <c r="AA24" s="10">
        <v>1</v>
      </c>
      <c r="AB24" s="10">
        <v>1</v>
      </c>
      <c r="AC24" s="13">
        <f t="shared" si="0"/>
        <v>6.1531293806220342</v>
      </c>
      <c r="AD24" s="13">
        <f t="shared" si="10"/>
        <v>3.317514549987914</v>
      </c>
      <c r="AE24" s="13">
        <f t="shared" si="11"/>
        <v>0.16251892949777494</v>
      </c>
      <c r="AF24" s="13">
        <f t="shared" si="8"/>
        <v>8.7623529411764711E-2</v>
      </c>
      <c r="AG24" s="11">
        <v>0.85</v>
      </c>
      <c r="AH24" s="14">
        <v>0.78</v>
      </c>
      <c r="AI24" s="14">
        <v>0.93</v>
      </c>
      <c r="AJ24" s="24">
        <v>1.444E-3</v>
      </c>
      <c r="AK24" s="14">
        <v>3.7999999999999999E-2</v>
      </c>
      <c r="AL24" s="10" t="s">
        <v>294</v>
      </c>
      <c r="AM24" s="15">
        <v>0</v>
      </c>
    </row>
    <row r="25" spans="1:39" hidden="1" x14ac:dyDescent="0.2">
      <c r="A25" s="10">
        <v>12</v>
      </c>
      <c r="B25" s="10" t="s">
        <v>397</v>
      </c>
      <c r="C25" s="10">
        <v>2014</v>
      </c>
      <c r="D25" s="10">
        <v>8</v>
      </c>
      <c r="E25" s="10">
        <v>8</v>
      </c>
      <c r="F25" s="10" t="s">
        <v>339</v>
      </c>
      <c r="G25" s="10" t="s">
        <v>341</v>
      </c>
      <c r="H25" s="10" t="s">
        <v>333</v>
      </c>
      <c r="I25" s="10" t="s">
        <v>318</v>
      </c>
      <c r="J25" s="10" t="s">
        <v>253</v>
      </c>
      <c r="K25" s="10" t="s">
        <v>310</v>
      </c>
      <c r="L25" s="10" t="s">
        <v>307</v>
      </c>
      <c r="M25" s="10" t="s">
        <v>264</v>
      </c>
      <c r="N25" s="10" t="s">
        <v>266</v>
      </c>
      <c r="O25" s="10" t="s">
        <v>268</v>
      </c>
      <c r="P25" s="11" t="s">
        <v>271</v>
      </c>
      <c r="Q25" s="10">
        <v>1990</v>
      </c>
      <c r="R25" s="10">
        <v>814</v>
      </c>
      <c r="S25" s="12">
        <v>608.33333333333337</v>
      </c>
      <c r="T25" s="10">
        <v>20</v>
      </c>
      <c r="U25" s="10" t="s">
        <v>275</v>
      </c>
      <c r="V25" s="10" t="s">
        <v>299</v>
      </c>
      <c r="W25" s="10" t="s">
        <v>280</v>
      </c>
      <c r="X25" s="10" t="s">
        <v>301</v>
      </c>
      <c r="Y25" s="10">
        <v>2</v>
      </c>
      <c r="Z25" s="10">
        <v>1</v>
      </c>
      <c r="AA25" s="10">
        <v>1</v>
      </c>
      <c r="AB25" s="10">
        <v>3</v>
      </c>
      <c r="AC25" s="13">
        <f t="shared" si="0"/>
        <v>7.316512482492076</v>
      </c>
      <c r="AD25" s="13">
        <f t="shared" si="9"/>
        <v>2.5871043850684825</v>
      </c>
      <c r="AE25" s="13">
        <f t="shared" si="4"/>
        <v>0.13667713987954411</v>
      </c>
      <c r="AF25" s="13">
        <f t="shared" si="8"/>
        <v>4.8328767123287666E-2</v>
      </c>
      <c r="AG25" s="11">
        <v>0.73</v>
      </c>
      <c r="AH25" s="14">
        <v>0.69</v>
      </c>
      <c r="AI25" s="14">
        <v>0.76</v>
      </c>
      <c r="AJ25" s="24">
        <v>3.2399999999999996E-4</v>
      </c>
      <c r="AK25" s="14">
        <v>1.7999999999999999E-2</v>
      </c>
      <c r="AL25" s="10" t="s">
        <v>294</v>
      </c>
      <c r="AM25" s="15">
        <v>0</v>
      </c>
    </row>
    <row r="26" spans="1:39" hidden="1" x14ac:dyDescent="0.2">
      <c r="A26" s="10" t="s">
        <v>344</v>
      </c>
      <c r="B26" s="10" t="s">
        <v>398</v>
      </c>
      <c r="C26" s="10" t="s">
        <v>399</v>
      </c>
      <c r="D26" s="10"/>
      <c r="E26" s="10">
        <v>10</v>
      </c>
      <c r="F26" s="10">
        <v>2011</v>
      </c>
      <c r="G26" s="10" t="s">
        <v>341</v>
      </c>
      <c r="H26" s="10" t="s">
        <v>333</v>
      </c>
      <c r="I26" s="10" t="s">
        <v>354</v>
      </c>
      <c r="J26" s="10" t="s">
        <v>253</v>
      </c>
      <c r="K26" s="10" t="s">
        <v>310</v>
      </c>
      <c r="L26" s="10" t="s">
        <v>307</v>
      </c>
      <c r="M26" s="10" t="s">
        <v>264</v>
      </c>
      <c r="N26" s="10" t="s">
        <v>266</v>
      </c>
      <c r="O26" s="10" t="s">
        <v>268</v>
      </c>
      <c r="P26" s="11" t="s">
        <v>271</v>
      </c>
      <c r="Q26" s="10">
        <v>2009</v>
      </c>
      <c r="R26" s="10">
        <v>30</v>
      </c>
      <c r="S26" s="12">
        <v>25.507492826017639</v>
      </c>
      <c r="T26" s="10">
        <v>1</v>
      </c>
      <c r="U26" s="10" t="s">
        <v>268</v>
      </c>
      <c r="V26" s="10" t="s">
        <v>400</v>
      </c>
      <c r="W26" s="10" t="s">
        <v>280</v>
      </c>
      <c r="X26" s="10" t="s">
        <v>401</v>
      </c>
      <c r="Y26" s="10">
        <v>1</v>
      </c>
      <c r="Z26" s="10">
        <v>1</v>
      </c>
      <c r="AA26" s="10">
        <v>1</v>
      </c>
      <c r="AB26" s="10">
        <v>2</v>
      </c>
      <c r="AC26" s="13">
        <f t="shared" si="0"/>
        <v>4.5075755519438472</v>
      </c>
      <c r="AD26" s="13">
        <f t="shared" si="9"/>
        <v>6.4381721436905588</v>
      </c>
      <c r="AE26" s="13">
        <f t="shared" si="4"/>
        <v>0.22184874961635639</v>
      </c>
      <c r="AF26" s="13">
        <f t="shared" si="8"/>
        <v>0.31686666666666669</v>
      </c>
      <c r="AG26" s="11">
        <v>0.6</v>
      </c>
      <c r="AH26" s="14">
        <v>0.4</v>
      </c>
      <c r="AI26" s="14">
        <v>0.78</v>
      </c>
      <c r="AJ26" s="24">
        <v>9.4090000000000007E-3</v>
      </c>
      <c r="AK26" s="14">
        <v>9.7000000000000003E-2</v>
      </c>
      <c r="AL26" s="10" t="s">
        <v>294</v>
      </c>
      <c r="AM26" s="15">
        <v>2</v>
      </c>
    </row>
    <row r="27" spans="1:39" hidden="1" x14ac:dyDescent="0.2">
      <c r="A27" s="10" t="s">
        <v>344</v>
      </c>
      <c r="B27" s="10" t="s">
        <v>398</v>
      </c>
      <c r="C27" s="10" t="s">
        <v>402</v>
      </c>
      <c r="D27" s="10"/>
      <c r="E27" s="10">
        <v>10</v>
      </c>
      <c r="F27" s="10">
        <v>2011</v>
      </c>
      <c r="G27" s="10" t="s">
        <v>341</v>
      </c>
      <c r="H27" s="10" t="s">
        <v>333</v>
      </c>
      <c r="I27" s="10" t="s">
        <v>354</v>
      </c>
      <c r="J27" s="10" t="s">
        <v>253</v>
      </c>
      <c r="K27" s="10" t="s">
        <v>310</v>
      </c>
      <c r="L27" s="10" t="s">
        <v>307</v>
      </c>
      <c r="M27" s="10" t="s">
        <v>264</v>
      </c>
      <c r="N27" s="10" t="s">
        <v>266</v>
      </c>
      <c r="O27" s="10" t="s">
        <v>268</v>
      </c>
      <c r="P27" s="11" t="s">
        <v>271</v>
      </c>
      <c r="Q27" s="10">
        <v>2009</v>
      </c>
      <c r="R27" s="10">
        <v>30</v>
      </c>
      <c r="S27" s="12">
        <v>18.291115311909266</v>
      </c>
      <c r="T27" s="10">
        <v>1</v>
      </c>
      <c r="U27" s="10" t="s">
        <v>268</v>
      </c>
      <c r="V27" s="10" t="s">
        <v>400</v>
      </c>
      <c r="W27" s="10" t="s">
        <v>280</v>
      </c>
      <c r="X27" s="10" t="s">
        <v>401</v>
      </c>
      <c r="Y27" s="10">
        <v>1</v>
      </c>
      <c r="Z27" s="10">
        <v>1</v>
      </c>
      <c r="AA27" s="10">
        <v>1</v>
      </c>
      <c r="AB27" s="10">
        <v>2</v>
      </c>
      <c r="AC27" s="13">
        <f t="shared" si="0"/>
        <v>2.5825369560488762</v>
      </c>
      <c r="AD27" s="13">
        <f t="shared" si="9"/>
        <v>3.6665967145300913</v>
      </c>
      <c r="AE27" s="13">
        <f t="shared" si="4"/>
        <v>0.38721614328026455</v>
      </c>
      <c r="AF27" s="13">
        <f t="shared" si="8"/>
        <v>0.54975609756097554</v>
      </c>
      <c r="AG27" s="11">
        <v>0.41</v>
      </c>
      <c r="AH27" s="14">
        <v>0.2</v>
      </c>
      <c r="AI27" s="14">
        <v>0.65</v>
      </c>
      <c r="AJ27" s="24">
        <v>1.3224999999999999E-2</v>
      </c>
      <c r="AK27" s="14">
        <v>0.115</v>
      </c>
      <c r="AL27" s="10" t="s">
        <v>294</v>
      </c>
      <c r="AM27" s="15">
        <v>2</v>
      </c>
    </row>
    <row r="28" spans="1:39" x14ac:dyDescent="0.2">
      <c r="A28" s="10">
        <v>4</v>
      </c>
      <c r="B28" s="34" t="s">
        <v>403</v>
      </c>
      <c r="C28" s="10" t="s">
        <v>404</v>
      </c>
      <c r="D28" s="10">
        <v>2</v>
      </c>
      <c r="E28" s="10">
        <v>2</v>
      </c>
      <c r="F28" s="10">
        <v>2009</v>
      </c>
      <c r="G28" s="10" t="s">
        <v>337</v>
      </c>
      <c r="H28" s="10" t="s">
        <v>333</v>
      </c>
      <c r="I28" s="10" t="s">
        <v>315</v>
      </c>
      <c r="J28" s="10" t="s">
        <v>253</v>
      </c>
      <c r="K28" s="10" t="s">
        <v>310</v>
      </c>
      <c r="L28" s="10" t="s">
        <v>307</v>
      </c>
      <c r="M28" s="10" t="s">
        <v>256</v>
      </c>
      <c r="N28" s="10" t="s">
        <v>266</v>
      </c>
      <c r="O28" s="10" t="s">
        <v>268</v>
      </c>
      <c r="P28" s="11" t="s">
        <v>271</v>
      </c>
      <c r="Q28" s="10">
        <v>1996</v>
      </c>
      <c r="R28" s="10"/>
      <c r="S28" s="12">
        <v>393.51851851851859</v>
      </c>
      <c r="T28" s="10">
        <v>11</v>
      </c>
      <c r="U28" s="10" t="s">
        <v>275</v>
      </c>
      <c r="V28" s="10" t="s">
        <v>299</v>
      </c>
      <c r="W28" s="10" t="s">
        <v>280</v>
      </c>
      <c r="X28" s="10" t="s">
        <v>314</v>
      </c>
      <c r="Y28" s="10">
        <v>3</v>
      </c>
      <c r="Z28" s="10">
        <v>1</v>
      </c>
      <c r="AA28" s="10">
        <v>1</v>
      </c>
      <c r="AB28" s="10">
        <v>1</v>
      </c>
      <c r="AC28" s="13">
        <f t="shared" si="0"/>
        <v>6.1531293806220342</v>
      </c>
      <c r="AD28" s="13">
        <f t="shared" ref="AD28:AD29" si="12">1.96*SQRT((1/(AG28*LN(AG28)^2))^2*AJ28)</f>
        <v>1.5714542605205908</v>
      </c>
      <c r="AE28" s="13">
        <f t="shared" ref="AE28:AE29" si="13">-LN(AG28)</f>
        <v>0.16251892949777494</v>
      </c>
      <c r="AF28" s="13">
        <f t="shared" si="8"/>
        <v>4.1505882352941177E-2</v>
      </c>
      <c r="AG28" s="11">
        <v>0.85</v>
      </c>
      <c r="AH28" s="14">
        <v>0.81</v>
      </c>
      <c r="AI28" s="14">
        <v>0.88</v>
      </c>
      <c r="AJ28" s="24">
        <v>3.2399999999999996E-4</v>
      </c>
      <c r="AK28" s="14">
        <v>1.7999999999999999E-2</v>
      </c>
      <c r="AL28" s="10" t="s">
        <v>294</v>
      </c>
      <c r="AM28" s="15">
        <v>0</v>
      </c>
    </row>
    <row r="29" spans="1:39" x14ac:dyDescent="0.2">
      <c r="A29" s="10">
        <v>2</v>
      </c>
      <c r="B29" s="34" t="s">
        <v>403</v>
      </c>
      <c r="C29" s="10" t="s">
        <v>405</v>
      </c>
      <c r="D29" s="10">
        <v>2</v>
      </c>
      <c r="E29" s="10">
        <v>2</v>
      </c>
      <c r="F29" s="10">
        <v>2009</v>
      </c>
      <c r="G29" s="10" t="s">
        <v>337</v>
      </c>
      <c r="H29" s="10" t="s">
        <v>333</v>
      </c>
      <c r="I29" s="10" t="s">
        <v>311</v>
      </c>
      <c r="J29" s="10" t="s">
        <v>253</v>
      </c>
      <c r="K29" s="10" t="s">
        <v>310</v>
      </c>
      <c r="L29" s="10" t="s">
        <v>307</v>
      </c>
      <c r="M29" s="10" t="s">
        <v>261</v>
      </c>
      <c r="N29" s="10" t="s">
        <v>266</v>
      </c>
      <c r="O29" s="10" t="s">
        <v>268</v>
      </c>
      <c r="P29" s="11" t="s">
        <v>271</v>
      </c>
      <c r="Q29" s="10">
        <v>1973</v>
      </c>
      <c r="R29" s="10"/>
      <c r="S29" s="12">
        <v>474.99999999999989</v>
      </c>
      <c r="T29" s="10">
        <v>34</v>
      </c>
      <c r="U29" s="10" t="s">
        <v>275</v>
      </c>
      <c r="V29" s="10" t="s">
        <v>278</v>
      </c>
      <c r="W29" s="10" t="s">
        <v>280</v>
      </c>
      <c r="X29" s="10" t="s">
        <v>314</v>
      </c>
      <c r="Y29" s="10">
        <v>2</v>
      </c>
      <c r="Z29" s="10">
        <v>1</v>
      </c>
      <c r="AA29" s="10">
        <v>1</v>
      </c>
      <c r="AB29" s="10">
        <v>1</v>
      </c>
      <c r="AC29" s="13">
        <f t="shared" si="0"/>
        <v>4.7456107905149532</v>
      </c>
      <c r="AD29" s="13">
        <f t="shared" si="12"/>
        <v>0.98090690398004055</v>
      </c>
      <c r="AE29" s="13">
        <f t="shared" si="13"/>
        <v>0.21072103131565253</v>
      </c>
      <c r="AF29" s="13">
        <f t="shared" si="8"/>
        <v>4.3555555555555549E-2</v>
      </c>
      <c r="AG29" s="11">
        <v>0.81</v>
      </c>
      <c r="AH29" s="14">
        <v>0.77</v>
      </c>
      <c r="AI29" s="14">
        <v>0.84</v>
      </c>
      <c r="AJ29" s="24">
        <v>3.2399999999999996E-4</v>
      </c>
      <c r="AK29" s="14">
        <v>1.7999999999999999E-2</v>
      </c>
      <c r="AL29" s="10" t="s">
        <v>294</v>
      </c>
      <c r="AM29" s="15">
        <v>0</v>
      </c>
    </row>
    <row r="30" spans="1:39" hidden="1" x14ac:dyDescent="0.2">
      <c r="A30" s="10">
        <v>3</v>
      </c>
      <c r="B30" s="10" t="s">
        <v>403</v>
      </c>
      <c r="C30" s="10" t="s">
        <v>406</v>
      </c>
      <c r="D30" s="10">
        <v>2</v>
      </c>
      <c r="E30" s="10">
        <v>2</v>
      </c>
      <c r="F30" s="10">
        <v>2009</v>
      </c>
      <c r="G30" s="10" t="s">
        <v>337</v>
      </c>
      <c r="H30" s="10" t="s">
        <v>333</v>
      </c>
      <c r="I30" s="10" t="s">
        <v>319</v>
      </c>
      <c r="J30" s="10" t="s">
        <v>253</v>
      </c>
      <c r="K30" s="10" t="s">
        <v>310</v>
      </c>
      <c r="L30" s="10" t="s">
        <v>307</v>
      </c>
      <c r="M30" s="10" t="s">
        <v>264</v>
      </c>
      <c r="N30" s="10" t="s">
        <v>266</v>
      </c>
      <c r="O30" s="10" t="s">
        <v>268</v>
      </c>
      <c r="P30" s="11" t="s">
        <v>271</v>
      </c>
      <c r="Q30" s="10">
        <v>1982</v>
      </c>
      <c r="R30" s="10"/>
      <c r="S30" s="12">
        <v>1166.2721893491125</v>
      </c>
      <c r="T30" s="10">
        <v>26</v>
      </c>
      <c r="U30" s="10" t="s">
        <v>275</v>
      </c>
      <c r="V30" s="10" t="s">
        <v>299</v>
      </c>
      <c r="W30" s="10" t="s">
        <v>280</v>
      </c>
      <c r="X30" s="10" t="s">
        <v>314</v>
      </c>
      <c r="Y30" s="10">
        <v>3</v>
      </c>
      <c r="Z30" s="10">
        <v>1</v>
      </c>
      <c r="AA30" s="10">
        <v>1</v>
      </c>
      <c r="AB30" s="10">
        <v>1</v>
      </c>
      <c r="AC30" s="13">
        <f t="shared" si="0"/>
        <v>7.316512482492076</v>
      </c>
      <c r="AD30" s="13">
        <f t="shared" si="9"/>
        <v>1.8684642781050149</v>
      </c>
      <c r="AE30" s="13">
        <f t="shared" si="4"/>
        <v>0.13667713987954411</v>
      </c>
      <c r="AF30" s="13">
        <f t="shared" si="8"/>
        <v>3.4904109589041096E-2</v>
      </c>
      <c r="AG30" s="11">
        <v>0.73</v>
      </c>
      <c r="AH30" s="14">
        <v>0.71</v>
      </c>
      <c r="AI30" s="14">
        <v>0.76</v>
      </c>
      <c r="AJ30" s="24">
        <v>1.6899999999999999E-4</v>
      </c>
      <c r="AK30" s="14">
        <v>1.2999999999999999E-2</v>
      </c>
      <c r="AL30" s="10" t="s">
        <v>294</v>
      </c>
      <c r="AM30" s="15">
        <v>0</v>
      </c>
    </row>
    <row r="31" spans="1:39" x14ac:dyDescent="0.2">
      <c r="A31" s="10">
        <v>17</v>
      </c>
      <c r="B31" s="34" t="s">
        <v>391</v>
      </c>
      <c r="C31" s="10" t="s">
        <v>407</v>
      </c>
      <c r="D31" s="10">
        <v>12</v>
      </c>
      <c r="E31" s="10">
        <v>12</v>
      </c>
      <c r="F31" s="10">
        <v>2012</v>
      </c>
      <c r="G31" s="10" t="s">
        <v>341</v>
      </c>
      <c r="H31" s="10" t="s">
        <v>334</v>
      </c>
      <c r="I31" s="10" t="s">
        <v>316</v>
      </c>
      <c r="J31" s="10" t="s">
        <v>253</v>
      </c>
      <c r="K31" s="10" t="s">
        <v>310</v>
      </c>
      <c r="L31" s="10" t="s">
        <v>307</v>
      </c>
      <c r="M31" s="10" t="s">
        <v>256</v>
      </c>
      <c r="N31" s="10" t="s">
        <v>259</v>
      </c>
      <c r="O31" s="10" t="s">
        <v>268</v>
      </c>
      <c r="P31" s="11" t="s">
        <v>271</v>
      </c>
      <c r="Q31" s="10">
        <v>1965</v>
      </c>
      <c r="R31" s="10"/>
      <c r="S31" s="12">
        <v>63.999999999999979</v>
      </c>
      <c r="T31" s="10">
        <v>44</v>
      </c>
      <c r="U31" s="10" t="s">
        <v>275</v>
      </c>
      <c r="V31" s="10" t="s">
        <v>277</v>
      </c>
      <c r="W31" s="10" t="s">
        <v>280</v>
      </c>
      <c r="X31" s="10" t="s">
        <v>301</v>
      </c>
      <c r="Y31" s="10">
        <v>1</v>
      </c>
      <c r="Z31" s="10">
        <v>1</v>
      </c>
      <c r="AA31" s="10">
        <v>1</v>
      </c>
      <c r="AB31" s="10">
        <v>3</v>
      </c>
      <c r="AC31" s="13">
        <f t="shared" si="0"/>
        <v>4.481420117724551</v>
      </c>
      <c r="AD31" s="13">
        <f>1.96*SQRT((1/(AG31*LN(AG31)^2))^2*AJ31)</f>
        <v>2.4601829682644252</v>
      </c>
      <c r="AE31" s="13">
        <f>-LN(AG31)</f>
        <v>0.22314355131420971</v>
      </c>
      <c r="AF31" s="13">
        <f t="shared" si="8"/>
        <v>0.1225</v>
      </c>
      <c r="AG31" s="11">
        <v>0.8</v>
      </c>
      <c r="AH31" s="14">
        <v>0.68</v>
      </c>
      <c r="AI31" s="14">
        <v>0.88</v>
      </c>
      <c r="AJ31" s="24">
        <v>2.5000000000000005E-3</v>
      </c>
      <c r="AK31" s="14">
        <v>0.05</v>
      </c>
      <c r="AL31" s="10" t="s">
        <v>317</v>
      </c>
      <c r="AM31" s="15">
        <v>0</v>
      </c>
    </row>
  </sheetData>
  <autoFilter ref="A1:AM31" xr:uid="{79BF4CE1-9D85-3F4A-83A6-3574F23D7E87}">
    <filterColumn colId="1">
      <colorFilter dxfId="8"/>
    </filterColumn>
    <filterColumn colId="32">
      <customFilters>
        <customFilter operator="greaterThanOrEqual" val="0.8"/>
      </customFilters>
    </filterColumn>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C5F3-C30D-9A4A-BA3C-E39F015D6609}">
  <dimension ref="A1:E253"/>
  <sheetViews>
    <sheetView zoomScale="93" zoomScaleNormal="93" workbookViewId="0">
      <selection activeCell="C246" sqref="C246"/>
    </sheetView>
  </sheetViews>
  <sheetFormatPr baseColWidth="10" defaultRowHeight="16" x14ac:dyDescent="0.2"/>
  <cols>
    <col min="1" max="1" width="8.6640625" style="3" bestFit="1" customWidth="1"/>
    <col min="2" max="2" width="27" style="3" bestFit="1" customWidth="1"/>
    <col min="3" max="3" width="24.33203125" style="3" bestFit="1" customWidth="1"/>
    <col min="4" max="4" width="119.1640625" style="4" customWidth="1"/>
    <col min="5" max="5" width="97.33203125" style="3" bestFit="1" customWidth="1"/>
    <col min="6" max="16384" width="10.83203125" style="3"/>
  </cols>
  <sheetData>
    <row r="1" spans="1:5" ht="17" x14ac:dyDescent="0.2">
      <c r="A1" s="3" t="s">
        <v>101</v>
      </c>
      <c r="B1" s="3" t="s">
        <v>80</v>
      </c>
      <c r="C1" s="3" t="s">
        <v>81</v>
      </c>
      <c r="D1" s="4" t="s">
        <v>85</v>
      </c>
      <c r="E1" s="3" t="s">
        <v>86</v>
      </c>
    </row>
    <row r="2" spans="1:5" ht="17" x14ac:dyDescent="0.2">
      <c r="A2" s="3">
        <v>1</v>
      </c>
      <c r="B2" s="3" t="s">
        <v>14</v>
      </c>
      <c r="C2" s="3" t="s">
        <v>82</v>
      </c>
      <c r="D2" s="4" t="s">
        <v>93</v>
      </c>
    </row>
    <row r="3" spans="1:5" ht="17" x14ac:dyDescent="0.2">
      <c r="A3" s="3">
        <v>1</v>
      </c>
      <c r="B3" s="3" t="s">
        <v>14</v>
      </c>
      <c r="C3" s="3" t="s">
        <v>83</v>
      </c>
      <c r="D3" s="4" t="s">
        <v>96</v>
      </c>
    </row>
    <row r="4" spans="1:5" ht="17" x14ac:dyDescent="0.2">
      <c r="A4" s="3">
        <v>1</v>
      </c>
      <c r="B4" s="3" t="s">
        <v>14</v>
      </c>
      <c r="C4" s="3" t="s">
        <v>102</v>
      </c>
      <c r="D4" s="4" t="s">
        <v>103</v>
      </c>
    </row>
    <row r="5" spans="1:5" ht="17" x14ac:dyDescent="0.2">
      <c r="A5" s="3">
        <v>1</v>
      </c>
      <c r="B5" s="3" t="s">
        <v>14</v>
      </c>
      <c r="C5" s="3" t="s">
        <v>84</v>
      </c>
      <c r="D5" s="4" t="s">
        <v>93</v>
      </c>
    </row>
    <row r="6" spans="1:5" ht="34" x14ac:dyDescent="0.2">
      <c r="A6" s="3">
        <v>2</v>
      </c>
      <c r="B6" s="3" t="s">
        <v>18</v>
      </c>
      <c r="C6" s="3" t="s">
        <v>82</v>
      </c>
      <c r="D6" s="4" t="s">
        <v>104</v>
      </c>
    </row>
    <row r="7" spans="1:5" ht="34" x14ac:dyDescent="0.2">
      <c r="A7" s="3">
        <v>2</v>
      </c>
      <c r="B7" s="3" t="s">
        <v>18</v>
      </c>
      <c r="C7" s="3" t="s">
        <v>83</v>
      </c>
      <c r="D7" s="4" t="s">
        <v>104</v>
      </c>
    </row>
    <row r="8" spans="1:5" ht="17" x14ac:dyDescent="0.2">
      <c r="A8" s="3">
        <v>2</v>
      </c>
      <c r="B8" s="3" t="s">
        <v>18</v>
      </c>
      <c r="C8" s="3" t="s">
        <v>102</v>
      </c>
      <c r="D8" s="4" t="s">
        <v>105</v>
      </c>
    </row>
    <row r="9" spans="1:5" ht="17" x14ac:dyDescent="0.2">
      <c r="A9" s="3">
        <v>2</v>
      </c>
      <c r="B9" s="3" t="s">
        <v>18</v>
      </c>
      <c r="C9" s="3" t="s">
        <v>84</v>
      </c>
      <c r="D9" s="4" t="s">
        <v>105</v>
      </c>
    </row>
    <row r="10" spans="1:5" ht="17" x14ac:dyDescent="0.2">
      <c r="A10" s="3">
        <v>3</v>
      </c>
      <c r="B10" s="3" t="s">
        <v>20</v>
      </c>
      <c r="C10" s="3" t="s">
        <v>82</v>
      </c>
      <c r="D10" s="4" t="s">
        <v>93</v>
      </c>
    </row>
    <row r="11" spans="1:5" ht="17" x14ac:dyDescent="0.2">
      <c r="A11" s="3">
        <v>3</v>
      </c>
      <c r="B11" s="3" t="s">
        <v>20</v>
      </c>
      <c r="C11" s="3" t="s">
        <v>83</v>
      </c>
      <c r="D11" s="4" t="s">
        <v>94</v>
      </c>
    </row>
    <row r="12" spans="1:5" ht="17" x14ac:dyDescent="0.2">
      <c r="A12" s="3">
        <v>3</v>
      </c>
      <c r="B12" s="3" t="s">
        <v>20</v>
      </c>
      <c r="C12" s="3" t="s">
        <v>102</v>
      </c>
      <c r="D12" s="4" t="s">
        <v>95</v>
      </c>
    </row>
    <row r="13" spans="1:5" ht="17" x14ac:dyDescent="0.2">
      <c r="A13" s="3">
        <v>3</v>
      </c>
      <c r="B13" s="3" t="s">
        <v>20</v>
      </c>
      <c r="C13" s="3" t="s">
        <v>84</v>
      </c>
      <c r="D13" s="4" t="s">
        <v>95</v>
      </c>
    </row>
    <row r="14" spans="1:5" ht="17" x14ac:dyDescent="0.2">
      <c r="A14" s="3">
        <v>4</v>
      </c>
      <c r="B14" s="3" t="s">
        <v>21</v>
      </c>
      <c r="C14" s="3" t="s">
        <v>82</v>
      </c>
      <c r="D14" s="4" t="s">
        <v>89</v>
      </c>
      <c r="E14" s="3" t="s">
        <v>88</v>
      </c>
    </row>
    <row r="15" spans="1:5" ht="17" x14ac:dyDescent="0.2">
      <c r="A15" s="3">
        <v>4</v>
      </c>
      <c r="B15" s="3" t="s">
        <v>21</v>
      </c>
      <c r="C15" s="3" t="s">
        <v>83</v>
      </c>
      <c r="D15" s="4" t="s">
        <v>96</v>
      </c>
    </row>
    <row r="16" spans="1:5" x14ac:dyDescent="0.2">
      <c r="A16" s="3">
        <v>4</v>
      </c>
      <c r="B16" s="3" t="s">
        <v>21</v>
      </c>
      <c r="C16" s="3" t="s">
        <v>102</v>
      </c>
    </row>
    <row r="17" spans="1:5" ht="17" x14ac:dyDescent="0.2">
      <c r="A17" s="3">
        <v>4</v>
      </c>
      <c r="B17" s="3" t="s">
        <v>21</v>
      </c>
      <c r="C17" s="3" t="s">
        <v>84</v>
      </c>
      <c r="D17" s="4" t="s">
        <v>90</v>
      </c>
    </row>
    <row r="18" spans="1:5" ht="17" x14ac:dyDescent="0.2">
      <c r="A18" s="3">
        <v>5</v>
      </c>
      <c r="B18" s="3" t="s">
        <v>23</v>
      </c>
      <c r="C18" s="3" t="s">
        <v>82</v>
      </c>
      <c r="D18" s="4" t="s">
        <v>91</v>
      </c>
    </row>
    <row r="19" spans="1:5" ht="17" x14ac:dyDescent="0.2">
      <c r="A19" s="3">
        <v>5</v>
      </c>
      <c r="B19" s="3" t="s">
        <v>23</v>
      </c>
      <c r="C19" s="3" t="s">
        <v>83</v>
      </c>
      <c r="D19" s="4" t="s">
        <v>106</v>
      </c>
    </row>
    <row r="20" spans="1:5" ht="17" x14ac:dyDescent="0.2">
      <c r="A20" s="3">
        <v>5</v>
      </c>
      <c r="B20" s="3" t="s">
        <v>23</v>
      </c>
      <c r="C20" s="3" t="s">
        <v>102</v>
      </c>
      <c r="D20" s="4" t="s">
        <v>106</v>
      </c>
    </row>
    <row r="21" spans="1:5" ht="17" x14ac:dyDescent="0.2">
      <c r="A21" s="3">
        <v>5</v>
      </c>
      <c r="B21" s="3" t="s">
        <v>23</v>
      </c>
      <c r="C21" s="3" t="s">
        <v>84</v>
      </c>
      <c r="D21" s="4" t="s">
        <v>106</v>
      </c>
    </row>
    <row r="22" spans="1:5" ht="17" x14ac:dyDescent="0.2">
      <c r="A22" s="3">
        <v>6</v>
      </c>
      <c r="B22" s="3" t="s">
        <v>24</v>
      </c>
      <c r="C22" s="3" t="s">
        <v>82</v>
      </c>
      <c r="D22" s="4" t="s">
        <v>108</v>
      </c>
      <c r="E22" s="3" t="s">
        <v>87</v>
      </c>
    </row>
    <row r="23" spans="1:5" ht="17" x14ac:dyDescent="0.2">
      <c r="A23" s="3">
        <v>6</v>
      </c>
      <c r="B23" s="3" t="s">
        <v>24</v>
      </c>
      <c r="C23" s="3" t="s">
        <v>83</v>
      </c>
      <c r="D23" s="4" t="s">
        <v>107</v>
      </c>
    </row>
    <row r="24" spans="1:5" ht="17" x14ac:dyDescent="0.2">
      <c r="A24" s="3">
        <v>6</v>
      </c>
      <c r="B24" s="3" t="s">
        <v>24</v>
      </c>
      <c r="C24" s="3" t="s">
        <v>102</v>
      </c>
      <c r="D24" s="4" t="s">
        <v>113</v>
      </c>
    </row>
    <row r="25" spans="1:5" x14ac:dyDescent="0.2">
      <c r="A25" s="3">
        <v>6</v>
      </c>
      <c r="B25" s="3" t="s">
        <v>24</v>
      </c>
      <c r="C25" s="3" t="s">
        <v>84</v>
      </c>
    </row>
    <row r="26" spans="1:5" ht="17" x14ac:dyDescent="0.2">
      <c r="A26" s="3">
        <v>7</v>
      </c>
      <c r="B26" s="3" t="s">
        <v>25</v>
      </c>
      <c r="C26" s="3" t="s">
        <v>82</v>
      </c>
      <c r="D26" s="4" t="s">
        <v>92</v>
      </c>
    </row>
    <row r="27" spans="1:5" ht="17" x14ac:dyDescent="0.2">
      <c r="A27" s="3">
        <v>7</v>
      </c>
      <c r="B27" s="3" t="s">
        <v>25</v>
      </c>
      <c r="C27" s="3" t="s">
        <v>83</v>
      </c>
      <c r="D27" s="4" t="s">
        <v>107</v>
      </c>
    </row>
    <row r="28" spans="1:5" x14ac:dyDescent="0.2">
      <c r="A28" s="3">
        <v>7</v>
      </c>
      <c r="B28" s="3" t="s">
        <v>25</v>
      </c>
      <c r="C28" s="3" t="s">
        <v>102</v>
      </c>
    </row>
    <row r="29" spans="1:5" ht="17" x14ac:dyDescent="0.2">
      <c r="A29" s="3">
        <v>7</v>
      </c>
      <c r="B29" s="3" t="s">
        <v>25</v>
      </c>
      <c r="C29" s="3" t="s">
        <v>84</v>
      </c>
      <c r="D29" s="4" t="s">
        <v>93</v>
      </c>
    </row>
    <row r="30" spans="1:5" ht="17" x14ac:dyDescent="0.2">
      <c r="A30" s="3">
        <v>8</v>
      </c>
      <c r="B30" s="3" t="s">
        <v>26</v>
      </c>
      <c r="C30" s="3" t="s">
        <v>82</v>
      </c>
      <c r="D30" s="4" t="s">
        <v>93</v>
      </c>
    </row>
    <row r="31" spans="1:5" ht="17" x14ac:dyDescent="0.2">
      <c r="A31" s="3">
        <v>8</v>
      </c>
      <c r="B31" s="3" t="s">
        <v>26</v>
      </c>
      <c r="C31" s="3" t="s">
        <v>83</v>
      </c>
      <c r="D31" s="4" t="s">
        <v>96</v>
      </c>
    </row>
    <row r="32" spans="1:5" x14ac:dyDescent="0.2">
      <c r="A32" s="3">
        <v>8</v>
      </c>
      <c r="B32" s="3" t="s">
        <v>26</v>
      </c>
      <c r="C32" s="3" t="s">
        <v>102</v>
      </c>
    </row>
    <row r="33" spans="1:4" ht="17" x14ac:dyDescent="0.2">
      <c r="A33" s="3">
        <v>8</v>
      </c>
      <c r="B33" s="3" t="s">
        <v>26</v>
      </c>
      <c r="C33" s="3" t="s">
        <v>84</v>
      </c>
      <c r="D33" s="4" t="s">
        <v>112</v>
      </c>
    </row>
    <row r="34" spans="1:4" ht="17" x14ac:dyDescent="0.2">
      <c r="A34" s="3">
        <v>9</v>
      </c>
      <c r="B34" s="3" t="s">
        <v>27</v>
      </c>
      <c r="C34" s="3" t="s">
        <v>82</v>
      </c>
      <c r="D34" s="4" t="s">
        <v>91</v>
      </c>
    </row>
    <row r="35" spans="1:4" ht="17" x14ac:dyDescent="0.2">
      <c r="A35" s="3">
        <v>9</v>
      </c>
      <c r="B35" s="3" t="s">
        <v>27</v>
      </c>
      <c r="C35" s="3" t="s">
        <v>83</v>
      </c>
      <c r="D35" s="4" t="s">
        <v>96</v>
      </c>
    </row>
    <row r="36" spans="1:4" x14ac:dyDescent="0.2">
      <c r="A36" s="3">
        <v>9</v>
      </c>
      <c r="B36" s="3" t="s">
        <v>27</v>
      </c>
      <c r="C36" s="3" t="s">
        <v>102</v>
      </c>
    </row>
    <row r="37" spans="1:4" ht="17" x14ac:dyDescent="0.2">
      <c r="A37" s="3">
        <v>9</v>
      </c>
      <c r="B37" s="3" t="s">
        <v>27</v>
      </c>
      <c r="C37" s="3" t="s">
        <v>84</v>
      </c>
      <c r="D37" s="4" t="s">
        <v>78</v>
      </c>
    </row>
    <row r="38" spans="1:4" ht="17" x14ac:dyDescent="0.2">
      <c r="A38" s="3">
        <v>10</v>
      </c>
      <c r="B38" s="3" t="s">
        <v>28</v>
      </c>
      <c r="C38" s="3" t="s">
        <v>82</v>
      </c>
      <c r="D38" s="4" t="s">
        <v>92</v>
      </c>
    </row>
    <row r="39" spans="1:4" ht="17" x14ac:dyDescent="0.2">
      <c r="A39" s="3">
        <v>10</v>
      </c>
      <c r="B39" s="3" t="s">
        <v>28</v>
      </c>
      <c r="C39" s="3" t="s">
        <v>83</v>
      </c>
      <c r="D39" s="4" t="s">
        <v>96</v>
      </c>
    </row>
    <row r="40" spans="1:4" x14ac:dyDescent="0.2">
      <c r="A40" s="3">
        <v>10</v>
      </c>
      <c r="B40" s="3" t="s">
        <v>28</v>
      </c>
      <c r="C40" s="3" t="s">
        <v>102</v>
      </c>
    </row>
    <row r="41" spans="1:4" x14ac:dyDescent="0.2">
      <c r="A41" s="3">
        <v>10</v>
      </c>
      <c r="B41" s="3" t="s">
        <v>28</v>
      </c>
      <c r="C41" s="3" t="s">
        <v>84</v>
      </c>
    </row>
    <row r="42" spans="1:4" ht="17" x14ac:dyDescent="0.2">
      <c r="A42" s="3">
        <v>11</v>
      </c>
      <c r="B42" s="3" t="s">
        <v>29</v>
      </c>
      <c r="C42" s="3" t="s">
        <v>82</v>
      </c>
      <c r="D42" s="4" t="s">
        <v>92</v>
      </c>
    </row>
    <row r="43" spans="1:4" ht="17" x14ac:dyDescent="0.2">
      <c r="A43" s="3">
        <v>11</v>
      </c>
      <c r="B43" s="3" t="s">
        <v>29</v>
      </c>
      <c r="C43" s="3" t="s">
        <v>83</v>
      </c>
      <c r="D43" s="4" t="s">
        <v>96</v>
      </c>
    </row>
    <row r="44" spans="1:4" ht="17" x14ac:dyDescent="0.2">
      <c r="A44" s="3">
        <v>11</v>
      </c>
      <c r="B44" s="3" t="s">
        <v>29</v>
      </c>
      <c r="C44" s="3" t="s">
        <v>102</v>
      </c>
      <c r="D44" s="4" t="s">
        <v>114</v>
      </c>
    </row>
    <row r="45" spans="1:4" ht="17" x14ac:dyDescent="0.2">
      <c r="A45" s="3">
        <v>11</v>
      </c>
      <c r="B45" s="3" t="s">
        <v>29</v>
      </c>
      <c r="C45" s="3" t="s">
        <v>84</v>
      </c>
      <c r="D45" s="4" t="s">
        <v>114</v>
      </c>
    </row>
    <row r="46" spans="1:4" ht="17" x14ac:dyDescent="0.2">
      <c r="A46" s="3">
        <v>12</v>
      </c>
      <c r="B46" s="3" t="s">
        <v>30</v>
      </c>
      <c r="C46" s="3" t="s">
        <v>82</v>
      </c>
      <c r="D46" s="4" t="s">
        <v>92</v>
      </c>
    </row>
    <row r="47" spans="1:4" ht="17" x14ac:dyDescent="0.2">
      <c r="A47" s="3">
        <v>12</v>
      </c>
      <c r="B47" s="3" t="s">
        <v>30</v>
      </c>
      <c r="C47" s="3" t="s">
        <v>83</v>
      </c>
      <c r="D47" s="4" t="s">
        <v>92</v>
      </c>
    </row>
    <row r="48" spans="1:4" ht="17" x14ac:dyDescent="0.2">
      <c r="A48" s="3">
        <v>12</v>
      </c>
      <c r="B48" s="3" t="s">
        <v>30</v>
      </c>
      <c r="C48" s="3" t="s">
        <v>102</v>
      </c>
      <c r="D48" s="4" t="s">
        <v>109</v>
      </c>
    </row>
    <row r="49" spans="1:4" ht="17" x14ac:dyDescent="0.2">
      <c r="A49" s="3">
        <v>12</v>
      </c>
      <c r="B49" s="3" t="s">
        <v>30</v>
      </c>
      <c r="C49" s="3" t="s">
        <v>84</v>
      </c>
      <c r="D49" s="4" t="s">
        <v>109</v>
      </c>
    </row>
    <row r="50" spans="1:4" ht="17" x14ac:dyDescent="0.2">
      <c r="A50" s="3">
        <v>13</v>
      </c>
      <c r="B50" s="3" t="s">
        <v>31</v>
      </c>
      <c r="C50" s="3" t="s">
        <v>82</v>
      </c>
      <c r="D50" s="4" t="s">
        <v>92</v>
      </c>
    </row>
    <row r="51" spans="1:4" ht="17" x14ac:dyDescent="0.2">
      <c r="A51" s="3">
        <v>13</v>
      </c>
      <c r="B51" s="3" t="s">
        <v>31</v>
      </c>
      <c r="C51" s="3" t="s">
        <v>83</v>
      </c>
      <c r="D51" s="4" t="s">
        <v>92</v>
      </c>
    </row>
    <row r="52" spans="1:4" ht="17" x14ac:dyDescent="0.2">
      <c r="A52" s="3">
        <v>13</v>
      </c>
      <c r="B52" s="3" t="s">
        <v>31</v>
      </c>
      <c r="C52" s="3" t="s">
        <v>102</v>
      </c>
      <c r="D52" s="4" t="s">
        <v>115</v>
      </c>
    </row>
    <row r="53" spans="1:4" x14ac:dyDescent="0.2">
      <c r="A53" s="3">
        <v>13</v>
      </c>
      <c r="B53" s="3" t="s">
        <v>31</v>
      </c>
      <c r="C53" s="3" t="s">
        <v>84</v>
      </c>
    </row>
    <row r="54" spans="1:4" ht="17" x14ac:dyDescent="0.2">
      <c r="A54" s="3">
        <v>14</v>
      </c>
      <c r="B54" s="3" t="s">
        <v>32</v>
      </c>
      <c r="C54" s="3" t="s">
        <v>82</v>
      </c>
      <c r="D54" s="4" t="s">
        <v>92</v>
      </c>
    </row>
    <row r="55" spans="1:4" ht="17" x14ac:dyDescent="0.2">
      <c r="A55" s="3">
        <v>14</v>
      </c>
      <c r="B55" s="3" t="s">
        <v>32</v>
      </c>
      <c r="C55" s="3" t="s">
        <v>83</v>
      </c>
      <c r="D55" s="4" t="s">
        <v>92</v>
      </c>
    </row>
    <row r="56" spans="1:4" ht="17" x14ac:dyDescent="0.2">
      <c r="A56" s="3">
        <v>14</v>
      </c>
      <c r="B56" s="3" t="s">
        <v>32</v>
      </c>
      <c r="C56" s="3" t="s">
        <v>102</v>
      </c>
      <c r="D56" s="4" t="s">
        <v>116</v>
      </c>
    </row>
    <row r="57" spans="1:4" ht="17" x14ac:dyDescent="0.2">
      <c r="A57" s="3">
        <v>14</v>
      </c>
      <c r="B57" s="3" t="s">
        <v>32</v>
      </c>
      <c r="C57" s="3" t="s">
        <v>84</v>
      </c>
      <c r="D57" s="4" t="s">
        <v>92</v>
      </c>
    </row>
    <row r="58" spans="1:4" ht="17" x14ac:dyDescent="0.2">
      <c r="A58" s="3">
        <v>15</v>
      </c>
      <c r="B58" s="3" t="s">
        <v>33</v>
      </c>
      <c r="C58" s="3" t="s">
        <v>82</v>
      </c>
      <c r="D58" s="4" t="s">
        <v>92</v>
      </c>
    </row>
    <row r="59" spans="1:4" ht="17" x14ac:dyDescent="0.2">
      <c r="A59" s="3">
        <v>15</v>
      </c>
      <c r="B59" s="3" t="s">
        <v>33</v>
      </c>
      <c r="C59" s="3" t="s">
        <v>83</v>
      </c>
      <c r="D59" s="4" t="s">
        <v>92</v>
      </c>
    </row>
    <row r="60" spans="1:4" ht="17" x14ac:dyDescent="0.2">
      <c r="A60" s="3">
        <v>15</v>
      </c>
      <c r="B60" s="3" t="s">
        <v>33</v>
      </c>
      <c r="C60" s="3" t="s">
        <v>102</v>
      </c>
      <c r="D60" s="4" t="s">
        <v>117</v>
      </c>
    </row>
    <row r="61" spans="1:4" ht="17" x14ac:dyDescent="0.2">
      <c r="A61" s="3">
        <v>15</v>
      </c>
      <c r="B61" s="3" t="s">
        <v>33</v>
      </c>
      <c r="C61" s="3" t="s">
        <v>84</v>
      </c>
      <c r="D61" s="4" t="s">
        <v>92</v>
      </c>
    </row>
    <row r="62" spans="1:4" ht="17" x14ac:dyDescent="0.2">
      <c r="A62" s="3">
        <v>16</v>
      </c>
      <c r="B62" s="3" t="s">
        <v>34</v>
      </c>
      <c r="C62" s="3" t="s">
        <v>82</v>
      </c>
      <c r="D62" s="4" t="s">
        <v>92</v>
      </c>
    </row>
    <row r="63" spans="1:4" ht="17" x14ac:dyDescent="0.2">
      <c r="A63" s="3">
        <v>16</v>
      </c>
      <c r="B63" s="3" t="s">
        <v>34</v>
      </c>
      <c r="C63" s="3" t="s">
        <v>83</v>
      </c>
      <c r="D63" s="4" t="s">
        <v>92</v>
      </c>
    </row>
    <row r="64" spans="1:4" ht="17" x14ac:dyDescent="0.2">
      <c r="A64" s="3">
        <v>16</v>
      </c>
      <c r="B64" s="3" t="s">
        <v>34</v>
      </c>
      <c r="C64" s="3" t="s">
        <v>102</v>
      </c>
      <c r="D64" s="4" t="s">
        <v>118</v>
      </c>
    </row>
    <row r="65" spans="1:4" ht="17" x14ac:dyDescent="0.2">
      <c r="A65" s="3">
        <v>16</v>
      </c>
      <c r="B65" s="3" t="s">
        <v>34</v>
      </c>
      <c r="C65" s="3" t="s">
        <v>84</v>
      </c>
      <c r="D65" s="4" t="s">
        <v>92</v>
      </c>
    </row>
    <row r="66" spans="1:4" ht="17" x14ac:dyDescent="0.2">
      <c r="A66" s="3">
        <v>17</v>
      </c>
      <c r="B66" s="3" t="s">
        <v>35</v>
      </c>
      <c r="C66" s="3" t="s">
        <v>82</v>
      </c>
      <c r="D66" s="4" t="s">
        <v>92</v>
      </c>
    </row>
    <row r="67" spans="1:4" ht="17" x14ac:dyDescent="0.2">
      <c r="A67" s="3">
        <v>17</v>
      </c>
      <c r="B67" s="3" t="s">
        <v>35</v>
      </c>
      <c r="C67" s="3" t="s">
        <v>83</v>
      </c>
      <c r="D67" s="4" t="s">
        <v>92</v>
      </c>
    </row>
    <row r="68" spans="1:4" ht="17" x14ac:dyDescent="0.2">
      <c r="A68" s="3">
        <v>17</v>
      </c>
      <c r="B68" s="3" t="s">
        <v>35</v>
      </c>
      <c r="C68" s="3" t="s">
        <v>102</v>
      </c>
      <c r="D68" s="4" t="s">
        <v>119</v>
      </c>
    </row>
    <row r="69" spans="1:4" x14ac:dyDescent="0.2">
      <c r="A69" s="3">
        <v>17</v>
      </c>
      <c r="B69" s="3" t="s">
        <v>35</v>
      </c>
      <c r="C69" s="3" t="s">
        <v>84</v>
      </c>
    </row>
    <row r="70" spans="1:4" ht="17" x14ac:dyDescent="0.2">
      <c r="A70" s="3">
        <v>18</v>
      </c>
      <c r="B70" s="3" t="s">
        <v>36</v>
      </c>
      <c r="C70" s="3" t="s">
        <v>82</v>
      </c>
      <c r="D70" s="4" t="s">
        <v>92</v>
      </c>
    </row>
    <row r="71" spans="1:4" x14ac:dyDescent="0.2">
      <c r="A71" s="3">
        <v>18</v>
      </c>
      <c r="B71" s="3" t="s">
        <v>36</v>
      </c>
      <c r="C71" s="3" t="s">
        <v>83</v>
      </c>
      <c r="D71" s="5" t="s">
        <v>134</v>
      </c>
    </row>
    <row r="72" spans="1:4" ht="17" x14ac:dyDescent="0.2">
      <c r="A72" s="3">
        <v>18</v>
      </c>
      <c r="B72" s="3" t="s">
        <v>36</v>
      </c>
      <c r="C72" s="3" t="s">
        <v>102</v>
      </c>
      <c r="D72" s="4" t="s">
        <v>120</v>
      </c>
    </row>
    <row r="73" spans="1:4" ht="17" x14ac:dyDescent="0.2">
      <c r="A73" s="3">
        <v>18</v>
      </c>
      <c r="B73" s="3" t="s">
        <v>36</v>
      </c>
      <c r="C73" s="3" t="s">
        <v>84</v>
      </c>
      <c r="D73" s="4" t="s">
        <v>133</v>
      </c>
    </row>
    <row r="74" spans="1:4" ht="17" x14ac:dyDescent="0.2">
      <c r="A74" s="3">
        <v>19</v>
      </c>
      <c r="B74" s="3" t="s">
        <v>37</v>
      </c>
      <c r="C74" s="3" t="s">
        <v>82</v>
      </c>
      <c r="D74" s="4" t="s">
        <v>93</v>
      </c>
    </row>
    <row r="75" spans="1:4" ht="17" x14ac:dyDescent="0.2">
      <c r="A75" s="3">
        <v>19</v>
      </c>
      <c r="B75" s="3" t="s">
        <v>37</v>
      </c>
      <c r="C75" s="3" t="s">
        <v>83</v>
      </c>
      <c r="D75" s="4" t="s">
        <v>92</v>
      </c>
    </row>
    <row r="76" spans="1:4" ht="17" x14ac:dyDescent="0.2">
      <c r="A76" s="3">
        <v>19</v>
      </c>
      <c r="B76" s="3" t="s">
        <v>37</v>
      </c>
      <c r="C76" s="3" t="s">
        <v>102</v>
      </c>
      <c r="D76" s="4" t="s">
        <v>110</v>
      </c>
    </row>
    <row r="77" spans="1:4" x14ac:dyDescent="0.2">
      <c r="A77" s="3">
        <v>19</v>
      </c>
      <c r="B77" s="3" t="s">
        <v>37</v>
      </c>
      <c r="C77" s="3" t="s">
        <v>84</v>
      </c>
    </row>
    <row r="78" spans="1:4" ht="17" x14ac:dyDescent="0.2">
      <c r="A78" s="3">
        <v>20</v>
      </c>
      <c r="B78" s="3" t="s">
        <v>38</v>
      </c>
      <c r="C78" s="3" t="s">
        <v>82</v>
      </c>
      <c r="D78" s="4" t="s">
        <v>92</v>
      </c>
    </row>
    <row r="79" spans="1:4" ht="17" x14ac:dyDescent="0.2">
      <c r="A79" s="3">
        <v>20</v>
      </c>
      <c r="B79" s="3" t="s">
        <v>38</v>
      </c>
      <c r="C79" s="3" t="s">
        <v>83</v>
      </c>
      <c r="D79" s="4" t="s">
        <v>92</v>
      </c>
    </row>
    <row r="80" spans="1:4" ht="17" x14ac:dyDescent="0.2">
      <c r="A80" s="3">
        <v>20</v>
      </c>
      <c r="B80" s="3" t="s">
        <v>38</v>
      </c>
      <c r="C80" s="3" t="s">
        <v>102</v>
      </c>
      <c r="D80" s="4" t="s">
        <v>121</v>
      </c>
    </row>
    <row r="81" spans="1:4" ht="17" x14ac:dyDescent="0.2">
      <c r="A81" s="3">
        <v>20</v>
      </c>
      <c r="B81" s="3" t="s">
        <v>38</v>
      </c>
      <c r="C81" s="3" t="s">
        <v>84</v>
      </c>
      <c r="D81" s="4" t="s">
        <v>92</v>
      </c>
    </row>
    <row r="82" spans="1:4" ht="17" x14ac:dyDescent="0.2">
      <c r="A82" s="3">
        <v>21</v>
      </c>
      <c r="B82" s="3" t="s">
        <v>39</v>
      </c>
      <c r="C82" s="3" t="s">
        <v>82</v>
      </c>
      <c r="D82" s="4" t="s">
        <v>92</v>
      </c>
    </row>
    <row r="83" spans="1:4" ht="17" x14ac:dyDescent="0.2">
      <c r="A83" s="3">
        <v>21</v>
      </c>
      <c r="B83" s="3" t="s">
        <v>39</v>
      </c>
      <c r="C83" s="3" t="s">
        <v>83</v>
      </c>
      <c r="D83" s="4" t="s">
        <v>92</v>
      </c>
    </row>
    <row r="84" spans="1:4" x14ac:dyDescent="0.2">
      <c r="A84" s="3">
        <v>21</v>
      </c>
      <c r="B84" s="3" t="s">
        <v>39</v>
      </c>
      <c r="C84" s="3" t="s">
        <v>102</v>
      </c>
    </row>
    <row r="85" spans="1:4" x14ac:dyDescent="0.2">
      <c r="A85" s="3">
        <v>21</v>
      </c>
      <c r="B85" s="3" t="s">
        <v>39</v>
      </c>
      <c r="C85" s="3" t="s">
        <v>84</v>
      </c>
    </row>
    <row r="86" spans="1:4" ht="17" x14ac:dyDescent="0.2">
      <c r="A86" s="3">
        <v>22</v>
      </c>
      <c r="B86" s="3" t="s">
        <v>40</v>
      </c>
      <c r="C86" s="3" t="s">
        <v>82</v>
      </c>
      <c r="D86" s="4" t="s">
        <v>92</v>
      </c>
    </row>
    <row r="87" spans="1:4" ht="17" x14ac:dyDescent="0.2">
      <c r="A87" s="3">
        <v>22</v>
      </c>
      <c r="B87" s="3" t="s">
        <v>40</v>
      </c>
      <c r="C87" s="3" t="s">
        <v>83</v>
      </c>
      <c r="D87" s="4" t="s">
        <v>92</v>
      </c>
    </row>
    <row r="88" spans="1:4" x14ac:dyDescent="0.2">
      <c r="A88" s="3">
        <v>22</v>
      </c>
      <c r="B88" s="3" t="s">
        <v>40</v>
      </c>
      <c r="C88" s="3" t="s">
        <v>102</v>
      </c>
    </row>
    <row r="89" spans="1:4" x14ac:dyDescent="0.2">
      <c r="A89" s="3">
        <v>22</v>
      </c>
      <c r="B89" s="3" t="s">
        <v>40</v>
      </c>
      <c r="C89" s="3" t="s">
        <v>84</v>
      </c>
      <c r="D89" s="3"/>
    </row>
    <row r="90" spans="1:4" ht="17" x14ac:dyDescent="0.2">
      <c r="A90" s="3">
        <v>23</v>
      </c>
      <c r="B90" s="3" t="s">
        <v>41</v>
      </c>
      <c r="C90" s="3" t="s">
        <v>82</v>
      </c>
      <c r="D90" s="4" t="s">
        <v>92</v>
      </c>
    </row>
    <row r="91" spans="1:4" ht="17" x14ac:dyDescent="0.2">
      <c r="A91" s="3">
        <v>23</v>
      </c>
      <c r="B91" s="3" t="s">
        <v>41</v>
      </c>
      <c r="C91" s="3" t="s">
        <v>102</v>
      </c>
      <c r="D91" s="4" t="s">
        <v>92</v>
      </c>
    </row>
    <row r="92" spans="1:4" ht="17" x14ac:dyDescent="0.2">
      <c r="A92" s="3">
        <v>23</v>
      </c>
      <c r="B92" s="3" t="s">
        <v>41</v>
      </c>
      <c r="C92" s="3" t="s">
        <v>83</v>
      </c>
      <c r="D92" s="4" t="s">
        <v>92</v>
      </c>
    </row>
    <row r="93" spans="1:4" x14ac:dyDescent="0.2">
      <c r="A93" s="3">
        <v>23</v>
      </c>
      <c r="B93" s="3" t="s">
        <v>41</v>
      </c>
      <c r="C93" s="3" t="s">
        <v>84</v>
      </c>
    </row>
    <row r="94" spans="1:4" ht="17" x14ac:dyDescent="0.2">
      <c r="A94" s="3">
        <v>24</v>
      </c>
      <c r="B94" s="3" t="s">
        <v>42</v>
      </c>
      <c r="C94" s="3" t="s">
        <v>82</v>
      </c>
      <c r="D94" s="4" t="s">
        <v>92</v>
      </c>
    </row>
    <row r="95" spans="1:4" ht="17" x14ac:dyDescent="0.2">
      <c r="A95" s="3">
        <v>24</v>
      </c>
      <c r="B95" s="3" t="s">
        <v>42</v>
      </c>
      <c r="C95" s="3" t="s">
        <v>83</v>
      </c>
      <c r="D95" s="4" t="s">
        <v>92</v>
      </c>
    </row>
    <row r="96" spans="1:4" ht="17" x14ac:dyDescent="0.2">
      <c r="A96" s="3">
        <v>24</v>
      </c>
      <c r="B96" s="3" t="s">
        <v>42</v>
      </c>
      <c r="C96" s="3" t="s">
        <v>102</v>
      </c>
      <c r="D96" s="4" t="s">
        <v>122</v>
      </c>
    </row>
    <row r="97" spans="1:4" ht="17" x14ac:dyDescent="0.2">
      <c r="A97" s="3">
        <v>24</v>
      </c>
      <c r="B97" s="3" t="s">
        <v>42</v>
      </c>
      <c r="C97" s="3" t="s">
        <v>84</v>
      </c>
      <c r="D97" s="4" t="s">
        <v>93</v>
      </c>
    </row>
    <row r="98" spans="1:4" ht="17" x14ac:dyDescent="0.2">
      <c r="A98" s="3">
        <v>25</v>
      </c>
      <c r="B98" s="3" t="s">
        <v>43</v>
      </c>
      <c r="C98" s="3" t="s">
        <v>82</v>
      </c>
      <c r="D98" s="4" t="s">
        <v>92</v>
      </c>
    </row>
    <row r="99" spans="1:4" ht="17" x14ac:dyDescent="0.2">
      <c r="A99" s="3">
        <v>25</v>
      </c>
      <c r="B99" s="3" t="s">
        <v>43</v>
      </c>
      <c r="C99" s="3" t="s">
        <v>83</v>
      </c>
      <c r="D99" s="4" t="s">
        <v>92</v>
      </c>
    </row>
    <row r="100" spans="1:4" x14ac:dyDescent="0.2">
      <c r="A100" s="3">
        <v>25</v>
      </c>
      <c r="B100" s="3" t="s">
        <v>43</v>
      </c>
      <c r="C100" s="3" t="s">
        <v>102</v>
      </c>
    </row>
    <row r="101" spans="1:4" x14ac:dyDescent="0.2">
      <c r="A101" s="3">
        <v>25</v>
      </c>
      <c r="B101" s="3" t="s">
        <v>43</v>
      </c>
      <c r="C101" s="3" t="s">
        <v>84</v>
      </c>
    </row>
    <row r="102" spans="1:4" ht="17" x14ac:dyDescent="0.2">
      <c r="A102" s="3">
        <v>26</v>
      </c>
      <c r="B102" s="3" t="s">
        <v>44</v>
      </c>
      <c r="C102" s="3" t="s">
        <v>82</v>
      </c>
      <c r="D102" s="4" t="s">
        <v>92</v>
      </c>
    </row>
    <row r="103" spans="1:4" ht="17" x14ac:dyDescent="0.2">
      <c r="A103" s="3">
        <v>26</v>
      </c>
      <c r="B103" s="3" t="s">
        <v>44</v>
      </c>
      <c r="C103" s="3" t="s">
        <v>83</v>
      </c>
      <c r="D103" s="4" t="s">
        <v>92</v>
      </c>
    </row>
    <row r="104" spans="1:4" x14ac:dyDescent="0.2">
      <c r="A104" s="3">
        <v>26</v>
      </c>
      <c r="B104" s="3" t="s">
        <v>44</v>
      </c>
      <c r="C104" s="3" t="s">
        <v>102</v>
      </c>
    </row>
    <row r="105" spans="1:4" x14ac:dyDescent="0.2">
      <c r="A105" s="3">
        <v>26</v>
      </c>
      <c r="B105" s="3" t="s">
        <v>44</v>
      </c>
      <c r="C105" s="3" t="s">
        <v>84</v>
      </c>
    </row>
    <row r="106" spans="1:4" ht="17" x14ac:dyDescent="0.2">
      <c r="A106" s="3">
        <v>27</v>
      </c>
      <c r="B106" s="3" t="s">
        <v>45</v>
      </c>
      <c r="C106" s="3" t="s">
        <v>82</v>
      </c>
      <c r="D106" s="4" t="s">
        <v>92</v>
      </c>
    </row>
    <row r="107" spans="1:4" ht="17" x14ac:dyDescent="0.2">
      <c r="A107" s="3">
        <v>27</v>
      </c>
      <c r="B107" s="3" t="s">
        <v>45</v>
      </c>
      <c r="C107" s="3" t="s">
        <v>83</v>
      </c>
      <c r="D107" s="4" t="s">
        <v>92</v>
      </c>
    </row>
    <row r="108" spans="1:4" x14ac:dyDescent="0.2">
      <c r="A108" s="3">
        <v>27</v>
      </c>
      <c r="B108" s="3" t="s">
        <v>45</v>
      </c>
      <c r="C108" s="3" t="s">
        <v>102</v>
      </c>
    </row>
    <row r="109" spans="1:4" ht="17" x14ac:dyDescent="0.2">
      <c r="A109" s="3">
        <v>27</v>
      </c>
      <c r="B109" s="3" t="s">
        <v>45</v>
      </c>
      <c r="C109" s="3" t="s">
        <v>84</v>
      </c>
      <c r="D109" s="4" t="s">
        <v>93</v>
      </c>
    </row>
    <row r="110" spans="1:4" ht="17" x14ac:dyDescent="0.2">
      <c r="A110" s="3">
        <v>28</v>
      </c>
      <c r="B110" s="3" t="s">
        <v>46</v>
      </c>
      <c r="C110" s="3" t="s">
        <v>82</v>
      </c>
      <c r="D110" s="4" t="s">
        <v>92</v>
      </c>
    </row>
    <row r="111" spans="1:4" ht="17" x14ac:dyDescent="0.2">
      <c r="A111" s="3">
        <v>28</v>
      </c>
      <c r="B111" s="3" t="s">
        <v>46</v>
      </c>
      <c r="C111" s="3" t="s">
        <v>83</v>
      </c>
      <c r="D111" s="4" t="s">
        <v>92</v>
      </c>
    </row>
    <row r="112" spans="1:4" x14ac:dyDescent="0.2">
      <c r="A112" s="3">
        <v>28</v>
      </c>
      <c r="B112" s="3" t="s">
        <v>46</v>
      </c>
      <c r="C112" s="3" t="s">
        <v>102</v>
      </c>
      <c r="D112" t="s">
        <v>111</v>
      </c>
    </row>
    <row r="113" spans="1:4" ht="17" x14ac:dyDescent="0.2">
      <c r="A113" s="3">
        <v>28</v>
      </c>
      <c r="B113" s="3" t="s">
        <v>46</v>
      </c>
      <c r="C113" s="3" t="s">
        <v>84</v>
      </c>
      <c r="D113" s="4" t="s">
        <v>92</v>
      </c>
    </row>
    <row r="114" spans="1:4" ht="17" x14ac:dyDescent="0.2">
      <c r="A114" s="3">
        <v>29</v>
      </c>
      <c r="B114" s="3" t="s">
        <v>47</v>
      </c>
      <c r="C114" s="3" t="s">
        <v>82</v>
      </c>
      <c r="D114" s="4" t="s">
        <v>92</v>
      </c>
    </row>
    <row r="115" spans="1:4" ht="17" x14ac:dyDescent="0.2">
      <c r="A115" s="3">
        <v>29</v>
      </c>
      <c r="B115" s="3" t="s">
        <v>47</v>
      </c>
      <c r="C115" s="3" t="s">
        <v>83</v>
      </c>
      <c r="D115" s="4" t="s">
        <v>92</v>
      </c>
    </row>
    <row r="116" spans="1:4" ht="17" x14ac:dyDescent="0.2">
      <c r="A116" s="3">
        <v>29</v>
      </c>
      <c r="B116" s="3" t="s">
        <v>47</v>
      </c>
      <c r="C116" s="3" t="s">
        <v>102</v>
      </c>
      <c r="D116" s="4" t="s">
        <v>123</v>
      </c>
    </row>
    <row r="117" spans="1:4" ht="17" x14ac:dyDescent="0.2">
      <c r="A117" s="3">
        <v>29</v>
      </c>
      <c r="B117" s="3" t="s">
        <v>47</v>
      </c>
      <c r="C117" s="3" t="s">
        <v>84</v>
      </c>
      <c r="D117" s="4" t="s">
        <v>92</v>
      </c>
    </row>
    <row r="118" spans="1:4" ht="17" x14ac:dyDescent="0.2">
      <c r="A118" s="3">
        <v>30</v>
      </c>
      <c r="B118" s="3" t="s">
        <v>48</v>
      </c>
      <c r="C118" s="3" t="s">
        <v>82</v>
      </c>
      <c r="D118" s="4" t="s">
        <v>92</v>
      </c>
    </row>
    <row r="119" spans="1:4" ht="17" x14ac:dyDescent="0.2">
      <c r="A119" s="3">
        <v>30</v>
      </c>
      <c r="B119" s="3" t="s">
        <v>48</v>
      </c>
      <c r="C119" s="3" t="s">
        <v>83</v>
      </c>
      <c r="D119" s="4" t="s">
        <v>92</v>
      </c>
    </row>
    <row r="120" spans="1:4" ht="17" x14ac:dyDescent="0.2">
      <c r="A120" s="3">
        <v>30</v>
      </c>
      <c r="B120" s="3" t="s">
        <v>48</v>
      </c>
      <c r="C120" s="3" t="s">
        <v>102</v>
      </c>
      <c r="D120" s="4" t="s">
        <v>124</v>
      </c>
    </row>
    <row r="121" spans="1:4" ht="17" x14ac:dyDescent="0.2">
      <c r="A121" s="3">
        <v>30</v>
      </c>
      <c r="B121" s="3" t="s">
        <v>48</v>
      </c>
      <c r="C121" s="3" t="s">
        <v>84</v>
      </c>
      <c r="D121" s="4" t="s">
        <v>92</v>
      </c>
    </row>
    <row r="122" spans="1:4" ht="17" x14ac:dyDescent="0.2">
      <c r="A122" s="3">
        <v>31</v>
      </c>
      <c r="B122" s="3" t="s">
        <v>49</v>
      </c>
      <c r="C122" s="3" t="s">
        <v>82</v>
      </c>
      <c r="D122" s="4" t="s">
        <v>92</v>
      </c>
    </row>
    <row r="123" spans="1:4" ht="17" x14ac:dyDescent="0.2">
      <c r="A123" s="3">
        <v>31</v>
      </c>
      <c r="B123" s="3" t="s">
        <v>49</v>
      </c>
      <c r="C123" s="3" t="s">
        <v>83</v>
      </c>
      <c r="D123" s="4" t="s">
        <v>92</v>
      </c>
    </row>
    <row r="124" spans="1:4" ht="17" x14ac:dyDescent="0.2">
      <c r="A124" s="3">
        <v>31</v>
      </c>
      <c r="B124" s="3" t="s">
        <v>49</v>
      </c>
      <c r="C124" s="3" t="s">
        <v>102</v>
      </c>
      <c r="D124" s="4" t="s">
        <v>125</v>
      </c>
    </row>
    <row r="125" spans="1:4" ht="17" x14ac:dyDescent="0.2">
      <c r="A125" s="3">
        <v>31</v>
      </c>
      <c r="B125" s="3" t="s">
        <v>49</v>
      </c>
      <c r="C125" s="3" t="s">
        <v>84</v>
      </c>
      <c r="D125" s="4" t="s">
        <v>92</v>
      </c>
    </row>
    <row r="126" spans="1:4" ht="17" x14ac:dyDescent="0.2">
      <c r="A126" s="3">
        <v>32</v>
      </c>
      <c r="B126" s="3" t="s">
        <v>50</v>
      </c>
      <c r="C126" s="3" t="s">
        <v>82</v>
      </c>
      <c r="D126" s="4" t="s">
        <v>92</v>
      </c>
    </row>
    <row r="127" spans="1:4" ht="17" x14ac:dyDescent="0.2">
      <c r="A127" s="3">
        <v>32</v>
      </c>
      <c r="B127" s="3" t="s">
        <v>50</v>
      </c>
      <c r="C127" s="3" t="s">
        <v>83</v>
      </c>
      <c r="D127" s="4" t="s">
        <v>92</v>
      </c>
    </row>
    <row r="128" spans="1:4" ht="17" x14ac:dyDescent="0.2">
      <c r="A128" s="3">
        <v>32</v>
      </c>
      <c r="B128" s="3" t="s">
        <v>50</v>
      </c>
      <c r="C128" s="3" t="s">
        <v>102</v>
      </c>
      <c r="D128" s="4" t="s">
        <v>126</v>
      </c>
    </row>
    <row r="129" spans="1:4" x14ac:dyDescent="0.2">
      <c r="A129" s="3">
        <v>32</v>
      </c>
      <c r="B129" s="3" t="s">
        <v>50</v>
      </c>
      <c r="C129" s="3" t="s">
        <v>84</v>
      </c>
    </row>
    <row r="130" spans="1:4" ht="17" x14ac:dyDescent="0.2">
      <c r="A130" s="3">
        <v>33</v>
      </c>
      <c r="B130" s="3" t="s">
        <v>51</v>
      </c>
      <c r="C130" s="3" t="s">
        <v>82</v>
      </c>
      <c r="D130" s="4" t="s">
        <v>92</v>
      </c>
    </row>
    <row r="131" spans="1:4" ht="17" x14ac:dyDescent="0.2">
      <c r="A131" s="3">
        <v>33</v>
      </c>
      <c r="B131" s="3" t="s">
        <v>51</v>
      </c>
      <c r="C131" s="3" t="s">
        <v>83</v>
      </c>
      <c r="D131" s="4" t="s">
        <v>92</v>
      </c>
    </row>
    <row r="132" spans="1:4" ht="17" x14ac:dyDescent="0.2">
      <c r="A132" s="3">
        <v>33</v>
      </c>
      <c r="B132" s="3" t="s">
        <v>51</v>
      </c>
      <c r="C132" s="3" t="s">
        <v>102</v>
      </c>
      <c r="D132" s="4" t="s">
        <v>127</v>
      </c>
    </row>
    <row r="133" spans="1:4" x14ac:dyDescent="0.2">
      <c r="A133" s="3">
        <v>33</v>
      </c>
      <c r="B133" s="3" t="s">
        <v>51</v>
      </c>
      <c r="C133" s="3" t="s">
        <v>84</v>
      </c>
    </row>
    <row r="134" spans="1:4" ht="17" x14ac:dyDescent="0.2">
      <c r="A134" s="3">
        <v>34</v>
      </c>
      <c r="B134" s="3" t="s">
        <v>52</v>
      </c>
      <c r="C134" s="3" t="s">
        <v>83</v>
      </c>
      <c r="D134" s="4" t="s">
        <v>92</v>
      </c>
    </row>
    <row r="135" spans="1:4" ht="17" x14ac:dyDescent="0.2">
      <c r="A135" s="3">
        <v>34</v>
      </c>
      <c r="B135" s="3" t="s">
        <v>52</v>
      </c>
      <c r="C135" s="3" t="s">
        <v>102</v>
      </c>
      <c r="D135" s="4" t="s">
        <v>128</v>
      </c>
    </row>
    <row r="136" spans="1:4" ht="17" x14ac:dyDescent="0.2">
      <c r="A136" s="3">
        <v>34</v>
      </c>
      <c r="B136" s="3" t="s">
        <v>52</v>
      </c>
      <c r="C136" s="3" t="s">
        <v>82</v>
      </c>
      <c r="D136" s="4" t="s">
        <v>92</v>
      </c>
    </row>
    <row r="137" spans="1:4" x14ac:dyDescent="0.2">
      <c r="A137" s="3">
        <v>34</v>
      </c>
      <c r="B137" s="3" t="s">
        <v>52</v>
      </c>
      <c r="C137" s="3" t="s">
        <v>84</v>
      </c>
    </row>
    <row r="138" spans="1:4" ht="17" x14ac:dyDescent="0.2">
      <c r="A138" s="3">
        <v>35</v>
      </c>
      <c r="B138" s="3" t="s">
        <v>53</v>
      </c>
      <c r="C138" s="3" t="s">
        <v>82</v>
      </c>
      <c r="D138" s="4" t="s">
        <v>92</v>
      </c>
    </row>
    <row r="139" spans="1:4" ht="17" x14ac:dyDescent="0.2">
      <c r="A139" s="3">
        <v>35</v>
      </c>
      <c r="B139" s="3" t="s">
        <v>53</v>
      </c>
      <c r="C139" s="3" t="s">
        <v>83</v>
      </c>
      <c r="D139" s="4" t="s">
        <v>92</v>
      </c>
    </row>
    <row r="140" spans="1:4" x14ac:dyDescent="0.2">
      <c r="A140" s="3">
        <v>35</v>
      </c>
      <c r="B140" s="3" t="s">
        <v>53</v>
      </c>
      <c r="C140" s="3" t="s">
        <v>102</v>
      </c>
    </row>
    <row r="141" spans="1:4" x14ac:dyDescent="0.2">
      <c r="A141" s="3">
        <v>35</v>
      </c>
      <c r="B141" s="3" t="s">
        <v>53</v>
      </c>
      <c r="C141" s="3" t="s">
        <v>84</v>
      </c>
    </row>
    <row r="142" spans="1:4" ht="17" x14ac:dyDescent="0.2">
      <c r="A142" s="3">
        <v>36</v>
      </c>
      <c r="B142" s="3" t="s">
        <v>54</v>
      </c>
      <c r="C142" s="3" t="s">
        <v>82</v>
      </c>
      <c r="D142" s="4" t="s">
        <v>92</v>
      </c>
    </row>
    <row r="143" spans="1:4" ht="17" x14ac:dyDescent="0.2">
      <c r="A143" s="3">
        <v>36</v>
      </c>
      <c r="B143" s="3" t="s">
        <v>54</v>
      </c>
      <c r="C143" s="3" t="s">
        <v>83</v>
      </c>
      <c r="D143" s="4" t="s">
        <v>92</v>
      </c>
    </row>
    <row r="144" spans="1:4" ht="17" x14ac:dyDescent="0.2">
      <c r="A144" s="3">
        <v>36</v>
      </c>
      <c r="B144" s="3" t="s">
        <v>54</v>
      </c>
      <c r="C144" s="3" t="s">
        <v>102</v>
      </c>
      <c r="D144" s="4" t="s">
        <v>129</v>
      </c>
    </row>
    <row r="145" spans="1:4" x14ac:dyDescent="0.2">
      <c r="A145" s="3">
        <v>36</v>
      </c>
      <c r="B145" s="3" t="s">
        <v>54</v>
      </c>
      <c r="C145" s="3" t="s">
        <v>84</v>
      </c>
    </row>
    <row r="146" spans="1:4" ht="17" x14ac:dyDescent="0.2">
      <c r="A146" s="3">
        <v>37</v>
      </c>
      <c r="B146" s="3" t="s">
        <v>55</v>
      </c>
      <c r="C146" s="3" t="s">
        <v>82</v>
      </c>
      <c r="D146" s="4" t="s">
        <v>92</v>
      </c>
    </row>
    <row r="147" spans="1:4" ht="17" x14ac:dyDescent="0.2">
      <c r="A147" s="3">
        <v>37</v>
      </c>
      <c r="B147" s="3" t="s">
        <v>55</v>
      </c>
      <c r="C147" s="3" t="s">
        <v>83</v>
      </c>
      <c r="D147" s="4" t="s">
        <v>92</v>
      </c>
    </row>
    <row r="148" spans="1:4" x14ac:dyDescent="0.2">
      <c r="A148" s="3">
        <v>37</v>
      </c>
      <c r="B148" s="3" t="s">
        <v>55</v>
      </c>
      <c r="C148" s="3" t="s">
        <v>102</v>
      </c>
      <c r="D148" t="s">
        <v>222</v>
      </c>
    </row>
    <row r="149" spans="1:4" x14ac:dyDescent="0.2">
      <c r="A149" s="3">
        <v>37</v>
      </c>
      <c r="B149" s="3" t="s">
        <v>55</v>
      </c>
      <c r="C149" s="3" t="s">
        <v>84</v>
      </c>
      <c r="D149" t="s">
        <v>222</v>
      </c>
    </row>
    <row r="150" spans="1:4" ht="17" x14ac:dyDescent="0.2">
      <c r="A150" s="3">
        <v>38</v>
      </c>
      <c r="B150" s="3" t="s">
        <v>56</v>
      </c>
      <c r="C150" s="3" t="s">
        <v>82</v>
      </c>
      <c r="D150" s="4" t="s">
        <v>92</v>
      </c>
    </row>
    <row r="151" spans="1:4" ht="17" x14ac:dyDescent="0.2">
      <c r="A151" s="3">
        <v>38</v>
      </c>
      <c r="B151" s="3" t="s">
        <v>56</v>
      </c>
      <c r="C151" s="3" t="s">
        <v>83</v>
      </c>
      <c r="D151" s="4" t="s">
        <v>92</v>
      </c>
    </row>
    <row r="152" spans="1:4" ht="17" x14ac:dyDescent="0.2">
      <c r="A152" s="3">
        <v>38</v>
      </c>
      <c r="B152" s="3" t="s">
        <v>56</v>
      </c>
      <c r="C152" s="3" t="s">
        <v>102</v>
      </c>
      <c r="D152" s="4" t="s">
        <v>130</v>
      </c>
    </row>
    <row r="153" spans="1:4" x14ac:dyDescent="0.2">
      <c r="A153" s="3">
        <v>38</v>
      </c>
      <c r="B153" s="3" t="s">
        <v>56</v>
      </c>
      <c r="C153" s="3" t="s">
        <v>84</v>
      </c>
    </row>
    <row r="154" spans="1:4" ht="17" x14ac:dyDescent="0.2">
      <c r="A154" s="3">
        <v>39</v>
      </c>
      <c r="B154" s="3" t="s">
        <v>57</v>
      </c>
      <c r="C154" s="3" t="s">
        <v>82</v>
      </c>
      <c r="D154" s="4" t="s">
        <v>92</v>
      </c>
    </row>
    <row r="155" spans="1:4" ht="17" x14ac:dyDescent="0.2">
      <c r="A155" s="3">
        <v>39</v>
      </c>
      <c r="B155" s="3" t="s">
        <v>57</v>
      </c>
      <c r="C155" s="3" t="s">
        <v>83</v>
      </c>
      <c r="D155" s="4" t="s">
        <v>92</v>
      </c>
    </row>
    <row r="156" spans="1:4" ht="17" x14ac:dyDescent="0.2">
      <c r="A156" s="3">
        <v>39</v>
      </c>
      <c r="B156" s="3" t="s">
        <v>57</v>
      </c>
      <c r="C156" s="3" t="s">
        <v>102</v>
      </c>
      <c r="D156" s="4" t="s">
        <v>131</v>
      </c>
    </row>
    <row r="157" spans="1:4" x14ac:dyDescent="0.2">
      <c r="A157" s="3">
        <v>39</v>
      </c>
      <c r="B157" s="3" t="s">
        <v>57</v>
      </c>
      <c r="C157" s="3" t="s">
        <v>84</v>
      </c>
    </row>
    <row r="158" spans="1:4" ht="17" x14ac:dyDescent="0.2">
      <c r="A158" s="3">
        <v>40</v>
      </c>
      <c r="B158" s="3" t="s">
        <v>58</v>
      </c>
      <c r="C158" s="3" t="s">
        <v>82</v>
      </c>
      <c r="D158" s="4" t="s">
        <v>92</v>
      </c>
    </row>
    <row r="159" spans="1:4" ht="17" x14ac:dyDescent="0.2">
      <c r="A159" s="3">
        <v>40</v>
      </c>
      <c r="B159" s="3" t="s">
        <v>58</v>
      </c>
      <c r="C159" s="3" t="s">
        <v>83</v>
      </c>
      <c r="D159" s="4" t="s">
        <v>92</v>
      </c>
    </row>
    <row r="160" spans="1:4" ht="17" x14ac:dyDescent="0.2">
      <c r="A160" s="3">
        <v>40</v>
      </c>
      <c r="B160" s="3" t="s">
        <v>58</v>
      </c>
      <c r="C160" s="3" t="s">
        <v>102</v>
      </c>
      <c r="D160" s="4" t="s">
        <v>132</v>
      </c>
    </row>
    <row r="161" spans="1:4" x14ac:dyDescent="0.2">
      <c r="A161" s="3">
        <v>40</v>
      </c>
      <c r="B161" s="3" t="s">
        <v>58</v>
      </c>
      <c r="C161" s="3" t="s">
        <v>84</v>
      </c>
    </row>
    <row r="162" spans="1:4" ht="17" x14ac:dyDescent="0.2">
      <c r="A162" s="3">
        <v>41</v>
      </c>
      <c r="B162" s="3" t="s">
        <v>59</v>
      </c>
      <c r="C162" s="3" t="s">
        <v>82</v>
      </c>
      <c r="D162" s="4" t="s">
        <v>92</v>
      </c>
    </row>
    <row r="163" spans="1:4" ht="17" x14ac:dyDescent="0.2">
      <c r="A163" s="3">
        <v>41</v>
      </c>
      <c r="B163" s="3" t="s">
        <v>59</v>
      </c>
      <c r="C163" s="3" t="s">
        <v>83</v>
      </c>
      <c r="D163" s="4" t="s">
        <v>92</v>
      </c>
    </row>
    <row r="164" spans="1:4" ht="17" x14ac:dyDescent="0.2">
      <c r="A164" s="3">
        <v>41</v>
      </c>
      <c r="B164" s="3" t="s">
        <v>59</v>
      </c>
      <c r="C164" s="3" t="s">
        <v>102</v>
      </c>
      <c r="D164" s="4" t="s">
        <v>135</v>
      </c>
    </row>
    <row r="165" spans="1:4" x14ac:dyDescent="0.2">
      <c r="A165" s="3">
        <v>41</v>
      </c>
      <c r="B165" s="3" t="s">
        <v>59</v>
      </c>
      <c r="C165" s="3" t="s">
        <v>84</v>
      </c>
    </row>
    <row r="166" spans="1:4" ht="17" x14ac:dyDescent="0.2">
      <c r="A166" s="3">
        <v>42</v>
      </c>
      <c r="B166" s="3" t="s">
        <v>60</v>
      </c>
      <c r="C166" s="3" t="s">
        <v>82</v>
      </c>
      <c r="D166" s="4" t="s">
        <v>137</v>
      </c>
    </row>
    <row r="167" spans="1:4" ht="17" x14ac:dyDescent="0.2">
      <c r="A167" s="3">
        <v>42</v>
      </c>
      <c r="B167" s="3" t="s">
        <v>60</v>
      </c>
      <c r="C167" s="3" t="s">
        <v>83</v>
      </c>
      <c r="D167" s="4" t="s">
        <v>92</v>
      </c>
    </row>
    <row r="168" spans="1:4" ht="17" x14ac:dyDescent="0.2">
      <c r="A168" s="3">
        <v>42</v>
      </c>
      <c r="B168" s="3" t="s">
        <v>60</v>
      </c>
      <c r="C168" s="3" t="s">
        <v>102</v>
      </c>
      <c r="D168" s="4" t="s">
        <v>136</v>
      </c>
    </row>
    <row r="169" spans="1:4" ht="17" x14ac:dyDescent="0.2">
      <c r="A169" s="3">
        <v>42</v>
      </c>
      <c r="B169" s="3" t="s">
        <v>60</v>
      </c>
      <c r="C169" s="3" t="s">
        <v>84</v>
      </c>
      <c r="D169" s="4" t="s">
        <v>137</v>
      </c>
    </row>
    <row r="170" spans="1:4" ht="17" x14ac:dyDescent="0.2">
      <c r="A170" s="3">
        <v>43</v>
      </c>
      <c r="B170" s="3" t="s">
        <v>61</v>
      </c>
      <c r="C170" s="3" t="s">
        <v>82</v>
      </c>
      <c r="D170" s="4" t="s">
        <v>92</v>
      </c>
    </row>
    <row r="171" spans="1:4" ht="17" x14ac:dyDescent="0.2">
      <c r="A171" s="3">
        <v>43</v>
      </c>
      <c r="B171" s="3" t="s">
        <v>61</v>
      </c>
      <c r="C171" s="3" t="s">
        <v>83</v>
      </c>
      <c r="D171" s="4" t="s">
        <v>92</v>
      </c>
    </row>
    <row r="172" spans="1:4" ht="17" x14ac:dyDescent="0.2">
      <c r="A172" s="3">
        <v>43</v>
      </c>
      <c r="B172" s="3" t="s">
        <v>61</v>
      </c>
      <c r="C172" s="3" t="s">
        <v>102</v>
      </c>
      <c r="D172" s="4" t="s">
        <v>137</v>
      </c>
    </row>
    <row r="173" spans="1:4" x14ac:dyDescent="0.2">
      <c r="A173" s="3">
        <v>43</v>
      </c>
      <c r="B173" s="3" t="s">
        <v>61</v>
      </c>
      <c r="C173" s="3" t="s">
        <v>84</v>
      </c>
    </row>
    <row r="174" spans="1:4" ht="17" x14ac:dyDescent="0.2">
      <c r="A174" s="3">
        <v>44</v>
      </c>
      <c r="B174" s="3" t="s">
        <v>62</v>
      </c>
      <c r="C174" s="3" t="s">
        <v>82</v>
      </c>
      <c r="D174" s="4" t="s">
        <v>92</v>
      </c>
    </row>
    <row r="175" spans="1:4" ht="17" x14ac:dyDescent="0.2">
      <c r="A175" s="3">
        <v>44</v>
      </c>
      <c r="B175" s="3" t="s">
        <v>62</v>
      </c>
      <c r="C175" s="3" t="s">
        <v>83</v>
      </c>
      <c r="D175" s="4" t="s">
        <v>92</v>
      </c>
    </row>
    <row r="176" spans="1:4" ht="17" x14ac:dyDescent="0.2">
      <c r="A176" s="3">
        <v>44</v>
      </c>
      <c r="B176" s="3" t="s">
        <v>62</v>
      </c>
      <c r="C176" s="3" t="s">
        <v>102</v>
      </c>
      <c r="D176" s="4" t="s">
        <v>138</v>
      </c>
    </row>
    <row r="177" spans="1:4" ht="17" x14ac:dyDescent="0.2">
      <c r="A177" s="3">
        <v>44</v>
      </c>
      <c r="B177" s="3" t="s">
        <v>62</v>
      </c>
      <c r="C177" s="3" t="s">
        <v>84</v>
      </c>
      <c r="D177" s="4" t="s">
        <v>92</v>
      </c>
    </row>
    <row r="178" spans="1:4" x14ac:dyDescent="0.2">
      <c r="A178" s="3">
        <v>45</v>
      </c>
      <c r="B178" s="3" t="s">
        <v>63</v>
      </c>
      <c r="C178" s="3" t="s">
        <v>83</v>
      </c>
    </row>
    <row r="179" spans="1:4" ht="17" x14ac:dyDescent="0.2">
      <c r="A179" s="3">
        <v>45</v>
      </c>
      <c r="B179" s="3" t="s">
        <v>63</v>
      </c>
      <c r="C179" s="3" t="s">
        <v>102</v>
      </c>
      <c r="D179" s="4" t="s">
        <v>139</v>
      </c>
    </row>
    <row r="180" spans="1:4" ht="17" x14ac:dyDescent="0.2">
      <c r="A180" s="3">
        <v>45</v>
      </c>
      <c r="B180" s="3" t="s">
        <v>63</v>
      </c>
      <c r="C180" s="3" t="s">
        <v>82</v>
      </c>
      <c r="D180" s="4" t="s">
        <v>140</v>
      </c>
    </row>
    <row r="181" spans="1:4" ht="17" x14ac:dyDescent="0.2">
      <c r="A181" s="3">
        <v>45</v>
      </c>
      <c r="B181" s="3" t="s">
        <v>63</v>
      </c>
      <c r="C181" s="3" t="s">
        <v>84</v>
      </c>
      <c r="D181" s="4" t="s">
        <v>92</v>
      </c>
    </row>
    <row r="182" spans="1:4" ht="17" x14ac:dyDescent="0.2">
      <c r="A182" s="3">
        <v>46</v>
      </c>
      <c r="B182" s="3" t="s">
        <v>64</v>
      </c>
      <c r="C182" s="3" t="s">
        <v>82</v>
      </c>
      <c r="D182" s="4" t="s">
        <v>92</v>
      </c>
    </row>
    <row r="183" spans="1:4" ht="17" x14ac:dyDescent="0.2">
      <c r="A183" s="3">
        <v>46</v>
      </c>
      <c r="B183" s="3" t="s">
        <v>64</v>
      </c>
      <c r="C183" s="3" t="s">
        <v>83</v>
      </c>
      <c r="D183" s="4" t="s">
        <v>92</v>
      </c>
    </row>
    <row r="184" spans="1:4" ht="17" x14ac:dyDescent="0.2">
      <c r="A184" s="3">
        <v>46</v>
      </c>
      <c r="B184" s="3" t="s">
        <v>64</v>
      </c>
      <c r="C184" s="3" t="s">
        <v>102</v>
      </c>
      <c r="D184" s="4" t="s">
        <v>141</v>
      </c>
    </row>
    <row r="185" spans="1:4" x14ac:dyDescent="0.2">
      <c r="A185" s="3">
        <v>46</v>
      </c>
      <c r="B185" s="3" t="s">
        <v>64</v>
      </c>
      <c r="C185" s="3" t="s">
        <v>84</v>
      </c>
    </row>
    <row r="186" spans="1:4" ht="17" x14ac:dyDescent="0.2">
      <c r="A186" s="3">
        <v>47</v>
      </c>
      <c r="B186" s="3" t="s">
        <v>65</v>
      </c>
      <c r="C186" s="3" t="s">
        <v>82</v>
      </c>
      <c r="D186" s="4" t="s">
        <v>92</v>
      </c>
    </row>
    <row r="187" spans="1:4" ht="17" x14ac:dyDescent="0.2">
      <c r="A187" s="3">
        <v>47</v>
      </c>
      <c r="B187" s="3" t="s">
        <v>65</v>
      </c>
      <c r="C187" s="3" t="s">
        <v>83</v>
      </c>
      <c r="D187" s="4" t="s">
        <v>92</v>
      </c>
    </row>
    <row r="188" spans="1:4" ht="17" x14ac:dyDescent="0.2">
      <c r="A188" s="3">
        <v>47</v>
      </c>
      <c r="B188" s="3" t="s">
        <v>65</v>
      </c>
      <c r="C188" s="3" t="s">
        <v>102</v>
      </c>
      <c r="D188" s="4" t="s">
        <v>142</v>
      </c>
    </row>
    <row r="189" spans="1:4" x14ac:dyDescent="0.2">
      <c r="A189" s="3">
        <v>47</v>
      </c>
      <c r="B189" s="3" t="s">
        <v>65</v>
      </c>
      <c r="C189" s="3" t="s">
        <v>84</v>
      </c>
    </row>
    <row r="190" spans="1:4" ht="17" x14ac:dyDescent="0.2">
      <c r="A190" s="3">
        <v>48</v>
      </c>
      <c r="B190" s="3" t="s">
        <v>66</v>
      </c>
      <c r="C190" s="3" t="s">
        <v>82</v>
      </c>
      <c r="D190" s="4" t="s">
        <v>92</v>
      </c>
    </row>
    <row r="191" spans="1:4" ht="17" x14ac:dyDescent="0.2">
      <c r="A191" s="3">
        <v>48</v>
      </c>
      <c r="B191" s="3" t="s">
        <v>66</v>
      </c>
      <c r="C191" s="3" t="s">
        <v>83</v>
      </c>
      <c r="D191" s="4" t="s">
        <v>92</v>
      </c>
    </row>
    <row r="192" spans="1:4" ht="17" x14ac:dyDescent="0.2">
      <c r="A192" s="3">
        <v>48</v>
      </c>
      <c r="B192" s="3" t="s">
        <v>66</v>
      </c>
      <c r="C192" s="3" t="s">
        <v>102</v>
      </c>
      <c r="D192" s="4" t="s">
        <v>143</v>
      </c>
    </row>
    <row r="193" spans="1:5" ht="17" x14ac:dyDescent="0.2">
      <c r="A193" s="3">
        <v>48</v>
      </c>
      <c r="B193" s="3" t="s">
        <v>66</v>
      </c>
      <c r="C193" s="3" t="s">
        <v>84</v>
      </c>
      <c r="D193" s="4" t="s">
        <v>143</v>
      </c>
    </row>
    <row r="194" spans="1:5" ht="17" x14ac:dyDescent="0.2">
      <c r="A194" s="3">
        <v>49</v>
      </c>
      <c r="B194" s="3" t="s">
        <v>67</v>
      </c>
      <c r="C194" s="3" t="s">
        <v>82</v>
      </c>
      <c r="D194" s="4" t="s">
        <v>92</v>
      </c>
      <c r="E194" s="3" t="s">
        <v>144</v>
      </c>
    </row>
    <row r="195" spans="1:5" ht="17" x14ac:dyDescent="0.2">
      <c r="A195" s="3">
        <v>49</v>
      </c>
      <c r="B195" s="3" t="s">
        <v>67</v>
      </c>
      <c r="C195" s="3" t="s">
        <v>83</v>
      </c>
      <c r="D195" s="4" t="s">
        <v>146</v>
      </c>
    </row>
    <row r="196" spans="1:5" x14ac:dyDescent="0.2">
      <c r="A196" s="3">
        <v>49</v>
      </c>
      <c r="B196" s="3" t="s">
        <v>67</v>
      </c>
      <c r="C196" s="3" t="s">
        <v>102</v>
      </c>
    </row>
    <row r="197" spans="1:5" x14ac:dyDescent="0.2">
      <c r="A197" s="3">
        <v>49</v>
      </c>
      <c r="B197" s="3" t="s">
        <v>67</v>
      </c>
      <c r="C197" s="3" t="s">
        <v>84</v>
      </c>
    </row>
    <row r="198" spans="1:5" ht="18" customHeight="1" x14ac:dyDescent="0.2">
      <c r="A198" s="3">
        <v>50</v>
      </c>
      <c r="B198" s="3" t="s">
        <v>68</v>
      </c>
      <c r="C198" s="3" t="s">
        <v>82</v>
      </c>
      <c r="D198" s="4" t="s">
        <v>92</v>
      </c>
      <c r="E198" s="4" t="s">
        <v>145</v>
      </c>
    </row>
    <row r="199" spans="1:5" ht="17" x14ac:dyDescent="0.2">
      <c r="A199" s="3">
        <v>50</v>
      </c>
      <c r="B199" s="3" t="s">
        <v>68</v>
      </c>
      <c r="C199" s="3" t="s">
        <v>83</v>
      </c>
      <c r="D199" s="4" t="s">
        <v>146</v>
      </c>
    </row>
    <row r="200" spans="1:5" ht="17" x14ac:dyDescent="0.2">
      <c r="A200" s="3">
        <v>50</v>
      </c>
      <c r="B200" s="3" t="s">
        <v>68</v>
      </c>
      <c r="C200" s="3" t="s">
        <v>102</v>
      </c>
      <c r="D200" s="4" t="s">
        <v>147</v>
      </c>
    </row>
    <row r="201" spans="1:5" x14ac:dyDescent="0.2">
      <c r="A201" s="3">
        <v>50</v>
      </c>
      <c r="B201" s="3" t="s">
        <v>68</v>
      </c>
      <c r="C201" s="3" t="s">
        <v>84</v>
      </c>
    </row>
    <row r="202" spans="1:5" ht="17" x14ac:dyDescent="0.2">
      <c r="A202" s="3">
        <v>51</v>
      </c>
      <c r="B202" s="3" t="s">
        <v>69</v>
      </c>
      <c r="C202" s="3" t="s">
        <v>83</v>
      </c>
      <c r="D202" s="4" t="s">
        <v>92</v>
      </c>
    </row>
    <row r="203" spans="1:5" ht="17" x14ac:dyDescent="0.2">
      <c r="A203" s="3">
        <v>51</v>
      </c>
      <c r="B203" s="3" t="s">
        <v>69</v>
      </c>
      <c r="C203" s="3" t="s">
        <v>82</v>
      </c>
      <c r="D203" s="4" t="s">
        <v>92</v>
      </c>
    </row>
    <row r="204" spans="1:5" x14ac:dyDescent="0.2">
      <c r="A204" s="3">
        <v>51</v>
      </c>
      <c r="B204" s="3" t="s">
        <v>69</v>
      </c>
      <c r="C204" s="3" t="s">
        <v>102</v>
      </c>
    </row>
    <row r="205" spans="1:5" x14ac:dyDescent="0.2">
      <c r="A205" s="3">
        <v>51</v>
      </c>
      <c r="B205" s="3" t="s">
        <v>69</v>
      </c>
      <c r="C205" s="3" t="s">
        <v>84</v>
      </c>
    </row>
    <row r="206" spans="1:5" ht="17" x14ac:dyDescent="0.2">
      <c r="A206" s="3">
        <v>52</v>
      </c>
      <c r="B206" s="3" t="s">
        <v>70</v>
      </c>
      <c r="C206" s="3" t="s">
        <v>82</v>
      </c>
      <c r="D206" s="4" t="s">
        <v>92</v>
      </c>
    </row>
    <row r="207" spans="1:5" ht="17" x14ac:dyDescent="0.2">
      <c r="A207" s="3">
        <v>52</v>
      </c>
      <c r="B207" s="3" t="s">
        <v>70</v>
      </c>
      <c r="C207" s="3" t="s">
        <v>83</v>
      </c>
      <c r="D207" s="4" t="s">
        <v>92</v>
      </c>
    </row>
    <row r="208" spans="1:5" ht="17" x14ac:dyDescent="0.2">
      <c r="A208" s="3">
        <v>52</v>
      </c>
      <c r="B208" s="3" t="s">
        <v>70</v>
      </c>
      <c r="C208" s="3" t="s">
        <v>102</v>
      </c>
      <c r="D208" s="4" t="s">
        <v>148</v>
      </c>
    </row>
    <row r="209" spans="1:4" x14ac:dyDescent="0.2">
      <c r="A209" s="3">
        <v>52</v>
      </c>
      <c r="B209" s="3" t="s">
        <v>70</v>
      </c>
      <c r="C209" s="3" t="s">
        <v>84</v>
      </c>
    </row>
    <row r="210" spans="1:4" ht="17" x14ac:dyDescent="0.2">
      <c r="A210" s="3">
        <v>53</v>
      </c>
      <c r="B210" s="3" t="s">
        <v>71</v>
      </c>
      <c r="C210" s="3" t="s">
        <v>82</v>
      </c>
      <c r="D210" s="4" t="s">
        <v>92</v>
      </c>
    </row>
    <row r="211" spans="1:4" ht="17" x14ac:dyDescent="0.2">
      <c r="A211" s="3">
        <v>53</v>
      </c>
      <c r="B211" s="3" t="s">
        <v>71</v>
      </c>
      <c r="C211" s="3" t="s">
        <v>83</v>
      </c>
      <c r="D211" s="4" t="s">
        <v>92</v>
      </c>
    </row>
    <row r="212" spans="1:4" x14ac:dyDescent="0.2">
      <c r="A212" s="3">
        <v>53</v>
      </c>
      <c r="B212" s="3" t="s">
        <v>71</v>
      </c>
      <c r="C212" s="3" t="s">
        <v>102</v>
      </c>
    </row>
    <row r="213" spans="1:4" ht="17" x14ac:dyDescent="0.2">
      <c r="A213" s="3">
        <v>53</v>
      </c>
      <c r="B213" s="3" t="s">
        <v>71</v>
      </c>
      <c r="C213" s="3" t="s">
        <v>84</v>
      </c>
      <c r="D213" s="4" t="s">
        <v>93</v>
      </c>
    </row>
    <row r="214" spans="1:4" ht="17" x14ac:dyDescent="0.2">
      <c r="A214" s="3">
        <v>54</v>
      </c>
      <c r="B214" t="s">
        <v>211</v>
      </c>
      <c r="C214" s="3" t="s">
        <v>82</v>
      </c>
      <c r="D214" s="4" t="s">
        <v>107</v>
      </c>
    </row>
    <row r="215" spans="1:4" ht="17" x14ac:dyDescent="0.2">
      <c r="A215" s="3">
        <v>54</v>
      </c>
      <c r="B215" t="s">
        <v>211</v>
      </c>
      <c r="C215" s="3" t="s">
        <v>83</v>
      </c>
      <c r="D215" s="4" t="s">
        <v>92</v>
      </c>
    </row>
    <row r="216" spans="1:4" ht="17" x14ac:dyDescent="0.2">
      <c r="A216" s="3">
        <v>54</v>
      </c>
      <c r="B216" t="s">
        <v>211</v>
      </c>
      <c r="C216" s="3" t="s">
        <v>102</v>
      </c>
      <c r="D216" s="4" t="s">
        <v>229</v>
      </c>
    </row>
    <row r="217" spans="1:4" ht="17" x14ac:dyDescent="0.2">
      <c r="A217" s="3">
        <v>54</v>
      </c>
      <c r="B217" t="s">
        <v>211</v>
      </c>
      <c r="C217" s="3" t="s">
        <v>84</v>
      </c>
      <c r="D217" s="4" t="s">
        <v>93</v>
      </c>
    </row>
    <row r="218" spans="1:4" ht="17" x14ac:dyDescent="0.2">
      <c r="A218" s="3">
        <v>55</v>
      </c>
      <c r="B218" t="s">
        <v>202</v>
      </c>
      <c r="C218" s="3" t="s">
        <v>82</v>
      </c>
      <c r="D218" s="4" t="s">
        <v>92</v>
      </c>
    </row>
    <row r="219" spans="1:4" ht="17" x14ac:dyDescent="0.2">
      <c r="A219" s="3">
        <v>55</v>
      </c>
      <c r="B219" t="s">
        <v>202</v>
      </c>
      <c r="C219" s="3" t="s">
        <v>83</v>
      </c>
      <c r="D219" s="4" t="s">
        <v>92</v>
      </c>
    </row>
    <row r="220" spans="1:4" ht="17" x14ac:dyDescent="0.2">
      <c r="A220" s="3">
        <v>55</v>
      </c>
      <c r="B220" t="s">
        <v>202</v>
      </c>
      <c r="C220" s="3" t="s">
        <v>102</v>
      </c>
      <c r="D220" s="4" t="s">
        <v>230</v>
      </c>
    </row>
    <row r="221" spans="1:4" ht="17" x14ac:dyDescent="0.2">
      <c r="A221" s="3">
        <v>55</v>
      </c>
      <c r="B221" t="s">
        <v>202</v>
      </c>
      <c r="C221" s="3" t="s">
        <v>84</v>
      </c>
      <c r="D221" s="4" t="s">
        <v>93</v>
      </c>
    </row>
    <row r="222" spans="1:4" ht="17" x14ac:dyDescent="0.2">
      <c r="A222" s="3">
        <v>56</v>
      </c>
      <c r="B222" t="s">
        <v>204</v>
      </c>
      <c r="C222" s="3" t="s">
        <v>82</v>
      </c>
      <c r="D222" s="4" t="s">
        <v>93</v>
      </c>
    </row>
    <row r="223" spans="1:4" ht="17" x14ac:dyDescent="0.2">
      <c r="A223" s="3">
        <v>56</v>
      </c>
      <c r="B223" t="s">
        <v>204</v>
      </c>
      <c r="C223" s="3" t="s">
        <v>83</v>
      </c>
      <c r="D223" s="4" t="s">
        <v>107</v>
      </c>
    </row>
    <row r="224" spans="1:4" ht="17" x14ac:dyDescent="0.2">
      <c r="A224" s="3">
        <v>56</v>
      </c>
      <c r="B224" t="s">
        <v>204</v>
      </c>
      <c r="C224" s="3" t="s">
        <v>102</v>
      </c>
      <c r="D224" s="4" t="s">
        <v>231</v>
      </c>
    </row>
    <row r="225" spans="1:4" x14ac:dyDescent="0.2">
      <c r="A225" s="3">
        <v>56</v>
      </c>
      <c r="B225" t="s">
        <v>204</v>
      </c>
      <c r="C225" s="3" t="s">
        <v>84</v>
      </c>
    </row>
    <row r="226" spans="1:4" ht="17" x14ac:dyDescent="0.2">
      <c r="A226" s="3">
        <v>57</v>
      </c>
      <c r="B226" t="s">
        <v>212</v>
      </c>
      <c r="C226" s="3" t="s">
        <v>82</v>
      </c>
      <c r="D226" s="4" t="s">
        <v>232</v>
      </c>
    </row>
    <row r="227" spans="1:4" ht="17" x14ac:dyDescent="0.2">
      <c r="A227" s="3">
        <v>57</v>
      </c>
      <c r="B227" t="s">
        <v>212</v>
      </c>
      <c r="C227" s="3" t="s">
        <v>83</v>
      </c>
      <c r="D227" s="4" t="s">
        <v>233</v>
      </c>
    </row>
    <row r="228" spans="1:4" x14ac:dyDescent="0.2">
      <c r="A228" s="3">
        <v>57</v>
      </c>
      <c r="B228" t="s">
        <v>212</v>
      </c>
      <c r="C228" s="3" t="s">
        <v>102</v>
      </c>
    </row>
    <row r="229" spans="1:4" x14ac:dyDescent="0.2">
      <c r="A229" s="3">
        <v>57</v>
      </c>
      <c r="B229" t="s">
        <v>212</v>
      </c>
      <c r="C229" s="3" t="s">
        <v>84</v>
      </c>
    </row>
    <row r="230" spans="1:4" ht="17" x14ac:dyDescent="0.2">
      <c r="A230" s="3">
        <v>58</v>
      </c>
      <c r="B230" t="s">
        <v>213</v>
      </c>
      <c r="C230" s="3" t="s">
        <v>82</v>
      </c>
      <c r="D230" s="4" t="s">
        <v>92</v>
      </c>
    </row>
    <row r="231" spans="1:4" ht="17" x14ac:dyDescent="0.2">
      <c r="A231" s="3">
        <v>58</v>
      </c>
      <c r="B231" t="s">
        <v>213</v>
      </c>
      <c r="C231" s="3" t="s">
        <v>83</v>
      </c>
      <c r="D231" s="4" t="s">
        <v>92</v>
      </c>
    </row>
    <row r="232" spans="1:4" ht="17" x14ac:dyDescent="0.2">
      <c r="A232" s="3">
        <v>58</v>
      </c>
      <c r="B232" t="s">
        <v>213</v>
      </c>
      <c r="C232" s="3" t="s">
        <v>102</v>
      </c>
      <c r="D232" s="4" t="s">
        <v>234</v>
      </c>
    </row>
    <row r="233" spans="1:4" ht="17" x14ac:dyDescent="0.2">
      <c r="A233" s="3">
        <v>58</v>
      </c>
      <c r="B233" t="s">
        <v>213</v>
      </c>
      <c r="C233" s="3" t="s">
        <v>84</v>
      </c>
      <c r="D233" s="4" t="s">
        <v>93</v>
      </c>
    </row>
    <row r="234" spans="1:4" ht="17" x14ac:dyDescent="0.2">
      <c r="A234" s="3">
        <v>59</v>
      </c>
      <c r="B234" t="s">
        <v>214</v>
      </c>
      <c r="C234" s="3" t="s">
        <v>82</v>
      </c>
      <c r="D234" s="4" t="s">
        <v>93</v>
      </c>
    </row>
    <row r="235" spans="1:4" x14ac:dyDescent="0.2">
      <c r="A235" s="3">
        <v>59</v>
      </c>
      <c r="B235" t="s">
        <v>214</v>
      </c>
      <c r="C235" s="3" t="s">
        <v>83</v>
      </c>
      <c r="D235" t="s">
        <v>247</v>
      </c>
    </row>
    <row r="236" spans="1:4" x14ac:dyDescent="0.2">
      <c r="A236" s="3">
        <v>59</v>
      </c>
      <c r="B236" t="s">
        <v>214</v>
      </c>
      <c r="C236" s="3" t="s">
        <v>102</v>
      </c>
      <c r="D236" t="s">
        <v>235</v>
      </c>
    </row>
    <row r="237" spans="1:4" x14ac:dyDescent="0.2">
      <c r="A237" s="3">
        <v>59</v>
      </c>
      <c r="B237" t="s">
        <v>214</v>
      </c>
      <c r="C237" s="3" t="s">
        <v>84</v>
      </c>
    </row>
    <row r="238" spans="1:4" ht="17" x14ac:dyDescent="0.2">
      <c r="A238" s="3">
        <v>60</v>
      </c>
      <c r="B238" t="s">
        <v>215</v>
      </c>
      <c r="C238" s="3" t="s">
        <v>82</v>
      </c>
      <c r="D238" s="4" t="s">
        <v>92</v>
      </c>
    </row>
    <row r="239" spans="1:4" ht="17" x14ac:dyDescent="0.2">
      <c r="A239" s="3">
        <v>60</v>
      </c>
      <c r="B239" t="s">
        <v>215</v>
      </c>
      <c r="C239" s="3" t="s">
        <v>83</v>
      </c>
      <c r="D239" s="4" t="s">
        <v>92</v>
      </c>
    </row>
    <row r="240" spans="1:4" x14ac:dyDescent="0.2">
      <c r="A240" s="3">
        <v>60</v>
      </c>
      <c r="B240" t="s">
        <v>215</v>
      </c>
      <c r="C240" s="3" t="s">
        <v>102</v>
      </c>
    </row>
    <row r="241" spans="1:4" x14ac:dyDescent="0.2">
      <c r="A241" s="3">
        <v>60</v>
      </c>
      <c r="B241" t="s">
        <v>215</v>
      </c>
      <c r="C241" s="3" t="s">
        <v>84</v>
      </c>
    </row>
    <row r="242" spans="1:4" ht="17" x14ac:dyDescent="0.2">
      <c r="A242" s="3">
        <v>61</v>
      </c>
      <c r="B242" t="s">
        <v>190</v>
      </c>
      <c r="C242" s="3" t="s">
        <v>82</v>
      </c>
      <c r="D242" s="4" t="s">
        <v>92</v>
      </c>
    </row>
    <row r="243" spans="1:4" ht="17" x14ac:dyDescent="0.2">
      <c r="A243" s="3">
        <v>61</v>
      </c>
      <c r="B243" t="s">
        <v>190</v>
      </c>
      <c r="C243" s="3" t="s">
        <v>83</v>
      </c>
      <c r="D243" s="4" t="s">
        <v>92</v>
      </c>
    </row>
    <row r="244" spans="1:4" x14ac:dyDescent="0.2">
      <c r="A244" s="3">
        <v>61</v>
      </c>
      <c r="B244" t="s">
        <v>190</v>
      </c>
      <c r="C244" s="3" t="s">
        <v>102</v>
      </c>
    </row>
    <row r="245" spans="1:4" x14ac:dyDescent="0.2">
      <c r="A245" s="3">
        <v>61</v>
      </c>
      <c r="B245" t="s">
        <v>190</v>
      </c>
      <c r="C245" s="3" t="s">
        <v>84</v>
      </c>
    </row>
    <row r="246" spans="1:4" ht="17" x14ac:dyDescent="0.2">
      <c r="A246" s="3">
        <v>62</v>
      </c>
      <c r="B246" t="s">
        <v>216</v>
      </c>
      <c r="C246" s="3" t="s">
        <v>82</v>
      </c>
      <c r="D246" s="4" t="s">
        <v>92</v>
      </c>
    </row>
    <row r="247" spans="1:4" ht="17" x14ac:dyDescent="0.2">
      <c r="A247" s="3">
        <v>62</v>
      </c>
      <c r="B247" t="s">
        <v>216</v>
      </c>
      <c r="C247" s="3" t="s">
        <v>83</v>
      </c>
      <c r="D247" s="4" t="s">
        <v>92</v>
      </c>
    </row>
    <row r="248" spans="1:4" x14ac:dyDescent="0.2">
      <c r="A248" s="3">
        <v>62</v>
      </c>
      <c r="B248" t="s">
        <v>216</v>
      </c>
      <c r="C248" s="3" t="s">
        <v>102</v>
      </c>
    </row>
    <row r="249" spans="1:4" ht="17" x14ac:dyDescent="0.2">
      <c r="A249" s="3">
        <v>62</v>
      </c>
      <c r="B249" t="s">
        <v>216</v>
      </c>
      <c r="C249" s="3" t="s">
        <v>84</v>
      </c>
      <c r="D249" s="4" t="s">
        <v>107</v>
      </c>
    </row>
    <row r="250" spans="1:4" x14ac:dyDescent="0.2">
      <c r="B250" s="9"/>
    </row>
    <row r="251" spans="1:4" x14ac:dyDescent="0.2">
      <c r="B251" s="9"/>
    </row>
    <row r="252" spans="1:4" x14ac:dyDescent="0.2">
      <c r="B252" s="9"/>
    </row>
    <row r="253" spans="1:4" x14ac:dyDescent="0.2">
      <c r="B253" s="9"/>
    </row>
  </sheetData>
  <autoFilter ref="A1:E209" xr:uid="{B65FC5F3-C30D-9A4A-BA3C-E39F015D6609}">
    <sortState xmlns:xlrd2="http://schemas.microsoft.com/office/spreadsheetml/2017/richdata2" ref="A2:E209">
      <sortCondition ref="A1:A209"/>
    </sortState>
  </autoFilter>
  <conditionalFormatting sqref="D1:D213">
    <cfRule type="containsBlanks" dxfId="7" priority="9">
      <formula>LEN(TRIM(D1))=0</formula>
    </cfRule>
  </conditionalFormatting>
  <conditionalFormatting sqref="D225">
    <cfRule type="containsBlanks" dxfId="6" priority="7">
      <formula>LEN(TRIM(D225))=0</formula>
    </cfRule>
  </conditionalFormatting>
  <conditionalFormatting sqref="D228:D229">
    <cfRule type="containsBlanks" dxfId="5" priority="6">
      <formula>LEN(TRIM(D228))=0</formula>
    </cfRule>
  </conditionalFormatting>
  <conditionalFormatting sqref="D235:D237">
    <cfRule type="containsBlanks" dxfId="4" priority="5">
      <formula>LEN(TRIM(D235))=0</formula>
    </cfRule>
  </conditionalFormatting>
  <conditionalFormatting sqref="D240:D241">
    <cfRule type="containsBlanks" dxfId="3" priority="3">
      <formula>LEN(TRIM(D240))=0</formula>
    </cfRule>
  </conditionalFormatting>
  <conditionalFormatting sqref="D244:D245">
    <cfRule type="containsBlanks" dxfId="2" priority="2">
      <formula>LEN(TRIM(D244))=0</formula>
    </cfRule>
  </conditionalFormatting>
  <conditionalFormatting sqref="D248">
    <cfRule type="containsBlanks" dxfId="1" priority="1">
      <formula>LEN(TRIM(D248))=0</formula>
    </cfRule>
  </conditionalFormatting>
  <conditionalFormatting sqref="E198">
    <cfRule type="containsBlanks" dxfId="0" priority="8">
      <formula>LEN(TRIM(E198))=0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DD39F-28C1-1847-899A-4844A77103AD}">
  <dimension ref="A1:D43"/>
  <sheetViews>
    <sheetView workbookViewId="0">
      <selection activeCell="C26" sqref="C25:C26"/>
    </sheetView>
  </sheetViews>
  <sheetFormatPr baseColWidth="10" defaultRowHeight="16" x14ac:dyDescent="0.2"/>
  <cols>
    <col min="1" max="1" width="21.1640625" style="3" bestFit="1" customWidth="1"/>
    <col min="2" max="2" width="14.1640625" style="3" bestFit="1" customWidth="1"/>
    <col min="3" max="3" width="86.5" style="3" bestFit="1" customWidth="1"/>
    <col min="4" max="4" width="106.83203125" style="3" customWidth="1"/>
  </cols>
  <sheetData>
    <row r="1" spans="1:4" x14ac:dyDescent="0.2">
      <c r="A1" s="3" t="s">
        <v>80</v>
      </c>
      <c r="B1" s="3" t="s">
        <v>410</v>
      </c>
      <c r="D1" s="3" t="s">
        <v>412</v>
      </c>
    </row>
    <row r="2" spans="1:4" x14ac:dyDescent="0.2">
      <c r="A2" s="36" t="s">
        <v>223</v>
      </c>
      <c r="B2" s="30" t="s">
        <v>77</v>
      </c>
      <c r="C2" s="30" t="s">
        <v>414</v>
      </c>
      <c r="D2" s="37" t="s">
        <v>440</v>
      </c>
    </row>
    <row r="3" spans="1:4" x14ac:dyDescent="0.2">
      <c r="A3" s="36" t="s">
        <v>223</v>
      </c>
      <c r="B3" s="30" t="s">
        <v>98</v>
      </c>
      <c r="C3" s="30" t="s">
        <v>414</v>
      </c>
      <c r="D3" s="38" t="s">
        <v>411</v>
      </c>
    </row>
    <row r="4" spans="1:4" ht="17" x14ac:dyDescent="0.2">
      <c r="A4" s="36" t="s">
        <v>223</v>
      </c>
      <c r="B4" s="30" t="s">
        <v>99</v>
      </c>
      <c r="C4" s="30" t="s">
        <v>414</v>
      </c>
      <c r="D4" s="39" t="s">
        <v>415</v>
      </c>
    </row>
    <row r="5" spans="1:4" x14ac:dyDescent="0.2">
      <c r="A5" s="36" t="s">
        <v>223</v>
      </c>
      <c r="B5" s="30" t="s">
        <v>97</v>
      </c>
      <c r="C5" s="30" t="s">
        <v>414</v>
      </c>
      <c r="D5" s="41" t="s">
        <v>416</v>
      </c>
    </row>
    <row r="6" spans="1:4" x14ac:dyDescent="0.2">
      <c r="A6" s="36" t="s">
        <v>223</v>
      </c>
      <c r="B6" s="30" t="s">
        <v>409</v>
      </c>
      <c r="C6" s="30" t="s">
        <v>441</v>
      </c>
      <c r="D6" s="41" t="s">
        <v>418</v>
      </c>
    </row>
    <row r="7" spans="1:4" x14ac:dyDescent="0.2">
      <c r="A7" s="36" t="s">
        <v>223</v>
      </c>
      <c r="B7" s="30" t="s">
        <v>100</v>
      </c>
      <c r="C7" s="30" t="s">
        <v>414</v>
      </c>
      <c r="D7" s="41" t="s">
        <v>420</v>
      </c>
    </row>
    <row r="8" spans="1:4" x14ac:dyDescent="0.2">
      <c r="A8" s="36" t="s">
        <v>223</v>
      </c>
      <c r="B8" s="30" t="s">
        <v>5</v>
      </c>
      <c r="C8" s="30" t="s">
        <v>413</v>
      </c>
      <c r="D8" s="41" t="s">
        <v>421</v>
      </c>
    </row>
    <row r="9" spans="1:4" x14ac:dyDescent="0.2">
      <c r="A9" s="40" t="s">
        <v>203</v>
      </c>
      <c r="B9" s="30" t="s">
        <v>77</v>
      </c>
      <c r="C9" s="3" t="s">
        <v>425</v>
      </c>
      <c r="D9" s="41" t="s">
        <v>423</v>
      </c>
    </row>
    <row r="10" spans="1:4" x14ac:dyDescent="0.2">
      <c r="A10" s="40" t="s">
        <v>203</v>
      </c>
      <c r="B10" s="30" t="s">
        <v>98</v>
      </c>
      <c r="C10" s="3" t="s">
        <v>424</v>
      </c>
      <c r="D10" s="43" t="s">
        <v>426</v>
      </c>
    </row>
    <row r="11" spans="1:4" x14ac:dyDescent="0.2">
      <c r="A11" s="40" t="s">
        <v>203</v>
      </c>
      <c r="B11" s="30" t="s">
        <v>99</v>
      </c>
      <c r="C11" s="3" t="s">
        <v>424</v>
      </c>
      <c r="D11" s="43" t="s">
        <v>427</v>
      </c>
    </row>
    <row r="12" spans="1:4" x14ac:dyDescent="0.2">
      <c r="A12" s="40" t="s">
        <v>203</v>
      </c>
      <c r="B12" s="30" t="s">
        <v>97</v>
      </c>
      <c r="C12" s="3" t="s">
        <v>424</v>
      </c>
      <c r="D12" s="43" t="s">
        <v>428</v>
      </c>
    </row>
    <row r="13" spans="1:4" x14ac:dyDescent="0.2">
      <c r="A13" s="40" t="s">
        <v>203</v>
      </c>
      <c r="B13" s="30" t="s">
        <v>409</v>
      </c>
      <c r="C13" s="3" t="s">
        <v>422</v>
      </c>
      <c r="D13" s="43" t="s">
        <v>429</v>
      </c>
    </row>
    <row r="14" spans="1:4" x14ac:dyDescent="0.2">
      <c r="A14" s="40" t="s">
        <v>203</v>
      </c>
      <c r="B14" s="30" t="s">
        <v>100</v>
      </c>
      <c r="C14" s="3" t="s">
        <v>422</v>
      </c>
      <c r="D14" s="43" t="s">
        <v>430</v>
      </c>
    </row>
    <row r="15" spans="1:4" x14ac:dyDescent="0.2">
      <c r="A15" s="40" t="s">
        <v>203</v>
      </c>
      <c r="B15" s="30" t="s">
        <v>5</v>
      </c>
      <c r="C15" s="3" t="s">
        <v>419</v>
      </c>
      <c r="D15" s="43" t="s">
        <v>431</v>
      </c>
    </row>
    <row r="16" spans="1:4" x14ac:dyDescent="0.2">
      <c r="A16" s="42" t="s">
        <v>225</v>
      </c>
      <c r="B16" s="30" t="s">
        <v>77</v>
      </c>
      <c r="C16" s="3" t="s">
        <v>433</v>
      </c>
      <c r="D16" s="43" t="s">
        <v>432</v>
      </c>
    </row>
    <row r="17" spans="1:4" x14ac:dyDescent="0.2">
      <c r="A17" s="42" t="s">
        <v>225</v>
      </c>
      <c r="B17" s="30" t="s">
        <v>98</v>
      </c>
      <c r="C17" s="3" t="s">
        <v>434</v>
      </c>
      <c r="D17" s="43" t="s">
        <v>438</v>
      </c>
    </row>
    <row r="18" spans="1:4" x14ac:dyDescent="0.2">
      <c r="A18" s="42" t="s">
        <v>225</v>
      </c>
      <c r="B18" s="30" t="s">
        <v>99</v>
      </c>
      <c r="C18" s="3" t="s">
        <v>434</v>
      </c>
      <c r="D18" s="44" t="s">
        <v>442</v>
      </c>
    </row>
    <row r="19" spans="1:4" x14ac:dyDescent="0.2">
      <c r="A19" s="42" t="s">
        <v>225</v>
      </c>
      <c r="B19" s="30" t="s">
        <v>97</v>
      </c>
      <c r="C19" s="3" t="s">
        <v>435</v>
      </c>
      <c r="D19" s="44" t="s">
        <v>443</v>
      </c>
    </row>
    <row r="20" spans="1:4" x14ac:dyDescent="0.2">
      <c r="A20" s="42" t="s">
        <v>225</v>
      </c>
      <c r="B20" s="30" t="s">
        <v>409</v>
      </c>
      <c r="C20" s="3" t="s">
        <v>436</v>
      </c>
      <c r="D20" s="44" t="s">
        <v>444</v>
      </c>
    </row>
    <row r="21" spans="1:4" x14ac:dyDescent="0.2">
      <c r="A21" s="42" t="s">
        <v>225</v>
      </c>
      <c r="B21" s="30" t="s">
        <v>100</v>
      </c>
      <c r="C21" s="3" t="s">
        <v>437</v>
      </c>
      <c r="D21" s="44" t="s">
        <v>446</v>
      </c>
    </row>
    <row r="22" spans="1:4" x14ac:dyDescent="0.2">
      <c r="A22" s="42" t="s">
        <v>225</v>
      </c>
      <c r="B22" s="30" t="s">
        <v>5</v>
      </c>
      <c r="C22" s="3" t="s">
        <v>439</v>
      </c>
      <c r="D22" s="44" t="s">
        <v>447</v>
      </c>
    </row>
    <row r="23" spans="1:4" ht="51" x14ac:dyDescent="0.2">
      <c r="A23" s="46" t="s">
        <v>226</v>
      </c>
      <c r="B23" s="30" t="s">
        <v>77</v>
      </c>
      <c r="C23" s="4" t="s">
        <v>480</v>
      </c>
      <c r="D23" s="44" t="s">
        <v>448</v>
      </c>
    </row>
    <row r="24" spans="1:4" x14ac:dyDescent="0.2">
      <c r="A24" s="46" t="s">
        <v>226</v>
      </c>
      <c r="B24" s="30" t="s">
        <v>98</v>
      </c>
      <c r="C24" s="3" t="s">
        <v>461</v>
      </c>
      <c r="D24" s="44" t="s">
        <v>450</v>
      </c>
    </row>
    <row r="25" spans="1:4" x14ac:dyDescent="0.2">
      <c r="A25" s="46" t="s">
        <v>226</v>
      </c>
      <c r="B25" s="30" t="s">
        <v>99</v>
      </c>
      <c r="C25" s="3" t="s">
        <v>449</v>
      </c>
      <c r="D25" s="44" t="s">
        <v>452</v>
      </c>
    </row>
    <row r="26" spans="1:4" x14ac:dyDescent="0.2">
      <c r="A26" s="46" t="s">
        <v>226</v>
      </c>
      <c r="B26" s="30" t="s">
        <v>97</v>
      </c>
      <c r="C26" s="3" t="s">
        <v>460</v>
      </c>
      <c r="D26" s="44" t="s">
        <v>453</v>
      </c>
    </row>
    <row r="27" spans="1:4" x14ac:dyDescent="0.2">
      <c r="A27" s="46" t="s">
        <v>226</v>
      </c>
      <c r="B27" s="30" t="s">
        <v>409</v>
      </c>
      <c r="C27" s="3" t="s">
        <v>451</v>
      </c>
      <c r="D27" s="44" t="s">
        <v>454</v>
      </c>
    </row>
    <row r="28" spans="1:4" x14ac:dyDescent="0.2">
      <c r="A28" s="46" t="s">
        <v>226</v>
      </c>
      <c r="B28" s="30" t="s">
        <v>100</v>
      </c>
      <c r="C28" s="3" t="s">
        <v>455</v>
      </c>
      <c r="D28" s="44" t="s">
        <v>456</v>
      </c>
    </row>
    <row r="29" spans="1:4" x14ac:dyDescent="0.2">
      <c r="A29" s="46" t="s">
        <v>226</v>
      </c>
      <c r="B29" s="30" t="s">
        <v>5</v>
      </c>
      <c r="C29" s="3" t="s">
        <v>445</v>
      </c>
      <c r="D29" s="45" t="s">
        <v>457</v>
      </c>
    </row>
    <row r="30" spans="1:4" x14ac:dyDescent="0.2">
      <c r="A30" s="47" t="s">
        <v>224</v>
      </c>
      <c r="B30" s="30" t="s">
        <v>77</v>
      </c>
      <c r="C30" s="3" t="s">
        <v>479</v>
      </c>
      <c r="D30" s="44" t="s">
        <v>458</v>
      </c>
    </row>
    <row r="31" spans="1:4" x14ac:dyDescent="0.2">
      <c r="A31" s="47" t="s">
        <v>224</v>
      </c>
      <c r="B31" s="30" t="s">
        <v>98</v>
      </c>
      <c r="C31" s="3" t="s">
        <v>478</v>
      </c>
      <c r="D31" s="44" t="s">
        <v>459</v>
      </c>
    </row>
    <row r="32" spans="1:4" x14ac:dyDescent="0.2">
      <c r="A32" s="47" t="s">
        <v>224</v>
      </c>
      <c r="B32" s="30" t="s">
        <v>99</v>
      </c>
      <c r="C32" s="3" t="s">
        <v>478</v>
      </c>
      <c r="D32" s="44" t="s">
        <v>462</v>
      </c>
    </row>
    <row r="33" spans="1:4" x14ac:dyDescent="0.2">
      <c r="A33" s="47" t="s">
        <v>224</v>
      </c>
      <c r="B33" s="30" t="s">
        <v>97</v>
      </c>
      <c r="C33" s="3" t="s">
        <v>478</v>
      </c>
      <c r="D33" s="48" t="s">
        <v>463</v>
      </c>
    </row>
    <row r="34" spans="1:4" x14ac:dyDescent="0.2">
      <c r="A34" s="47" t="s">
        <v>224</v>
      </c>
      <c r="B34" s="30" t="s">
        <v>409</v>
      </c>
      <c r="C34" s="3" t="s">
        <v>477</v>
      </c>
      <c r="D34" s="48" t="s">
        <v>464</v>
      </c>
    </row>
    <row r="35" spans="1:4" x14ac:dyDescent="0.2">
      <c r="A35" s="47" t="s">
        <v>224</v>
      </c>
      <c r="B35" s="30" t="s">
        <v>100</v>
      </c>
      <c r="C35" s="3" t="s">
        <v>476</v>
      </c>
      <c r="D35" s="48" t="s">
        <v>465</v>
      </c>
    </row>
    <row r="36" spans="1:4" x14ac:dyDescent="0.2">
      <c r="A36" s="47" t="s">
        <v>224</v>
      </c>
      <c r="B36" s="30" t="s">
        <v>5</v>
      </c>
      <c r="C36" s="3" t="s">
        <v>475</v>
      </c>
      <c r="D36" s="48" t="s">
        <v>466</v>
      </c>
    </row>
    <row r="37" spans="1:4" x14ac:dyDescent="0.2">
      <c r="D37" s="48" t="s">
        <v>467</v>
      </c>
    </row>
    <row r="38" spans="1:4" x14ac:dyDescent="0.2">
      <c r="D38" s="48" t="s">
        <v>468</v>
      </c>
    </row>
    <row r="39" spans="1:4" x14ac:dyDescent="0.2">
      <c r="D39" s="48" t="s">
        <v>470</v>
      </c>
    </row>
    <row r="40" spans="1:4" x14ac:dyDescent="0.2">
      <c r="D40" s="48" t="s">
        <v>471</v>
      </c>
    </row>
    <row r="41" spans="1:4" x14ac:dyDescent="0.2">
      <c r="D41" s="48" t="s">
        <v>472</v>
      </c>
    </row>
    <row r="42" spans="1:4" x14ac:dyDescent="0.2">
      <c r="D42" s="48" t="s">
        <v>473</v>
      </c>
    </row>
    <row r="43" spans="1:4" x14ac:dyDescent="0.2">
      <c r="D43" s="4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25D4-60F4-D14C-A137-BD9263952061}">
  <dimension ref="A1:B23"/>
  <sheetViews>
    <sheetView tabSelected="1" workbookViewId="0">
      <selection activeCell="B17" sqref="B17"/>
    </sheetView>
  </sheetViews>
  <sheetFormatPr baseColWidth="10" defaultRowHeight="16" x14ac:dyDescent="0.2"/>
  <cols>
    <col min="1" max="1" width="18.6640625" bestFit="1" customWidth="1"/>
    <col min="2" max="2" width="98.1640625" customWidth="1"/>
    <col min="5" max="5" width="10.6640625" customWidth="1"/>
  </cols>
  <sheetData>
    <row r="1" spans="1:2" x14ac:dyDescent="0.2">
      <c r="A1" t="s">
        <v>327</v>
      </c>
    </row>
    <row r="2" spans="1:2" ht="34" x14ac:dyDescent="0.2">
      <c r="A2" t="s">
        <v>0</v>
      </c>
      <c r="B2" s="16" t="s">
        <v>554</v>
      </c>
    </row>
    <row r="3" spans="1:2" x14ac:dyDescent="0.2">
      <c r="A3" t="s">
        <v>1</v>
      </c>
      <c r="B3" t="s">
        <v>555</v>
      </c>
    </row>
    <row r="4" spans="1:2" x14ac:dyDescent="0.2">
      <c r="A4" t="s">
        <v>2</v>
      </c>
      <c r="B4" t="s">
        <v>553</v>
      </c>
    </row>
    <row r="5" spans="1:2" x14ac:dyDescent="0.2">
      <c r="A5" t="s">
        <v>3</v>
      </c>
      <c r="B5" t="s">
        <v>572</v>
      </c>
    </row>
    <row r="6" spans="1:2" x14ac:dyDescent="0.2">
      <c r="A6" t="s">
        <v>4</v>
      </c>
      <c r="B6" t="s">
        <v>573</v>
      </c>
    </row>
    <row r="7" spans="1:2" x14ac:dyDescent="0.2">
      <c r="A7" t="s">
        <v>77</v>
      </c>
      <c r="B7" t="s">
        <v>556</v>
      </c>
    </row>
    <row r="8" spans="1:2" x14ac:dyDescent="0.2">
      <c r="A8" t="s">
        <v>79</v>
      </c>
      <c r="B8" t="s">
        <v>571</v>
      </c>
    </row>
    <row r="9" spans="1:2" x14ac:dyDescent="0.2">
      <c r="A9" t="s">
        <v>98</v>
      </c>
      <c r="B9" t="s">
        <v>557</v>
      </c>
    </row>
    <row r="10" spans="1:2" x14ac:dyDescent="0.2">
      <c r="A10" t="s">
        <v>99</v>
      </c>
      <c r="B10" t="s">
        <v>558</v>
      </c>
    </row>
    <row r="11" spans="1:2" x14ac:dyDescent="0.2">
      <c r="A11" t="s">
        <v>97</v>
      </c>
      <c r="B11" t="s">
        <v>559</v>
      </c>
    </row>
    <row r="12" spans="1:2" x14ac:dyDescent="0.2">
      <c r="A12" t="s">
        <v>100</v>
      </c>
      <c r="B12" t="s">
        <v>560</v>
      </c>
    </row>
    <row r="13" spans="1:2" x14ac:dyDescent="0.2">
      <c r="A13" t="s">
        <v>5</v>
      </c>
      <c r="B13" t="s">
        <v>561</v>
      </c>
    </row>
    <row r="14" spans="1:2" x14ac:dyDescent="0.2">
      <c r="A14" t="s">
        <v>151</v>
      </c>
      <c r="B14" t="s">
        <v>562</v>
      </c>
    </row>
    <row r="15" spans="1:2" x14ac:dyDescent="0.2">
      <c r="A15" t="s">
        <v>6</v>
      </c>
      <c r="B15" t="s">
        <v>563</v>
      </c>
    </row>
    <row r="16" spans="1:2" x14ac:dyDescent="0.2">
      <c r="A16" t="s">
        <v>7</v>
      </c>
      <c r="B16" t="s">
        <v>564</v>
      </c>
    </row>
    <row r="17" spans="1:2" x14ac:dyDescent="0.2">
      <c r="A17" t="s">
        <v>8</v>
      </c>
      <c r="B17" t="s">
        <v>569</v>
      </c>
    </row>
    <row r="18" spans="1:2" x14ac:dyDescent="0.2">
      <c r="A18" t="s">
        <v>9</v>
      </c>
      <c r="B18" t="s">
        <v>570</v>
      </c>
    </row>
    <row r="19" spans="1:2" x14ac:dyDescent="0.2">
      <c r="A19" t="s">
        <v>10</v>
      </c>
      <c r="B19" t="s">
        <v>565</v>
      </c>
    </row>
    <row r="20" spans="1:2" x14ac:dyDescent="0.2">
      <c r="A20" t="s">
        <v>11</v>
      </c>
      <c r="B20" t="s">
        <v>566</v>
      </c>
    </row>
    <row r="21" spans="1:2" x14ac:dyDescent="0.2">
      <c r="A21" t="s">
        <v>12</v>
      </c>
      <c r="B21" t="s">
        <v>568</v>
      </c>
    </row>
    <row r="22" spans="1:2" x14ac:dyDescent="0.2">
      <c r="A22" t="s">
        <v>13</v>
      </c>
      <c r="B22" t="s">
        <v>567</v>
      </c>
    </row>
    <row r="23" spans="1:2" x14ac:dyDescent="0.2">
      <c r="A23" t="s">
        <v>149</v>
      </c>
      <c r="B23" t="s">
        <v>574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09CE-1D89-0F4D-862A-0AE055762E5D}">
  <dimension ref="A1"/>
  <sheetViews>
    <sheetView workbookViewId="0">
      <selection activeCell="H25" sqref="H25"/>
    </sheetView>
  </sheetViews>
  <sheetFormatPr baseColWidth="10" defaultRowHeight="16" x14ac:dyDescent="0.2"/>
  <cols>
    <col min="1" max="1" width="10.83203125" customWidth="1"/>
  </cols>
  <sheetData>
    <row r="1" spans="1:1" x14ac:dyDescent="0.2">
      <c r="A1" t="s">
        <v>236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testudine.female.data</vt:lpstr>
      <vt:lpstr>daSilva.2022.female.with.CM</vt:lpstr>
      <vt:lpstr>Reinke.2022.turtles</vt:lpstr>
      <vt:lpstr>seaturtles.metadata</vt:lpstr>
      <vt:lpstr>seaturtle.estimates</vt:lpstr>
      <vt:lpstr>testudine.sources</vt:lpstr>
      <vt:lpstr>seaturtle.sources</vt:lpstr>
      <vt:lpstr>variables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Glen,George</dc:creator>
  <cp:lastModifiedBy>Glen,George</cp:lastModifiedBy>
  <dcterms:created xsi:type="dcterms:W3CDTF">2023-10-12T19:13:01Z</dcterms:created>
  <dcterms:modified xsi:type="dcterms:W3CDTF">2024-01-20T21:43:59Z</dcterms:modified>
</cp:coreProperties>
</file>